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AFC41DD1-F4CF-4D01-BC74-94A5638FCD1C}" xr6:coauthVersionLast="45" xr6:coauthVersionMax="45" xr10:uidLastSave="{00000000-0000-0000-0000-000000000000}"/>
  <bookViews>
    <workbookView xWindow="-98" yWindow="-98" windowWidth="22695" windowHeight="14595" tabRatio="845" activeTab="1" xr2:uid="{00000000-000D-0000-FFFF-FFFF00000000}"/>
  </bookViews>
  <sheets>
    <sheet name="Cover" sheetId="70" r:id="rId1"/>
    <sheet name="Change log" sheetId="71" r:id="rId2"/>
    <sheet name="Index" sheetId="69" r:id="rId3"/>
    <sheet name="Main inputs&gt;&gt;" sheetId="32" r:id="rId4"/>
    <sheet name="Inflation" sheetId="1" r:id="rId5"/>
    <sheet name="RAB inputs" sheetId="36" r:id="rId6"/>
    <sheet name="WACC parameters" sheetId="54" r:id="rId7"/>
    <sheet name="DD allowances" sheetId="13" r:id="rId8"/>
    <sheet name="DD forecasts" sheetId="57" r:id="rId9"/>
    <sheet name="RoRE inputs" sheetId="67" r:id="rId10"/>
    <sheet name="Other inputs" sheetId="60" r:id="rId11"/>
    <sheet name="Calcs &gt;&gt;" sheetId="33" r:id="rId12"/>
    <sheet name="WACC" sheetId="28" r:id="rId13"/>
    <sheet name="CCS" sheetId="65" r:id="rId14"/>
    <sheet name="RAB" sheetId="30" r:id="rId15"/>
    <sheet name="Return" sheetId="34" r:id="rId16"/>
    <sheet name="Asset beta" sheetId="66" r:id="rId17"/>
    <sheet name="Results&gt;&gt;" sheetId="35" r:id="rId18"/>
    <sheet name="Regulated revenue" sheetId="58" r:id="rId19"/>
    <sheet name="Earnings" sheetId="68" r:id="rId20"/>
    <sheet name="RAB summary" sheetId="44" r:id="rId21"/>
    <sheet name="RoRE" sheetId="16" r:id="rId22"/>
    <sheet name="Charts&gt;&gt;" sheetId="63" r:id="rId23"/>
    <sheet name="RoRE charts" sheetId="45" r:id="rId24"/>
    <sheet name="RAB charts" sheetId="53" r:id="rId25"/>
    <sheet name="RoRE scenarios&gt;&gt;" sheetId="39" r:id="rId26"/>
    <sheet name="Scenarios" sheetId="62" r:id="rId27"/>
    <sheet name="Other inputs&gt;&gt;" sheetId="38" r:id="rId28"/>
    <sheet name="Accounting depreciation" sheetId="59" r:id="rId29"/>
    <sheet name="5B Revenues &amp; Costs (notional)" sheetId="55" r:id="rId30"/>
    <sheet name="5A Revenues &amp; Costs (actual)" sheetId="17" r:id="rId31"/>
    <sheet name="SONI BPDT RAB" sheetId="27" r:id="rId32"/>
    <sheet name="1 Price control buildup" sheetId="15" r:id="rId33"/>
    <sheet name="3 Finance" sheetId="14" r:id="rId34"/>
    <sheet name="4 RAB Overview" sheetId="7" r:id="rId35"/>
  </sheets>
  <externalReferences>
    <externalReference r:id="rId36"/>
  </externalReferences>
  <definedNames>
    <definedName name="\J">#REF!</definedName>
    <definedName name="\S">#REF!</definedName>
    <definedName name="_Order1" hidden="1">255</definedName>
    <definedName name="_Order2" hidden="1">255</definedName>
    <definedName name="ASSETS">#REF!</definedName>
    <definedName name="DEPREC">#REF!</definedName>
    <definedName name="JOURNAL">#REF!</definedName>
    <definedName name="LaptopsPCs">#REF!</definedName>
    <definedName name="_xlnm.Print_Area" localSheetId="32">'1 Price control buildup'!$B$3:$N$71</definedName>
    <definedName name="_xlnm.Print_Area" localSheetId="34">'4 RAB Overview'!$B$1:$W$47</definedName>
    <definedName name="_xlnm.Print_Area" localSheetId="30">'5A Revenues &amp; Costs (actual)'!$B$7:$O$76</definedName>
    <definedName name="_xlnm.Print_Area" localSheetId="29">'5B Revenues &amp; Costs (notional)'!$B$5:$O$76</definedName>
    <definedName name="Print_Area_MI">#REF!</definedName>
    <definedName name="_xlnm.Print_Titles" localSheetId="30">'5A Revenues &amp; Costs (actual)'!$11:$12</definedName>
    <definedName name="_xlnm.Print_Titles" localSheetId="29">'5B Revenues &amp; Costs (notional)'!$11:$12</definedName>
    <definedName name="SCHEDULE">#REF!</definedName>
    <definedName name="Years">[1]Inputs!$B$5:$J$5</definedName>
    <definedName name="Z_5DBAA0F8_2D4C_4DEE_9709_5E6FDA1FF673_.wvu.PrintArea" localSheetId="30" hidden="1">'5A Revenues &amp; Costs (actual)'!$B$4:$O$79</definedName>
    <definedName name="Z_5DBAA0F8_2D4C_4DEE_9709_5E6FDA1FF673_.wvu.PrintArea" localSheetId="29" hidden="1">'5B Revenues &amp; Costs (notional)'!$B$4:$O$78</definedName>
    <definedName name="Z_5DBAA0F8_2D4C_4DEE_9709_5E6FDA1FF673_.wvu.PrintTitles" localSheetId="30" hidden="1">'5A Revenues &amp; Costs (actual)'!$11:$12</definedName>
    <definedName name="Z_5DBAA0F8_2D4C_4DEE_9709_5E6FDA1FF673_.wvu.PrintTitles" localSheetId="29" hidden="1">'5B Revenues &amp; Costs (notional)'!$11:$12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68" l="1"/>
  <c r="H8" i="66" l="1"/>
  <c r="G8" i="66"/>
  <c r="F8" i="66"/>
  <c r="E8" i="66"/>
  <c r="D8" i="66"/>
  <c r="R22" i="53" l="1"/>
  <c r="Q22" i="53"/>
  <c r="P22" i="53"/>
  <c r="O22" i="53"/>
  <c r="N22" i="53"/>
  <c r="S22" i="53"/>
  <c r="B7" i="45" l="1"/>
  <c r="B6" i="45"/>
  <c r="B5" i="45"/>
  <c r="B4" i="45"/>
  <c r="E51" i="57"/>
  <c r="F51" i="57"/>
  <c r="G51" i="57"/>
  <c r="H51" i="57"/>
  <c r="E50" i="57"/>
  <c r="F50" i="57"/>
  <c r="G50" i="57"/>
  <c r="H50" i="57"/>
  <c r="D50" i="57"/>
  <c r="D51" i="57"/>
  <c r="I62" i="58" l="1"/>
  <c r="H62" i="58"/>
  <c r="G62" i="58"/>
  <c r="F62" i="58"/>
  <c r="E62" i="58"/>
  <c r="D62" i="58"/>
  <c r="H18" i="58" l="1"/>
  <c r="G18" i="58"/>
  <c r="F18" i="58"/>
  <c r="E18" i="58"/>
  <c r="H17" i="58"/>
  <c r="G17" i="58"/>
  <c r="F17" i="58"/>
  <c r="E17" i="58"/>
  <c r="H16" i="58"/>
  <c r="G16" i="58"/>
  <c r="F16" i="58"/>
  <c r="E16" i="58"/>
  <c r="H15" i="58"/>
  <c r="G15" i="58"/>
  <c r="G19" i="58" s="1"/>
  <c r="F15" i="58"/>
  <c r="F19" i="58" s="1"/>
  <c r="E15" i="58"/>
  <c r="D18" i="58"/>
  <c r="D17" i="58"/>
  <c r="D16" i="58"/>
  <c r="D15" i="58"/>
  <c r="H11" i="58"/>
  <c r="G11" i="58"/>
  <c r="F11" i="58"/>
  <c r="E11" i="58"/>
  <c r="D11" i="58"/>
  <c r="H9" i="58"/>
  <c r="G9" i="58"/>
  <c r="F9" i="58"/>
  <c r="E9" i="58"/>
  <c r="D9" i="58"/>
  <c r="H8" i="58"/>
  <c r="G8" i="58"/>
  <c r="F8" i="58"/>
  <c r="E8" i="58"/>
  <c r="D8" i="58"/>
  <c r="H7" i="58"/>
  <c r="G7" i="58"/>
  <c r="F7" i="58"/>
  <c r="E7" i="58"/>
  <c r="D7" i="58"/>
  <c r="H6" i="58"/>
  <c r="G6" i="58"/>
  <c r="F6" i="58"/>
  <c r="E6" i="58"/>
  <c r="D6" i="58"/>
  <c r="H23" i="58"/>
  <c r="G23" i="58"/>
  <c r="F23" i="58"/>
  <c r="E23" i="58"/>
  <c r="D23" i="58"/>
  <c r="H31" i="57"/>
  <c r="H28" i="68" s="1"/>
  <c r="G31" i="57"/>
  <c r="G28" i="68" s="1"/>
  <c r="F31" i="57"/>
  <c r="F28" i="68" s="1"/>
  <c r="E31" i="57"/>
  <c r="E28" i="68" s="1"/>
  <c r="D31" i="57"/>
  <c r="D28" i="68" s="1"/>
  <c r="I49" i="13"/>
  <c r="E19" i="58" l="1"/>
  <c r="H19" i="58"/>
  <c r="I17" i="58"/>
  <c r="I11" i="58"/>
  <c r="I18" i="58"/>
  <c r="I15" i="58"/>
  <c r="D19" i="58"/>
  <c r="I19" i="58" s="1"/>
  <c r="I16" i="58"/>
  <c r="I28" i="68"/>
  <c r="I31" i="57"/>
  <c r="I7" i="58"/>
  <c r="I8" i="58"/>
  <c r="I9" i="58"/>
  <c r="I6" i="58"/>
  <c r="I23" i="58"/>
  <c r="H38" i="57"/>
  <c r="G38" i="57"/>
  <c r="F38" i="57"/>
  <c r="E38" i="57"/>
  <c r="D38" i="57"/>
  <c r="O305" i="30" l="1"/>
  <c r="N305" i="30"/>
  <c r="M305" i="30"/>
  <c r="L305" i="30"/>
  <c r="K305" i="30"/>
  <c r="I41" i="57"/>
  <c r="I37" i="57"/>
  <c r="I36" i="57"/>
  <c r="I35" i="57" l="1"/>
  <c r="I34" i="57"/>
  <c r="D33" i="13" l="1"/>
  <c r="D13" i="57" s="1"/>
  <c r="E33" i="13"/>
  <c r="E13" i="57" s="1"/>
  <c r="F33" i="13"/>
  <c r="F13" i="57" s="1"/>
  <c r="G33" i="13"/>
  <c r="G13" i="57" s="1"/>
  <c r="H33" i="13"/>
  <c r="H13" i="57" s="1"/>
  <c r="K7" i="28" l="1"/>
  <c r="K14" i="28"/>
  <c r="K15" i="28" l="1"/>
  <c r="K16" i="28" s="1"/>
  <c r="K17" i="28" s="1"/>
  <c r="K18" i="28"/>
  <c r="R24" i="67" l="1"/>
  <c r="Q24" i="67"/>
  <c r="P24" i="67"/>
  <c r="O24" i="67"/>
  <c r="N24" i="67"/>
  <c r="M24" i="67"/>
  <c r="L24" i="67"/>
  <c r="K24" i="67"/>
  <c r="J24" i="67"/>
  <c r="I24" i="67"/>
  <c r="H24" i="67"/>
  <c r="G24" i="67"/>
  <c r="F24" i="67"/>
  <c r="E24" i="67"/>
  <c r="D24" i="67"/>
  <c r="C24" i="67"/>
  <c r="B24" i="67"/>
  <c r="R23" i="67"/>
  <c r="Q23" i="67"/>
  <c r="P23" i="67"/>
  <c r="O23" i="67"/>
  <c r="N23" i="67"/>
  <c r="M23" i="67"/>
  <c r="L23" i="67"/>
  <c r="K23" i="67"/>
  <c r="J23" i="67"/>
  <c r="I23" i="67"/>
  <c r="H23" i="67"/>
  <c r="G23" i="67"/>
  <c r="F23" i="67"/>
  <c r="E23" i="67"/>
  <c r="D23" i="67"/>
  <c r="C23" i="67"/>
  <c r="B23" i="67"/>
  <c r="R22" i="67"/>
  <c r="Q22" i="67"/>
  <c r="P22" i="67"/>
  <c r="O22" i="67"/>
  <c r="N22" i="67"/>
  <c r="M22" i="67"/>
  <c r="L22" i="67"/>
  <c r="K22" i="67"/>
  <c r="J22" i="67"/>
  <c r="I22" i="67"/>
  <c r="H22" i="67"/>
  <c r="G22" i="67"/>
  <c r="F22" i="67"/>
  <c r="E22" i="67"/>
  <c r="D22" i="67"/>
  <c r="C22" i="67"/>
  <c r="B22" i="67"/>
  <c r="R21" i="67"/>
  <c r="Q21" i="67"/>
  <c r="P21" i="67"/>
  <c r="O21" i="67"/>
  <c r="N21" i="67"/>
  <c r="M21" i="67"/>
  <c r="L21" i="67"/>
  <c r="K21" i="67"/>
  <c r="J21" i="67"/>
  <c r="I21" i="67"/>
  <c r="H21" i="67"/>
  <c r="G21" i="67"/>
  <c r="F21" i="67"/>
  <c r="E21" i="67"/>
  <c r="D21" i="67"/>
  <c r="C21" i="67"/>
  <c r="B21" i="67"/>
  <c r="R20" i="67"/>
  <c r="Q20" i="67"/>
  <c r="P20" i="67"/>
  <c r="O20" i="67"/>
  <c r="N20" i="67"/>
  <c r="M20" i="67"/>
  <c r="L20" i="67"/>
  <c r="K20" i="67"/>
  <c r="J20" i="67"/>
  <c r="I20" i="67"/>
  <c r="H20" i="67"/>
  <c r="G20" i="67"/>
  <c r="F20" i="67"/>
  <c r="E20" i="67"/>
  <c r="D20" i="67"/>
  <c r="C20" i="67"/>
  <c r="B20" i="67"/>
  <c r="R19" i="67"/>
  <c r="Q19" i="67"/>
  <c r="P19" i="67"/>
  <c r="O19" i="67"/>
  <c r="N19" i="67"/>
  <c r="M19" i="67"/>
  <c r="L19" i="67"/>
  <c r="K19" i="67"/>
  <c r="J19" i="67"/>
  <c r="I19" i="67"/>
  <c r="H19" i="67"/>
  <c r="G19" i="67"/>
  <c r="F19" i="67"/>
  <c r="E19" i="67"/>
  <c r="D19" i="67"/>
  <c r="C19" i="67"/>
  <c r="B19" i="67"/>
  <c r="R18" i="67"/>
  <c r="Q18" i="67"/>
  <c r="P18" i="67"/>
  <c r="O18" i="67"/>
  <c r="N18" i="67"/>
  <c r="M18" i="67"/>
  <c r="L18" i="67"/>
  <c r="K18" i="67"/>
  <c r="J18" i="67"/>
  <c r="I18" i="67"/>
  <c r="H18" i="67"/>
  <c r="G18" i="67"/>
  <c r="F18" i="67"/>
  <c r="E18" i="67"/>
  <c r="D18" i="67"/>
  <c r="C18" i="67"/>
  <c r="B18" i="67"/>
  <c r="S16" i="67"/>
  <c r="S15" i="67"/>
  <c r="S14" i="67"/>
  <c r="S13" i="67"/>
  <c r="S12" i="67"/>
  <c r="S11" i="67"/>
  <c r="S10" i="67"/>
  <c r="S9" i="67"/>
  <c r="S8" i="67"/>
  <c r="S7" i="67"/>
  <c r="S6" i="67"/>
  <c r="S5" i="67"/>
  <c r="S4" i="67"/>
  <c r="S22" i="67" l="1"/>
  <c r="S18" i="67"/>
  <c r="S21" i="67"/>
  <c r="S19" i="67"/>
  <c r="S20" i="67"/>
  <c r="S23" i="67"/>
  <c r="S24" i="67"/>
  <c r="D32" i="54"/>
  <c r="C32" i="54"/>
  <c r="B32" i="54"/>
  <c r="B25" i="54"/>
  <c r="B18" i="54"/>
  <c r="E32" i="54" l="1"/>
  <c r="B26" i="54" s="1"/>
  <c r="H39" i="65" l="1"/>
  <c r="G39" i="65"/>
  <c r="F39" i="65"/>
  <c r="E39" i="65"/>
  <c r="D39" i="65"/>
  <c r="H38" i="65"/>
  <c r="G38" i="65"/>
  <c r="F38" i="65"/>
  <c r="E38" i="65"/>
  <c r="D38" i="65"/>
  <c r="H37" i="65"/>
  <c r="G37" i="65"/>
  <c r="F37" i="65"/>
  <c r="E37" i="65"/>
  <c r="D37" i="65"/>
  <c r="H32" i="65"/>
  <c r="G32" i="65"/>
  <c r="F32" i="65"/>
  <c r="E32" i="65"/>
  <c r="D32" i="65"/>
  <c r="H26" i="65"/>
  <c r="G26" i="65"/>
  <c r="F26" i="65"/>
  <c r="E26" i="65"/>
  <c r="H25" i="65"/>
  <c r="G25" i="65"/>
  <c r="F25" i="65"/>
  <c r="E25" i="65"/>
  <c r="H24" i="65"/>
  <c r="G24" i="65"/>
  <c r="F24" i="65"/>
  <c r="E24" i="65"/>
  <c r="D26" i="65"/>
  <c r="D25" i="65"/>
  <c r="D24" i="65"/>
  <c r="H19" i="65"/>
  <c r="G19" i="65"/>
  <c r="F19" i="65"/>
  <c r="E19" i="65"/>
  <c r="D19" i="65"/>
  <c r="H18" i="65"/>
  <c r="G18" i="65"/>
  <c r="F18" i="65"/>
  <c r="E18" i="65"/>
  <c r="D18" i="65"/>
  <c r="D20" i="65" l="1"/>
  <c r="H20" i="65"/>
  <c r="F20" i="65"/>
  <c r="E20" i="65"/>
  <c r="G20" i="65"/>
  <c r="I25" i="65"/>
  <c r="I32" i="65"/>
  <c r="I38" i="65"/>
  <c r="I24" i="65"/>
  <c r="I26" i="65"/>
  <c r="I39" i="65"/>
  <c r="I37" i="65"/>
  <c r="I19" i="65"/>
  <c r="I18" i="65"/>
  <c r="H13" i="65"/>
  <c r="G13" i="65"/>
  <c r="F13" i="65"/>
  <c r="E13" i="65"/>
  <c r="H12" i="65"/>
  <c r="G12" i="65"/>
  <c r="F12" i="65"/>
  <c r="E12" i="65"/>
  <c r="D13" i="65"/>
  <c r="D12" i="65"/>
  <c r="H11" i="65"/>
  <c r="G11" i="65"/>
  <c r="F11" i="65"/>
  <c r="E11" i="65"/>
  <c r="D11" i="65"/>
  <c r="I29" i="57"/>
  <c r="I28" i="57"/>
  <c r="I27" i="57"/>
  <c r="I24" i="57"/>
  <c r="I18" i="57"/>
  <c r="H6" i="65"/>
  <c r="G6" i="65"/>
  <c r="F6" i="65"/>
  <c r="E6" i="65"/>
  <c r="D6" i="65"/>
  <c r="I7" i="57"/>
  <c r="I6" i="57"/>
  <c r="I5" i="57"/>
  <c r="I13" i="65" l="1"/>
  <c r="I20" i="65"/>
  <c r="I11" i="65"/>
  <c r="I12" i="65"/>
  <c r="I19" i="57"/>
  <c r="I22" i="57"/>
  <c r="I17" i="57"/>
  <c r="I23" i="57"/>
  <c r="I6" i="65"/>
  <c r="H29" i="68" l="1"/>
  <c r="G29" i="68"/>
  <c r="F29" i="68"/>
  <c r="E29" i="68"/>
  <c r="D29" i="68"/>
  <c r="I29" i="68" l="1"/>
  <c r="I41" i="16"/>
  <c r="H41" i="16"/>
  <c r="F41" i="16"/>
  <c r="E41" i="16"/>
  <c r="I40" i="16"/>
  <c r="H40" i="16"/>
  <c r="F40" i="16"/>
  <c r="E40" i="16"/>
  <c r="E27" i="62"/>
  <c r="E20" i="62"/>
  <c r="F20" i="62" s="1"/>
  <c r="E13" i="62"/>
  <c r="F13" i="62" s="1"/>
  <c r="E6" i="62"/>
  <c r="F6" i="62" s="1"/>
  <c r="G6" i="62" l="1"/>
  <c r="F27" i="62"/>
  <c r="G20" i="62"/>
  <c r="G13" i="62"/>
  <c r="H55" i="58"/>
  <c r="G55" i="58"/>
  <c r="F55" i="58"/>
  <c r="E55" i="58"/>
  <c r="D55" i="58"/>
  <c r="H53" i="58"/>
  <c r="G53" i="58"/>
  <c r="F53" i="58"/>
  <c r="E53" i="58"/>
  <c r="D53" i="58"/>
  <c r="I75" i="57"/>
  <c r="I71" i="57"/>
  <c r="I52" i="13"/>
  <c r="E175" i="59"/>
  <c r="E153" i="59"/>
  <c r="E211" i="59"/>
  <c r="D230" i="59"/>
  <c r="C6" i="60" s="1"/>
  <c r="C230" i="59"/>
  <c r="B6" i="60" s="1"/>
  <c r="C228" i="59"/>
  <c r="B5" i="60" s="1"/>
  <c r="F223" i="59"/>
  <c r="I223" i="59" s="1"/>
  <c r="E223" i="59"/>
  <c r="F222" i="59"/>
  <c r="I222" i="59" s="1"/>
  <c r="E222" i="59"/>
  <c r="F221" i="59"/>
  <c r="I221" i="59" s="1"/>
  <c r="E221" i="59"/>
  <c r="F220" i="59"/>
  <c r="I220" i="59" s="1"/>
  <c r="E220" i="59"/>
  <c r="F219" i="59"/>
  <c r="I219" i="59" s="1"/>
  <c r="E219" i="59"/>
  <c r="F218" i="59"/>
  <c r="I218" i="59" s="1"/>
  <c r="E218" i="59"/>
  <c r="F217" i="59"/>
  <c r="I217" i="59" s="1"/>
  <c r="E217" i="59"/>
  <c r="F216" i="59"/>
  <c r="I216" i="59" s="1"/>
  <c r="E216" i="59"/>
  <c r="F215" i="59"/>
  <c r="I215" i="59" s="1"/>
  <c r="E215" i="59"/>
  <c r="F214" i="59"/>
  <c r="I214" i="59" s="1"/>
  <c r="E214" i="59"/>
  <c r="F213" i="59"/>
  <c r="I213" i="59" s="1"/>
  <c r="F212" i="59"/>
  <c r="I212" i="59" s="1"/>
  <c r="F211" i="59"/>
  <c r="I211" i="59" s="1"/>
  <c r="F209" i="59"/>
  <c r="I209" i="59" s="1"/>
  <c r="E209" i="59"/>
  <c r="F208" i="59"/>
  <c r="I208" i="59" s="1"/>
  <c r="F205" i="59"/>
  <c r="I205" i="59" s="1"/>
  <c r="E205" i="59"/>
  <c r="CM205" i="59" s="1"/>
  <c r="F204" i="59"/>
  <c r="I204" i="59" s="1"/>
  <c r="CL204" i="59" s="1"/>
  <c r="E204" i="59"/>
  <c r="F203" i="59"/>
  <c r="I203" i="59" s="1"/>
  <c r="E203" i="59"/>
  <c r="F202" i="59"/>
  <c r="I202" i="59" s="1"/>
  <c r="E202" i="59"/>
  <c r="F201" i="59"/>
  <c r="I201" i="59" s="1"/>
  <c r="E201" i="59"/>
  <c r="CQ201" i="59" s="1"/>
  <c r="F200" i="59"/>
  <c r="I200" i="59" s="1"/>
  <c r="E200" i="59"/>
  <c r="F199" i="59"/>
  <c r="I199" i="59" s="1"/>
  <c r="E199" i="59"/>
  <c r="F198" i="59"/>
  <c r="I198" i="59" s="1"/>
  <c r="E198" i="59"/>
  <c r="F197" i="59"/>
  <c r="I197" i="59" s="1"/>
  <c r="E197" i="59"/>
  <c r="F196" i="59"/>
  <c r="I196" i="59" s="1"/>
  <c r="E196" i="59"/>
  <c r="F195" i="59"/>
  <c r="I195" i="59" s="1"/>
  <c r="F194" i="59"/>
  <c r="I194" i="59" s="1"/>
  <c r="F193" i="59"/>
  <c r="I193" i="59" s="1"/>
  <c r="E193" i="59"/>
  <c r="CQ192" i="59"/>
  <c r="CP192" i="59"/>
  <c r="CO192" i="59"/>
  <c r="CN192" i="59"/>
  <c r="CM192" i="59"/>
  <c r="CL192" i="59"/>
  <c r="CK192" i="59"/>
  <c r="CJ192" i="59"/>
  <c r="CI192" i="59"/>
  <c r="CH192" i="59"/>
  <c r="CG192" i="59"/>
  <c r="CF192" i="59"/>
  <c r="F191" i="59"/>
  <c r="I191" i="59" s="1"/>
  <c r="CH191" i="59" s="1"/>
  <c r="E191" i="59"/>
  <c r="F190" i="59"/>
  <c r="I190" i="59" s="1"/>
  <c r="F187" i="59"/>
  <c r="I187" i="59" s="1"/>
  <c r="E187" i="59"/>
  <c r="F186" i="59"/>
  <c r="I186" i="59" s="1"/>
  <c r="E186" i="59"/>
  <c r="F185" i="59"/>
  <c r="I185" i="59" s="1"/>
  <c r="E185" i="59"/>
  <c r="F184" i="59"/>
  <c r="I184" i="59" s="1"/>
  <c r="CB184" i="59" s="1"/>
  <c r="E184" i="59"/>
  <c r="F183" i="59"/>
  <c r="I183" i="59" s="1"/>
  <c r="E183" i="59"/>
  <c r="F182" i="59"/>
  <c r="I182" i="59" s="1"/>
  <c r="E182" i="59"/>
  <c r="F181" i="59"/>
  <c r="I181" i="59" s="1"/>
  <c r="E181" i="59"/>
  <c r="I180" i="59"/>
  <c r="F180" i="59"/>
  <c r="E180" i="59"/>
  <c r="F179" i="59"/>
  <c r="I179" i="59" s="1"/>
  <c r="E179" i="59"/>
  <c r="F178" i="59"/>
  <c r="I178" i="59" s="1"/>
  <c r="E178" i="59"/>
  <c r="F177" i="59"/>
  <c r="I177" i="59" s="1"/>
  <c r="F176" i="59"/>
  <c r="I176" i="59" s="1"/>
  <c r="F175" i="59"/>
  <c r="I175" i="59" s="1"/>
  <c r="CQ174" i="59"/>
  <c r="CP174" i="59"/>
  <c r="CO174" i="59"/>
  <c r="CN174" i="59"/>
  <c r="CM174" i="59"/>
  <c r="CL174" i="59"/>
  <c r="CK174" i="59"/>
  <c r="CJ174" i="59"/>
  <c r="CI174" i="59"/>
  <c r="CH174" i="59"/>
  <c r="CG174" i="59"/>
  <c r="CF174" i="59"/>
  <c r="CE174" i="59"/>
  <c r="CD174" i="59"/>
  <c r="CC174" i="59"/>
  <c r="CB174" i="59"/>
  <c r="CA174" i="59"/>
  <c r="BZ174" i="59"/>
  <c r="BY174" i="59"/>
  <c r="BX174" i="59"/>
  <c r="BW174" i="59"/>
  <c r="BV174" i="59"/>
  <c r="BU174" i="59"/>
  <c r="BT174" i="59"/>
  <c r="F173" i="59"/>
  <c r="I173" i="59" s="1"/>
  <c r="E173" i="59"/>
  <c r="F172" i="59"/>
  <c r="I172" i="59" s="1"/>
  <c r="F169" i="59"/>
  <c r="I169" i="59" s="1"/>
  <c r="E169" i="59"/>
  <c r="F168" i="59"/>
  <c r="I168" i="59" s="1"/>
  <c r="CA168" i="59" s="1"/>
  <c r="E168" i="59"/>
  <c r="F167" i="59"/>
  <c r="I167" i="59" s="1"/>
  <c r="E167" i="59"/>
  <c r="F166" i="59"/>
  <c r="I166" i="59" s="1"/>
  <c r="E166" i="59"/>
  <c r="F165" i="59"/>
  <c r="I165" i="59" s="1"/>
  <c r="E165" i="59"/>
  <c r="F164" i="59"/>
  <c r="I164" i="59" s="1"/>
  <c r="E164" i="59"/>
  <c r="F163" i="59"/>
  <c r="I163" i="59" s="1"/>
  <c r="E163" i="59"/>
  <c r="F162" i="59"/>
  <c r="I162" i="59" s="1"/>
  <c r="BO162" i="59" s="1"/>
  <c r="E162" i="59"/>
  <c r="F161" i="59"/>
  <c r="I161" i="59" s="1"/>
  <c r="E161" i="59"/>
  <c r="F160" i="59"/>
  <c r="I160" i="59" s="1"/>
  <c r="E160" i="59"/>
  <c r="F159" i="59"/>
  <c r="I159" i="59" s="1"/>
  <c r="E159" i="59"/>
  <c r="F158" i="59"/>
  <c r="I158" i="59" s="1"/>
  <c r="CJ158" i="59" s="1"/>
  <c r="E158" i="59"/>
  <c r="F157" i="59"/>
  <c r="I157" i="59" s="1"/>
  <c r="E157" i="59"/>
  <c r="F156" i="59"/>
  <c r="I156" i="59" s="1"/>
  <c r="E156" i="59"/>
  <c r="F155" i="59"/>
  <c r="I155" i="59" s="1"/>
  <c r="F154" i="59"/>
  <c r="I154" i="59" s="1"/>
  <c r="F153" i="59"/>
  <c r="I153" i="59" s="1"/>
  <c r="F151" i="59"/>
  <c r="I151" i="59" s="1"/>
  <c r="E151" i="59"/>
  <c r="F150" i="59"/>
  <c r="I150" i="59" s="1"/>
  <c r="F147" i="59"/>
  <c r="I147" i="59" s="1"/>
  <c r="E147" i="59"/>
  <c r="F146" i="59"/>
  <c r="I146" i="59" s="1"/>
  <c r="E146" i="59"/>
  <c r="F145" i="59"/>
  <c r="I145" i="59" s="1"/>
  <c r="E145" i="59"/>
  <c r="F144" i="59"/>
  <c r="I144" i="59" s="1"/>
  <c r="E144" i="59"/>
  <c r="F143" i="59"/>
  <c r="I143" i="59" s="1"/>
  <c r="E143" i="59"/>
  <c r="F142" i="59"/>
  <c r="I142" i="59" s="1"/>
  <c r="BW142" i="59" s="1"/>
  <c r="E142" i="59"/>
  <c r="F141" i="59"/>
  <c r="I141" i="59" s="1"/>
  <c r="E141" i="59"/>
  <c r="F140" i="59"/>
  <c r="I140" i="59" s="1"/>
  <c r="E140" i="59"/>
  <c r="F139" i="59"/>
  <c r="I139" i="59" s="1"/>
  <c r="E139" i="59"/>
  <c r="F138" i="59"/>
  <c r="I138" i="59" s="1"/>
  <c r="E138" i="59"/>
  <c r="F137" i="59"/>
  <c r="I137" i="59" s="1"/>
  <c r="E137" i="59"/>
  <c r="F136" i="59"/>
  <c r="I136" i="59" s="1"/>
  <c r="E136" i="59"/>
  <c r="CJ136" i="59" s="1"/>
  <c r="I135" i="59"/>
  <c r="F135" i="59"/>
  <c r="F134" i="59"/>
  <c r="I134" i="59" s="1"/>
  <c r="F133" i="59"/>
  <c r="I133" i="59" s="1"/>
  <c r="E133" i="59"/>
  <c r="F131" i="59"/>
  <c r="I131" i="59" s="1"/>
  <c r="E131" i="59"/>
  <c r="F130" i="59"/>
  <c r="I130" i="59" s="1"/>
  <c r="E130" i="59"/>
  <c r="F129" i="59"/>
  <c r="I129" i="59" s="1"/>
  <c r="F125" i="59"/>
  <c r="I125" i="59" s="1"/>
  <c r="E125" i="59"/>
  <c r="F124" i="59"/>
  <c r="I124" i="59" s="1"/>
  <c r="E124" i="59"/>
  <c r="F123" i="59"/>
  <c r="I123" i="59" s="1"/>
  <c r="CF123" i="59" s="1"/>
  <c r="E123" i="59"/>
  <c r="F122" i="59"/>
  <c r="I122" i="59" s="1"/>
  <c r="CL122" i="59" s="1"/>
  <c r="E122" i="59"/>
  <c r="F121" i="59"/>
  <c r="I121" i="59" s="1"/>
  <c r="E121" i="59"/>
  <c r="BD120" i="59"/>
  <c r="F120" i="59"/>
  <c r="I120" i="59" s="1"/>
  <c r="E120" i="59"/>
  <c r="F119" i="59"/>
  <c r="I119" i="59" s="1"/>
  <c r="CJ119" i="59" s="1"/>
  <c r="E119" i="59"/>
  <c r="F118" i="59"/>
  <c r="I118" i="59" s="1"/>
  <c r="E118" i="59"/>
  <c r="BZ118" i="59" s="1"/>
  <c r="F117" i="59"/>
  <c r="I117" i="59" s="1"/>
  <c r="CP117" i="59" s="1"/>
  <c r="E117" i="59"/>
  <c r="F116" i="59"/>
  <c r="I116" i="59" s="1"/>
  <c r="E116" i="59"/>
  <c r="F113" i="59"/>
  <c r="I113" i="59" s="1"/>
  <c r="E113" i="59"/>
  <c r="F112" i="59"/>
  <c r="I112" i="59" s="1"/>
  <c r="E112" i="59"/>
  <c r="F111" i="59"/>
  <c r="I111" i="59" s="1"/>
  <c r="CC111" i="59" s="1"/>
  <c r="E111" i="59"/>
  <c r="F110" i="59"/>
  <c r="I110" i="59" s="1"/>
  <c r="E110" i="59"/>
  <c r="F109" i="59"/>
  <c r="I109" i="59" s="1"/>
  <c r="E109" i="59"/>
  <c r="F108" i="59"/>
  <c r="I108" i="59" s="1"/>
  <c r="E108" i="59"/>
  <c r="AF108" i="59" s="1"/>
  <c r="F107" i="59"/>
  <c r="I107" i="59" s="1"/>
  <c r="E107" i="59"/>
  <c r="F106" i="59"/>
  <c r="I106" i="59" s="1"/>
  <c r="E106" i="59"/>
  <c r="BU105" i="59"/>
  <c r="F105" i="59"/>
  <c r="I105" i="59" s="1"/>
  <c r="E105" i="59"/>
  <c r="AD105" i="59" s="1"/>
  <c r="F104" i="59"/>
  <c r="I104" i="59" s="1"/>
  <c r="AH104" i="59" s="1"/>
  <c r="E104" i="59"/>
  <c r="F103" i="59"/>
  <c r="I103" i="59" s="1"/>
  <c r="CP103" i="59" s="1"/>
  <c r="E103" i="59"/>
  <c r="F102" i="59"/>
  <c r="I102" i="59" s="1"/>
  <c r="BQ102" i="59" s="1"/>
  <c r="E102" i="59"/>
  <c r="F101" i="59"/>
  <c r="I101" i="59" s="1"/>
  <c r="BZ101" i="59" s="1"/>
  <c r="E101" i="59"/>
  <c r="F100" i="59"/>
  <c r="I100" i="59" s="1"/>
  <c r="CK100" i="59" s="1"/>
  <c r="E100" i="59"/>
  <c r="F99" i="59"/>
  <c r="I99" i="59" s="1"/>
  <c r="E99" i="59"/>
  <c r="F98" i="59"/>
  <c r="I98" i="59" s="1"/>
  <c r="E98" i="59"/>
  <c r="BV97" i="59"/>
  <c r="BE97" i="59"/>
  <c r="F97" i="59"/>
  <c r="I97" i="59" s="1"/>
  <c r="CO97" i="59" s="1"/>
  <c r="E97" i="59"/>
  <c r="F96" i="59"/>
  <c r="I96" i="59" s="1"/>
  <c r="BX96" i="59" s="1"/>
  <c r="E96" i="59"/>
  <c r="F95" i="59"/>
  <c r="I95" i="59" s="1"/>
  <c r="AI95" i="59" s="1"/>
  <c r="E95" i="59"/>
  <c r="F94" i="59"/>
  <c r="I94" i="59" s="1"/>
  <c r="CH94" i="59" s="1"/>
  <c r="E94" i="59"/>
  <c r="F93" i="59"/>
  <c r="I93" i="59" s="1"/>
  <c r="E93" i="59"/>
  <c r="F92" i="59"/>
  <c r="I92" i="59" s="1"/>
  <c r="CN92" i="59" s="1"/>
  <c r="E92" i="59"/>
  <c r="F91" i="59"/>
  <c r="I91" i="59" s="1"/>
  <c r="CC91" i="59" s="1"/>
  <c r="E91" i="59"/>
  <c r="F90" i="59"/>
  <c r="I90" i="59" s="1"/>
  <c r="E90" i="59"/>
  <c r="F89" i="59"/>
  <c r="I89" i="59" s="1"/>
  <c r="BW89" i="59" s="1"/>
  <c r="E89" i="59"/>
  <c r="F88" i="59"/>
  <c r="I88" i="59" s="1"/>
  <c r="CL88" i="59" s="1"/>
  <c r="E88" i="59"/>
  <c r="F87" i="59"/>
  <c r="I87" i="59" s="1"/>
  <c r="CO87" i="59" s="1"/>
  <c r="E87" i="59"/>
  <c r="BI87" i="59" s="1"/>
  <c r="F83" i="59"/>
  <c r="I83" i="59" s="1"/>
  <c r="BW83" i="59" s="1"/>
  <c r="E83" i="59"/>
  <c r="F82" i="59"/>
  <c r="I82" i="59" s="1"/>
  <c r="E82" i="59"/>
  <c r="AO81" i="59"/>
  <c r="F81" i="59"/>
  <c r="I81" i="59" s="1"/>
  <c r="E81" i="59"/>
  <c r="BP80" i="59"/>
  <c r="T80" i="59"/>
  <c r="F80" i="59"/>
  <c r="I80" i="59" s="1"/>
  <c r="CQ80" i="59" s="1"/>
  <c r="E80" i="59"/>
  <c r="T79" i="59"/>
  <c r="F79" i="59"/>
  <c r="I79" i="59" s="1"/>
  <c r="CH79" i="59" s="1"/>
  <c r="E79" i="59"/>
  <c r="R78" i="59"/>
  <c r="Q78" i="59"/>
  <c r="F78" i="59"/>
  <c r="I78" i="59" s="1"/>
  <c r="W78" i="59" s="1"/>
  <c r="E78" i="59"/>
  <c r="BP77" i="59"/>
  <c r="R77" i="59"/>
  <c r="Q77" i="59"/>
  <c r="F77" i="59"/>
  <c r="I77" i="59" s="1"/>
  <c r="CM77" i="59" s="1"/>
  <c r="E77" i="59"/>
  <c r="BV76" i="59"/>
  <c r="R76" i="59"/>
  <c r="F76" i="59"/>
  <c r="I76" i="59" s="1"/>
  <c r="CB76" i="59" s="1"/>
  <c r="E76" i="59"/>
  <c r="AN76" i="59" s="1"/>
  <c r="CB75" i="59"/>
  <c r="R75" i="59"/>
  <c r="F75" i="59"/>
  <c r="I75" i="59" s="1"/>
  <c r="AV75" i="59" s="1"/>
  <c r="E75" i="59"/>
  <c r="F74" i="59"/>
  <c r="I74" i="59" s="1"/>
  <c r="E74" i="59"/>
  <c r="F73" i="59"/>
  <c r="I73" i="59" s="1"/>
  <c r="E73" i="59"/>
  <c r="F72" i="59"/>
  <c r="I72" i="59" s="1"/>
  <c r="BT72" i="59" s="1"/>
  <c r="E72" i="59"/>
  <c r="BO71" i="59"/>
  <c r="BG71" i="59"/>
  <c r="F71" i="59"/>
  <c r="I71" i="59" s="1"/>
  <c r="BW71" i="59" s="1"/>
  <c r="E71" i="59"/>
  <c r="F70" i="59"/>
  <c r="I70" i="59" s="1"/>
  <c r="BJ70" i="59" s="1"/>
  <c r="E70" i="59"/>
  <c r="F69" i="59"/>
  <c r="I69" i="59" s="1"/>
  <c r="CC69" i="59" s="1"/>
  <c r="E69" i="59"/>
  <c r="F68" i="59"/>
  <c r="I68" i="59" s="1"/>
  <c r="CP68" i="59" s="1"/>
  <c r="E68" i="59"/>
  <c r="F67" i="59"/>
  <c r="I67" i="59" s="1"/>
  <c r="E67" i="59"/>
  <c r="F66" i="59"/>
  <c r="I66" i="59" s="1"/>
  <c r="BO66" i="59" s="1"/>
  <c r="E66" i="59"/>
  <c r="F65" i="59"/>
  <c r="I65" i="59" s="1"/>
  <c r="BZ65" i="59" s="1"/>
  <c r="E65" i="59"/>
  <c r="F64" i="59"/>
  <c r="I64" i="59" s="1"/>
  <c r="CB64" i="59" s="1"/>
  <c r="E64" i="59"/>
  <c r="F63" i="59"/>
  <c r="I63" i="59" s="1"/>
  <c r="CP63" i="59" s="1"/>
  <c r="E63" i="59"/>
  <c r="F62" i="59"/>
  <c r="I62" i="59" s="1"/>
  <c r="AJ62" i="59" s="1"/>
  <c r="E62" i="59"/>
  <c r="F61" i="59"/>
  <c r="I61" i="59" s="1"/>
  <c r="E61" i="59"/>
  <c r="F60" i="59"/>
  <c r="I60" i="59" s="1"/>
  <c r="E60" i="59"/>
  <c r="F59" i="59"/>
  <c r="I59" i="59" s="1"/>
  <c r="E59" i="59"/>
  <c r="F58" i="59"/>
  <c r="I58" i="59" s="1"/>
  <c r="CG58" i="59" s="1"/>
  <c r="E58" i="59"/>
  <c r="BP57" i="59"/>
  <c r="F57" i="59"/>
  <c r="I57" i="59" s="1"/>
  <c r="AH57" i="59" s="1"/>
  <c r="E57" i="59"/>
  <c r="F56" i="59"/>
  <c r="I56" i="59" s="1"/>
  <c r="CK56" i="59" s="1"/>
  <c r="E56" i="59"/>
  <c r="F55" i="59"/>
  <c r="I55" i="59" s="1"/>
  <c r="CL55" i="59" s="1"/>
  <c r="E55" i="59"/>
  <c r="R54" i="59"/>
  <c r="Q54" i="59"/>
  <c r="F54" i="59"/>
  <c r="I54" i="59" s="1"/>
  <c r="CC54" i="59" s="1"/>
  <c r="E54" i="59"/>
  <c r="R53" i="59"/>
  <c r="Q53" i="59"/>
  <c r="I53" i="59"/>
  <c r="CP53" i="59" s="1"/>
  <c r="F53" i="59"/>
  <c r="E53" i="59"/>
  <c r="R52" i="59"/>
  <c r="Q52" i="59"/>
  <c r="F52" i="59"/>
  <c r="I52" i="59" s="1"/>
  <c r="BQ52" i="59" s="1"/>
  <c r="E52" i="59"/>
  <c r="F51" i="59"/>
  <c r="I51" i="59" s="1"/>
  <c r="CJ51" i="59" s="1"/>
  <c r="E51" i="59"/>
  <c r="F50" i="59"/>
  <c r="I50" i="59" s="1"/>
  <c r="E50" i="59"/>
  <c r="BS49" i="59"/>
  <c r="F49" i="59"/>
  <c r="I49" i="59" s="1"/>
  <c r="E49" i="59"/>
  <c r="F48" i="59"/>
  <c r="I48" i="59" s="1"/>
  <c r="CP48" i="59" s="1"/>
  <c r="E48" i="59"/>
  <c r="F47" i="59"/>
  <c r="I47" i="59" s="1"/>
  <c r="E47" i="59"/>
  <c r="F46" i="59"/>
  <c r="I46" i="59" s="1"/>
  <c r="E46" i="59"/>
  <c r="BK45" i="59"/>
  <c r="F45" i="59"/>
  <c r="I45" i="59" s="1"/>
  <c r="CK45" i="59" s="1"/>
  <c r="E45" i="59"/>
  <c r="F44" i="59"/>
  <c r="I44" i="59" s="1"/>
  <c r="CA44" i="59" s="1"/>
  <c r="E44" i="59"/>
  <c r="F43" i="59"/>
  <c r="I43" i="59" s="1"/>
  <c r="CO43" i="59" s="1"/>
  <c r="E43" i="59"/>
  <c r="BU42" i="59"/>
  <c r="F42" i="59"/>
  <c r="I42" i="59" s="1"/>
  <c r="CG42" i="59" s="1"/>
  <c r="E42" i="59"/>
  <c r="F41" i="59"/>
  <c r="I41" i="59" s="1"/>
  <c r="E41" i="59"/>
  <c r="F40" i="59"/>
  <c r="I40" i="59" s="1"/>
  <c r="E40" i="59"/>
  <c r="F39" i="59"/>
  <c r="I39" i="59" s="1"/>
  <c r="E39" i="59"/>
  <c r="F38" i="59"/>
  <c r="I38" i="59" s="1"/>
  <c r="CI38" i="59" s="1"/>
  <c r="E38" i="59"/>
  <c r="F37" i="59"/>
  <c r="I37" i="59" s="1"/>
  <c r="E37" i="59"/>
  <c r="F36" i="59"/>
  <c r="I36" i="59" s="1"/>
  <c r="BX36" i="59" s="1"/>
  <c r="E36" i="59"/>
  <c r="BS35" i="59"/>
  <c r="BC35" i="59"/>
  <c r="F35" i="59"/>
  <c r="I35" i="59" s="1"/>
  <c r="CA35" i="59" s="1"/>
  <c r="E35" i="59"/>
  <c r="AM35" i="59" s="1"/>
  <c r="F34" i="59"/>
  <c r="I34" i="59" s="1"/>
  <c r="E34" i="59"/>
  <c r="F33" i="59"/>
  <c r="I33" i="59" s="1"/>
  <c r="E33" i="59"/>
  <c r="F32" i="59"/>
  <c r="I32" i="59" s="1"/>
  <c r="E32" i="59"/>
  <c r="F31" i="59"/>
  <c r="I31" i="59" s="1"/>
  <c r="E31" i="59"/>
  <c r="F30" i="59"/>
  <c r="I30" i="59" s="1"/>
  <c r="E30" i="59"/>
  <c r="F29" i="59"/>
  <c r="I29" i="59" s="1"/>
  <c r="E29" i="59"/>
  <c r="AK28" i="59"/>
  <c r="F28" i="59"/>
  <c r="I28" i="59" s="1"/>
  <c r="E28" i="59"/>
  <c r="F27" i="59"/>
  <c r="I27" i="59" s="1"/>
  <c r="AJ27" i="59" s="1"/>
  <c r="E27" i="59"/>
  <c r="F26" i="59"/>
  <c r="I26" i="59" s="1"/>
  <c r="CA26" i="59" s="1"/>
  <c r="E26" i="59"/>
  <c r="F25" i="59"/>
  <c r="I25" i="59" s="1"/>
  <c r="E25" i="59"/>
  <c r="F24" i="59"/>
  <c r="I24" i="59" s="1"/>
  <c r="E24" i="59"/>
  <c r="F23" i="59"/>
  <c r="I23" i="59" s="1"/>
  <c r="BV23" i="59" s="1"/>
  <c r="E23" i="59"/>
  <c r="F22" i="59"/>
  <c r="I22" i="59" s="1"/>
  <c r="BG22" i="59" s="1"/>
  <c r="E22" i="59"/>
  <c r="F21" i="59"/>
  <c r="I21" i="59" s="1"/>
  <c r="E21" i="59"/>
  <c r="F20" i="59"/>
  <c r="I20" i="59" s="1"/>
  <c r="BS20" i="59" s="1"/>
  <c r="E20" i="59"/>
  <c r="F19" i="59"/>
  <c r="I19" i="59" s="1"/>
  <c r="E19" i="59"/>
  <c r="F18" i="59"/>
  <c r="I18" i="59" s="1"/>
  <c r="E18" i="59"/>
  <c r="F17" i="59"/>
  <c r="I17" i="59" s="1"/>
  <c r="E17" i="59"/>
  <c r="F16" i="59"/>
  <c r="I16" i="59" s="1"/>
  <c r="CC16" i="59" s="1"/>
  <c r="E16" i="59"/>
  <c r="F15" i="59"/>
  <c r="I15" i="59" s="1"/>
  <c r="CG15" i="59" s="1"/>
  <c r="E15" i="59"/>
  <c r="F14" i="59"/>
  <c r="I14" i="59" s="1"/>
  <c r="CN14" i="59" s="1"/>
  <c r="E14" i="59"/>
  <c r="F13" i="59"/>
  <c r="I13" i="59" s="1"/>
  <c r="E13" i="59"/>
  <c r="F12" i="59"/>
  <c r="I12" i="59" s="1"/>
  <c r="E12" i="59"/>
  <c r="CR11" i="59"/>
  <c r="F11" i="59"/>
  <c r="I11" i="59" s="1"/>
  <c r="E11" i="59"/>
  <c r="F10" i="59"/>
  <c r="I10" i="59" s="1"/>
  <c r="E10" i="59"/>
  <c r="F9" i="59"/>
  <c r="I9" i="59" s="1"/>
  <c r="E9" i="59"/>
  <c r="F8" i="59"/>
  <c r="I8" i="59" s="1"/>
  <c r="CN8" i="59" s="1"/>
  <c r="E8" i="59"/>
  <c r="CH51" i="59" l="1"/>
  <c r="AL65" i="59"/>
  <c r="BC104" i="59"/>
  <c r="CE151" i="59"/>
  <c r="CG157" i="59"/>
  <c r="CP17" i="59"/>
  <c r="AL16" i="59"/>
  <c r="X57" i="59"/>
  <c r="BF65" i="59"/>
  <c r="CI71" i="59"/>
  <c r="CD88" i="59"/>
  <c r="AL112" i="59"/>
  <c r="BE121" i="59"/>
  <c r="BX147" i="59"/>
  <c r="BM156" i="59"/>
  <c r="W35" i="59"/>
  <c r="AU51" i="59"/>
  <c r="BC56" i="59"/>
  <c r="BJ117" i="59"/>
  <c r="BL119" i="59"/>
  <c r="BW181" i="59"/>
  <c r="CI183" i="59"/>
  <c r="CC124" i="59"/>
  <c r="BT124" i="59"/>
  <c r="AN124" i="59"/>
  <c r="CK21" i="59"/>
  <c r="BE21" i="59"/>
  <c r="AU21" i="59"/>
  <c r="CP13" i="59"/>
  <c r="BX13" i="59"/>
  <c r="AB13" i="59"/>
  <c r="AL23" i="59"/>
  <c r="AM26" i="59"/>
  <c r="CI56" i="59"/>
  <c r="Y58" i="59"/>
  <c r="BF68" i="59"/>
  <c r="X92" i="59"/>
  <c r="BE101" i="59"/>
  <c r="AC103" i="59"/>
  <c r="BK113" i="59"/>
  <c r="AR123" i="59"/>
  <c r="BU141" i="59"/>
  <c r="CQ12" i="59"/>
  <c r="CM22" i="59"/>
  <c r="CP23" i="59"/>
  <c r="CG37" i="59"/>
  <c r="CQ38" i="59"/>
  <c r="BV51" i="59"/>
  <c r="W56" i="59"/>
  <c r="AS58" i="59"/>
  <c r="BR63" i="59"/>
  <c r="BZ68" i="59"/>
  <c r="CG69" i="59"/>
  <c r="CF77" i="59"/>
  <c r="BF88" i="59"/>
  <c r="AF92" i="59"/>
  <c r="AY95" i="59"/>
  <c r="AF96" i="59"/>
  <c r="BP96" i="59"/>
  <c r="CC97" i="59"/>
  <c r="BI103" i="59"/>
  <c r="CE105" i="59"/>
  <c r="BR111" i="59"/>
  <c r="CQ113" i="59"/>
  <c r="CK120" i="59"/>
  <c r="BX123" i="59"/>
  <c r="CN160" i="59"/>
  <c r="BJ167" i="59"/>
  <c r="CB92" i="59"/>
  <c r="CN96" i="59"/>
  <c r="BV112" i="59"/>
  <c r="BN165" i="59"/>
  <c r="CK18" i="59"/>
  <c r="BS30" i="59"/>
  <c r="BK38" i="59"/>
  <c r="AK63" i="59"/>
  <c r="BH64" i="59"/>
  <c r="BM69" i="59"/>
  <c r="BH96" i="59"/>
  <c r="BD100" i="59"/>
  <c r="BZ179" i="59"/>
  <c r="BC13" i="59"/>
  <c r="AO42" i="59"/>
  <c r="CB51" i="59"/>
  <c r="AM56" i="59"/>
  <c r="BL92" i="59"/>
  <c r="CJ96" i="59"/>
  <c r="Y97" i="59"/>
  <c r="AS116" i="59"/>
  <c r="AN120" i="59"/>
  <c r="CM197" i="59"/>
  <c r="CP196" i="59"/>
  <c r="F14" i="68"/>
  <c r="F13" i="68"/>
  <c r="G13" i="68"/>
  <c r="D13" i="68"/>
  <c r="H13" i="68"/>
  <c r="G14" i="68"/>
  <c r="E14" i="68"/>
  <c r="E13" i="68"/>
  <c r="D14" i="68"/>
  <c r="H14" i="68"/>
  <c r="CQ41" i="59"/>
  <c r="AV41" i="59"/>
  <c r="CN40" i="59"/>
  <c r="AO40" i="59"/>
  <c r="CK40" i="59"/>
  <c r="AK52" i="59"/>
  <c r="BN73" i="59"/>
  <c r="AX73" i="59"/>
  <c r="BD15" i="59"/>
  <c r="CH61" i="59"/>
  <c r="CL61" i="59"/>
  <c r="AD61" i="59"/>
  <c r="BR61" i="59"/>
  <c r="Z61" i="59"/>
  <c r="CP200" i="59"/>
  <c r="CL200" i="59"/>
  <c r="BW14" i="59"/>
  <c r="CO100" i="59"/>
  <c r="BS103" i="59"/>
  <c r="CB109" i="59"/>
  <c r="CG109" i="59"/>
  <c r="AX112" i="59"/>
  <c r="BS122" i="59"/>
  <c r="AU122" i="59"/>
  <c r="BD144" i="59"/>
  <c r="BJ144" i="59"/>
  <c r="CN167" i="59"/>
  <c r="CB181" i="59"/>
  <c r="AM18" i="59"/>
  <c r="AM20" i="59"/>
  <c r="BU40" i="59"/>
  <c r="CB47" i="59"/>
  <c r="AO47" i="59"/>
  <c r="BL55" i="59"/>
  <c r="CF57" i="59"/>
  <c r="BD57" i="59"/>
  <c r="AT57" i="59"/>
  <c r="CN57" i="59"/>
  <c r="CB60" i="59"/>
  <c r="CN60" i="59"/>
  <c r="AB60" i="59"/>
  <c r="BB61" i="59"/>
  <c r="CJ88" i="59"/>
  <c r="CB88" i="59"/>
  <c r="AJ88" i="59"/>
  <c r="BP88" i="59"/>
  <c r="Z88" i="59"/>
  <c r="CN88" i="59"/>
  <c r="CG108" i="59"/>
  <c r="BV108" i="59"/>
  <c r="BA109" i="59"/>
  <c r="BD119" i="59"/>
  <c r="AQ119" i="59"/>
  <c r="BV121" i="59"/>
  <c r="CK121" i="59"/>
  <c r="AM122" i="59"/>
  <c r="CE166" i="59"/>
  <c r="CN27" i="59"/>
  <c r="BP27" i="59"/>
  <c r="CK52" i="59"/>
  <c r="CC52" i="59"/>
  <c r="BG52" i="59"/>
  <c r="BW52" i="59"/>
  <c r="AW52" i="59"/>
  <c r="CM52" i="59"/>
  <c r="BF59" i="59"/>
  <c r="AH59" i="59"/>
  <c r="AE71" i="59"/>
  <c r="AA71" i="59"/>
  <c r="CK30" i="59"/>
  <c r="AU30" i="59"/>
  <c r="AA30" i="59"/>
  <c r="BE40" i="59"/>
  <c r="BM52" i="59"/>
  <c r="AF55" i="59"/>
  <c r="AT61" i="59"/>
  <c r="AG73" i="59"/>
  <c r="CC100" i="59"/>
  <c r="BY100" i="59"/>
  <c r="AF100" i="59"/>
  <c r="BU100" i="59"/>
  <c r="X100" i="59"/>
  <c r="CI21" i="59"/>
  <c r="CA21" i="59"/>
  <c r="AI21" i="59"/>
  <c r="BO21" i="59"/>
  <c r="Y21" i="59"/>
  <c r="CO28" i="59"/>
  <c r="CG28" i="59"/>
  <c r="CO29" i="59"/>
  <c r="CP29" i="59"/>
  <c r="AD29" i="59"/>
  <c r="CO30" i="59"/>
  <c r="V40" i="59"/>
  <c r="CC42" i="59"/>
  <c r="BM42" i="59"/>
  <c r="BA42" i="59"/>
  <c r="BA52" i="59"/>
  <c r="AA52" i="59"/>
  <c r="CG52" i="59"/>
  <c r="CK54" i="59"/>
  <c r="AU54" i="59"/>
  <c r="X76" i="59"/>
  <c r="CL80" i="59"/>
  <c r="AZ80" i="59"/>
  <c r="Z80" i="59"/>
  <c r="AV88" i="59"/>
  <c r="CJ93" i="59"/>
  <c r="AM93" i="59"/>
  <c r="BC98" i="59"/>
  <c r="CQ99" i="59"/>
  <c r="AQ99" i="59"/>
  <c r="BI100" i="59"/>
  <c r="CD112" i="59"/>
  <c r="BY116" i="59"/>
  <c r="CA122" i="59"/>
  <c r="BH124" i="59"/>
  <c r="CN124" i="59"/>
  <c r="AW124" i="59"/>
  <c r="CL186" i="59"/>
  <c r="CI201" i="59"/>
  <c r="BQ58" i="59"/>
  <c r="AC68" i="59"/>
  <c r="AE69" i="59"/>
  <c r="CE71" i="59"/>
  <c r="AU77" i="59"/>
  <c r="AO77" i="59"/>
  <c r="CK77" i="59"/>
  <c r="AJ82" i="59"/>
  <c r="BT92" i="59"/>
  <c r="AV92" i="59"/>
  <c r="CJ92" i="59"/>
  <c r="BT96" i="59"/>
  <c r="AS97" i="59"/>
  <c r="BM97" i="59"/>
  <c r="CG97" i="59"/>
  <c r="CO103" i="59"/>
  <c r="AY105" i="59"/>
  <c r="CP105" i="59"/>
  <c r="BN112" i="59"/>
  <c r="CG116" i="59"/>
  <c r="CJ120" i="59"/>
  <c r="CO124" i="59"/>
  <c r="BU131" i="59"/>
  <c r="BP137" i="59"/>
  <c r="BJ156" i="59"/>
  <c r="CL185" i="59"/>
  <c r="CJ198" i="59"/>
  <c r="CN202" i="59"/>
  <c r="AB14" i="59"/>
  <c r="CN15" i="59"/>
  <c r="CL19" i="59"/>
  <c r="AT22" i="59"/>
  <c r="BQ28" i="59"/>
  <c r="CD29" i="59"/>
  <c r="CI35" i="59"/>
  <c r="AE38" i="59"/>
  <c r="U42" i="59"/>
  <c r="CL51" i="59"/>
  <c r="W54" i="59"/>
  <c r="BS56" i="59"/>
  <c r="CK58" i="59"/>
  <c r="BK77" i="59"/>
  <c r="AQ79" i="59"/>
  <c r="BD92" i="59"/>
  <c r="BN93" i="59"/>
  <c r="BO95" i="59"/>
  <c r="BQ97" i="59"/>
  <c r="CL97" i="59"/>
  <c r="BA108" i="59"/>
  <c r="CC121" i="59"/>
  <c r="CK182" i="59"/>
  <c r="CM184" i="59"/>
  <c r="I53" i="58"/>
  <c r="I55" i="58"/>
  <c r="CM203" i="59"/>
  <c r="H6" i="62"/>
  <c r="G27" i="62"/>
  <c r="H20" i="62"/>
  <c r="H13" i="62"/>
  <c r="CO31" i="59"/>
  <c r="CD31" i="59"/>
  <c r="CP31" i="59"/>
  <c r="BN31" i="59"/>
  <c r="CL31" i="59"/>
  <c r="AX31" i="59"/>
  <c r="BS32" i="59"/>
  <c r="AM32" i="59"/>
  <c r="CQ32" i="59"/>
  <c r="BK32" i="59"/>
  <c r="AE32" i="59"/>
  <c r="CI32" i="59"/>
  <c r="BC32" i="59"/>
  <c r="W32" i="59"/>
  <c r="CN33" i="59"/>
  <c r="BT33" i="59"/>
  <c r="AV33" i="59"/>
  <c r="AB33" i="59"/>
  <c r="AF33" i="59"/>
  <c r="CJ33" i="59"/>
  <c r="BL33" i="59"/>
  <c r="AR33" i="59"/>
  <c r="X33" i="59"/>
  <c r="CB33" i="59"/>
  <c r="BH33" i="59"/>
  <c r="AN33" i="59"/>
  <c r="BX33" i="59"/>
  <c r="BD33" i="59"/>
  <c r="CK39" i="59"/>
  <c r="BQ39" i="59"/>
  <c r="AW39" i="59"/>
  <c r="BU39" i="59"/>
  <c r="BA39" i="59"/>
  <c r="CG39" i="59"/>
  <c r="BM39" i="59"/>
  <c r="AO39" i="59"/>
  <c r="X39" i="59"/>
  <c r="CC39" i="59"/>
  <c r="BE39" i="59"/>
  <c r="AK39" i="59"/>
  <c r="CQ46" i="59"/>
  <c r="CJ46" i="59"/>
  <c r="BT46" i="59"/>
  <c r="AX46" i="59"/>
  <c r="AD46" i="59"/>
  <c r="BX46" i="59"/>
  <c r="AH46" i="59"/>
  <c r="CF46" i="59"/>
  <c r="BP46" i="59"/>
  <c r="AT46" i="59"/>
  <c r="V46" i="59"/>
  <c r="CN46" i="59"/>
  <c r="CB46" i="59"/>
  <c r="BL46" i="59"/>
  <c r="AL46" i="59"/>
  <c r="BB46" i="59"/>
  <c r="X15" i="59"/>
  <c r="BN15" i="59"/>
  <c r="CO16" i="59"/>
  <c r="BW16" i="59"/>
  <c r="BB16" i="59"/>
  <c r="AG16" i="59"/>
  <c r="CM16" i="59"/>
  <c r="BR16" i="59"/>
  <c r="AW16" i="59"/>
  <c r="AA16" i="59"/>
  <c r="CH16" i="59"/>
  <c r="BM16" i="59"/>
  <c r="AQ16" i="59"/>
  <c r="V16" i="59"/>
  <c r="CM18" i="59"/>
  <c r="CC18" i="59"/>
  <c r="BC18" i="59"/>
  <c r="AG18" i="59"/>
  <c r="BU18" i="59"/>
  <c r="AW18" i="59"/>
  <c r="AB18" i="59"/>
  <c r="BM18" i="59"/>
  <c r="AR18" i="59"/>
  <c r="W18" i="59"/>
  <c r="CQ26" i="59"/>
  <c r="BW26" i="59"/>
  <c r="BC26" i="59"/>
  <c r="AE26" i="59"/>
  <c r="CM26" i="59"/>
  <c r="BS26" i="59"/>
  <c r="AU26" i="59"/>
  <c r="AA26" i="59"/>
  <c r="CI26" i="59"/>
  <c r="BK26" i="59"/>
  <c r="AQ26" i="59"/>
  <c r="U26" i="59"/>
  <c r="AH31" i="59"/>
  <c r="AU32" i="59"/>
  <c r="AH15" i="59"/>
  <c r="BY15" i="59"/>
  <c r="CK22" i="59"/>
  <c r="CA22" i="59"/>
  <c r="BO22" i="59"/>
  <c r="BE22" i="59"/>
  <c r="AP22" i="59"/>
  <c r="Z22" i="59"/>
  <c r="CI22" i="59"/>
  <c r="BW22" i="59"/>
  <c r="BM22" i="59"/>
  <c r="BC22" i="59"/>
  <c r="AL22" i="59"/>
  <c r="V22" i="59"/>
  <c r="CQ22" i="59"/>
  <c r="CE22" i="59"/>
  <c r="BU22" i="59"/>
  <c r="BK22" i="59"/>
  <c r="AY22" i="59"/>
  <c r="AH22" i="59"/>
  <c r="BS22" i="59"/>
  <c r="CB25" i="59"/>
  <c r="AR25" i="59"/>
  <c r="CN25" i="59"/>
  <c r="AB25" i="59"/>
  <c r="BX25" i="59"/>
  <c r="BA28" i="59"/>
  <c r="U28" i="59"/>
  <c r="CH31" i="59"/>
  <c r="CA32" i="59"/>
  <c r="CP50" i="59"/>
  <c r="BZ50" i="59"/>
  <c r="BF50" i="59"/>
  <c r="AP50" i="59"/>
  <c r="Z50" i="59"/>
  <c r="BJ50" i="59"/>
  <c r="CL50" i="59"/>
  <c r="BV50" i="59"/>
  <c r="BB50" i="59"/>
  <c r="AL50" i="59"/>
  <c r="V50" i="59"/>
  <c r="AT50" i="59"/>
  <c r="CH50" i="59"/>
  <c r="BN50" i="59"/>
  <c r="AX50" i="59"/>
  <c r="AH50" i="59"/>
  <c r="CD50" i="59"/>
  <c r="AD50" i="59"/>
  <c r="AW14" i="59"/>
  <c r="CO9" i="59"/>
  <c r="V9" i="59"/>
  <c r="AS15" i="59"/>
  <c r="CJ15" i="59"/>
  <c r="BG16" i="59"/>
  <c r="BH18" i="59"/>
  <c r="CI20" i="59"/>
  <c r="BC20" i="59"/>
  <c r="W20" i="59"/>
  <c r="AD22" i="59"/>
  <c r="CC22" i="59"/>
  <c r="CL23" i="59"/>
  <c r="BR23" i="59"/>
  <c r="AD23" i="59"/>
  <c r="CH23" i="59"/>
  <c r="BB23" i="59"/>
  <c r="Z23" i="59"/>
  <c r="BZ23" i="59"/>
  <c r="AT23" i="59"/>
  <c r="V23" i="59"/>
  <c r="BH25" i="59"/>
  <c r="BG26" i="59"/>
  <c r="BJ29" i="59"/>
  <c r="BH36" i="59"/>
  <c r="CB36" i="59"/>
  <c r="BL41" i="59"/>
  <c r="BB43" i="59"/>
  <c r="CH43" i="59"/>
  <c r="AM44" i="59"/>
  <c r="AK48" i="59"/>
  <c r="AK51" i="59"/>
  <c r="BE51" i="59"/>
  <c r="CL59" i="59"/>
  <c r="CP70" i="59"/>
  <c r="BZ74" i="59"/>
  <c r="AM74" i="59"/>
  <c r="BR74" i="59"/>
  <c r="AE74" i="59"/>
  <c r="CP74" i="59"/>
  <c r="BJ74" i="59"/>
  <c r="W74" i="59"/>
  <c r="CA106" i="59"/>
  <c r="CG106" i="59"/>
  <c r="AP106" i="59"/>
  <c r="BV106" i="59"/>
  <c r="AE106" i="59"/>
  <c r="BK106" i="59"/>
  <c r="CQ106" i="59"/>
  <c r="BA106" i="59"/>
  <c r="BS143" i="59"/>
  <c r="CN143" i="59"/>
  <c r="CM161" i="59"/>
  <c r="CH161" i="59"/>
  <c r="BM161" i="59"/>
  <c r="BH13" i="59"/>
  <c r="CD13" i="59"/>
  <c r="AG14" i="59"/>
  <c r="BC14" i="59"/>
  <c r="CB14" i="59"/>
  <c r="Z15" i="59"/>
  <c r="AK15" i="59"/>
  <c r="AV15" i="59"/>
  <c r="BF15" i="59"/>
  <c r="BQ15" i="59"/>
  <c r="CB15" i="59"/>
  <c r="CL15" i="59"/>
  <c r="CJ19" i="59"/>
  <c r="CK20" i="59"/>
  <c r="AU20" i="59"/>
  <c r="CA20" i="59"/>
  <c r="AA21" i="59"/>
  <c r="AM21" i="59"/>
  <c r="AW21" i="59"/>
  <c r="BG21" i="59"/>
  <c r="BS21" i="59"/>
  <c r="CC21" i="59"/>
  <c r="CM21" i="59"/>
  <c r="AR27" i="59"/>
  <c r="BX27" i="59"/>
  <c r="AS28" i="59"/>
  <c r="BY28" i="59"/>
  <c r="AL29" i="59"/>
  <c r="BR29" i="59"/>
  <c r="AE30" i="59"/>
  <c r="BC30" i="59"/>
  <c r="BW30" i="59"/>
  <c r="BZ31" i="59"/>
  <c r="AE35" i="59"/>
  <c r="BK35" i="59"/>
  <c r="CQ35" i="59"/>
  <c r="X36" i="59"/>
  <c r="AR36" i="59"/>
  <c r="BL36" i="59"/>
  <c r="CJ36" i="59"/>
  <c r="AM38" i="59"/>
  <c r="BS38" i="59"/>
  <c r="AS40" i="59"/>
  <c r="BI40" i="59"/>
  <c r="BY40" i="59"/>
  <c r="CO40" i="59"/>
  <c r="AJ41" i="59"/>
  <c r="AZ41" i="59"/>
  <c r="BP41" i="59"/>
  <c r="CF41" i="59"/>
  <c r="AW42" i="59"/>
  <c r="BQ42" i="59"/>
  <c r="CK42" i="59"/>
  <c r="AP43" i="59"/>
  <c r="BF43" i="59"/>
  <c r="BV43" i="59"/>
  <c r="CL43" i="59"/>
  <c r="W44" i="59"/>
  <c r="AU44" i="59"/>
  <c r="BO44" i="59"/>
  <c r="CM44" i="59"/>
  <c r="BX47" i="59"/>
  <c r="U48" i="59"/>
  <c r="AO48" i="59"/>
  <c r="BJ48" i="59"/>
  <c r="CH48" i="59"/>
  <c r="AC51" i="59"/>
  <c r="AM51" i="59"/>
  <c r="AW51" i="59"/>
  <c r="BI51" i="59"/>
  <c r="BT51" i="59"/>
  <c r="CD51" i="59"/>
  <c r="CP51" i="59"/>
  <c r="AC52" i="59"/>
  <c r="AO52" i="59"/>
  <c r="AY52" i="59"/>
  <c r="BI52" i="59"/>
  <c r="BU52" i="59"/>
  <c r="CE52" i="59"/>
  <c r="CO52" i="59"/>
  <c r="CN53" i="59"/>
  <c r="BC54" i="59"/>
  <c r="AN55" i="59"/>
  <c r="BT55" i="59"/>
  <c r="AU56" i="59"/>
  <c r="CA56" i="59"/>
  <c r="Z57" i="59"/>
  <c r="AL57" i="59"/>
  <c r="AV57" i="59"/>
  <c r="BF57" i="59"/>
  <c r="BX57" i="59"/>
  <c r="AC58" i="59"/>
  <c r="BA58" i="59"/>
  <c r="BU58" i="59"/>
  <c r="CO58" i="59"/>
  <c r="V59" i="59"/>
  <c r="AP59" i="59"/>
  <c r="AT70" i="59"/>
  <c r="CN72" i="59"/>
  <c r="BD72" i="59"/>
  <c r="AB72" i="59"/>
  <c r="CJ72" i="59"/>
  <c r="BB74" i="59"/>
  <c r="V79" i="59"/>
  <c r="CK87" i="59"/>
  <c r="BU87" i="59"/>
  <c r="BE87" i="59"/>
  <c r="AO87" i="59"/>
  <c r="Y87" i="59"/>
  <c r="CG87" i="59"/>
  <c r="BQ87" i="59"/>
  <c r="BA87" i="59"/>
  <c r="AK87" i="59"/>
  <c r="CC87" i="59"/>
  <c r="BM87" i="59"/>
  <c r="AW87" i="59"/>
  <c r="AG87" i="59"/>
  <c r="BY87" i="59"/>
  <c r="AW91" i="59"/>
  <c r="AN36" i="59"/>
  <c r="BR43" i="59"/>
  <c r="BK44" i="59"/>
  <c r="BF48" i="59"/>
  <c r="BQ51" i="59"/>
  <c r="CF53" i="59"/>
  <c r="BN13" i="59"/>
  <c r="CI13" i="59"/>
  <c r="AM14" i="59"/>
  <c r="BH14" i="59"/>
  <c r="CG14" i="59"/>
  <c r="AC15" i="59"/>
  <c r="AN15" i="59"/>
  <c r="AX15" i="59"/>
  <c r="BI15" i="59"/>
  <c r="BT15" i="59"/>
  <c r="CD15" i="59"/>
  <c r="CO15" i="59"/>
  <c r="AE21" i="59"/>
  <c r="AO21" i="59"/>
  <c r="AY21" i="59"/>
  <c r="BK21" i="59"/>
  <c r="BU21" i="59"/>
  <c r="CE21" i="59"/>
  <c r="CQ21" i="59"/>
  <c r="AX23" i="59"/>
  <c r="AZ27" i="59"/>
  <c r="CF27" i="59"/>
  <c r="AT29" i="59"/>
  <c r="BZ29" i="59"/>
  <c r="AM30" i="59"/>
  <c r="BG30" i="59"/>
  <c r="CC30" i="59"/>
  <c r="AB36" i="59"/>
  <c r="AV36" i="59"/>
  <c r="BT36" i="59"/>
  <c r="CN36" i="59"/>
  <c r="AU38" i="59"/>
  <c r="CA38" i="59"/>
  <c r="AW40" i="59"/>
  <c r="BM40" i="59"/>
  <c r="CC40" i="59"/>
  <c r="AN41" i="59"/>
  <c r="BD41" i="59"/>
  <c r="BT41" i="59"/>
  <c r="CJ41" i="59"/>
  <c r="AL43" i="59"/>
  <c r="AT43" i="59"/>
  <c r="BJ43" i="59"/>
  <c r="BZ43" i="59"/>
  <c r="CP43" i="59"/>
  <c r="AA44" i="59"/>
  <c r="AY44" i="59"/>
  <c r="BW44" i="59"/>
  <c r="CQ44" i="59"/>
  <c r="CN47" i="59"/>
  <c r="Y48" i="59"/>
  <c r="AS48" i="59"/>
  <c r="BR48" i="59"/>
  <c r="CL48" i="59"/>
  <c r="U51" i="59"/>
  <c r="AE51" i="59"/>
  <c r="AO51" i="59"/>
  <c r="BA51" i="59"/>
  <c r="BK51" i="59"/>
  <c r="U52" i="59"/>
  <c r="AG52" i="59"/>
  <c r="AQ52" i="59"/>
  <c r="AR53" i="59"/>
  <c r="AV55" i="59"/>
  <c r="CB55" i="59"/>
  <c r="AD57" i="59"/>
  <c r="AN57" i="59"/>
  <c r="AX57" i="59"/>
  <c r="BJ57" i="59"/>
  <c r="CB57" i="59"/>
  <c r="AK58" i="59"/>
  <c r="BE58" i="59"/>
  <c r="BY58" i="59"/>
  <c r="Z59" i="59"/>
  <c r="CB67" i="59"/>
  <c r="CN67" i="59"/>
  <c r="AB67" i="59"/>
  <c r="BX67" i="59"/>
  <c r="BH67" i="59"/>
  <c r="CH74" i="59"/>
  <c r="CI78" i="59"/>
  <c r="BN78" i="59"/>
  <c r="AR78" i="59"/>
  <c r="AC87" i="59"/>
  <c r="AL90" i="59"/>
  <c r="BR90" i="59"/>
  <c r="BZ90" i="59"/>
  <c r="AT90" i="59"/>
  <c r="BE96" i="59"/>
  <c r="AV96" i="59"/>
  <c r="AB96" i="59"/>
  <c r="AK96" i="59"/>
  <c r="BA96" i="59"/>
  <c r="BW99" i="59"/>
  <c r="AE99" i="59"/>
  <c r="AY99" i="59"/>
  <c r="CE99" i="59"/>
  <c r="CP107" i="59"/>
  <c r="CI107" i="59"/>
  <c r="BY107" i="59"/>
  <c r="BN107" i="59"/>
  <c r="BC107" i="59"/>
  <c r="AS107" i="59"/>
  <c r="AH107" i="59"/>
  <c r="CH107" i="59"/>
  <c r="BW107" i="59"/>
  <c r="BM107" i="59"/>
  <c r="BB107" i="59"/>
  <c r="AQ107" i="59"/>
  <c r="AG107" i="59"/>
  <c r="CO107" i="59"/>
  <c r="CD107" i="59"/>
  <c r="BS107" i="59"/>
  <c r="BI107" i="59"/>
  <c r="AX107" i="59"/>
  <c r="AM107" i="59"/>
  <c r="AC107" i="59"/>
  <c r="CM107" i="59"/>
  <c r="AW107" i="59"/>
  <c r="CC107" i="59"/>
  <c r="AL107" i="59"/>
  <c r="BR107" i="59"/>
  <c r="AA107" i="59"/>
  <c r="CB41" i="59"/>
  <c r="CE44" i="59"/>
  <c r="BZ48" i="59"/>
  <c r="Y51" i="59"/>
  <c r="CO59" i="59"/>
  <c r="CH59" i="59"/>
  <c r="BR59" i="59"/>
  <c r="BB59" i="59"/>
  <c r="AL59" i="59"/>
  <c r="CD59" i="59"/>
  <c r="BN59" i="59"/>
  <c r="AX59" i="59"/>
  <c r="CP59" i="59"/>
  <c r="BZ59" i="59"/>
  <c r="BJ59" i="59"/>
  <c r="AT59" i="59"/>
  <c r="CO70" i="59"/>
  <c r="CL70" i="59"/>
  <c r="BV70" i="59"/>
  <c r="BF70" i="59"/>
  <c r="AP70" i="59"/>
  <c r="CH70" i="59"/>
  <c r="BR70" i="59"/>
  <c r="BB70" i="59"/>
  <c r="AL70" i="59"/>
  <c r="CD70" i="59"/>
  <c r="BN70" i="59"/>
  <c r="AX70" i="59"/>
  <c r="Z70" i="59"/>
  <c r="BX82" i="59"/>
  <c r="BP82" i="59"/>
  <c r="AR82" i="59"/>
  <c r="CM91" i="59"/>
  <c r="CO91" i="59"/>
  <c r="BY91" i="59"/>
  <c r="BI91" i="59"/>
  <c r="AS91" i="59"/>
  <c r="AC91" i="59"/>
  <c r="CG91" i="59"/>
  <c r="BQ91" i="59"/>
  <c r="BA91" i="59"/>
  <c r="AK91" i="59"/>
  <c r="BU91" i="59"/>
  <c r="AO91" i="59"/>
  <c r="BM91" i="59"/>
  <c r="AG91" i="59"/>
  <c r="CK91" i="59"/>
  <c r="BE91" i="59"/>
  <c r="Y91" i="59"/>
  <c r="BT140" i="59"/>
  <c r="BA140" i="59"/>
  <c r="CP9" i="59"/>
  <c r="W13" i="59"/>
  <c r="BS13" i="59"/>
  <c r="CN13" i="59"/>
  <c r="W14" i="59"/>
  <c r="AR14" i="59"/>
  <c r="BQ14" i="59"/>
  <c r="CM14" i="59"/>
  <c r="U15" i="59"/>
  <c r="AF15" i="59"/>
  <c r="AP15" i="59"/>
  <c r="BA15" i="59"/>
  <c r="BL15" i="59"/>
  <c r="BV15" i="59"/>
  <c r="CN17" i="59"/>
  <c r="AE20" i="59"/>
  <c r="BK20" i="59"/>
  <c r="CQ20" i="59"/>
  <c r="W21" i="59"/>
  <c r="AG21" i="59"/>
  <c r="AQ21" i="59"/>
  <c r="BC21" i="59"/>
  <c r="BM21" i="59"/>
  <c r="BW21" i="59"/>
  <c r="AV22" i="59"/>
  <c r="X27" i="59"/>
  <c r="BH27" i="59"/>
  <c r="AC28" i="59"/>
  <c r="BI28" i="59"/>
  <c r="V29" i="59"/>
  <c r="BB29" i="59"/>
  <c r="CL29" i="59"/>
  <c r="W30" i="59"/>
  <c r="AQ30" i="59"/>
  <c r="BK30" i="59"/>
  <c r="AU35" i="59"/>
  <c r="AF36" i="59"/>
  <c r="BD36" i="59"/>
  <c r="W38" i="59"/>
  <c r="BC38" i="59"/>
  <c r="AK40" i="59"/>
  <c r="BA40" i="59"/>
  <c r="BQ40" i="59"/>
  <c r="CG40" i="59"/>
  <c r="AR41" i="59"/>
  <c r="BH41" i="59"/>
  <c r="BX41" i="59"/>
  <c r="CN41" i="59"/>
  <c r="AK42" i="59"/>
  <c r="BE42" i="59"/>
  <c r="AX43" i="59"/>
  <c r="BN43" i="59"/>
  <c r="CD43" i="59"/>
  <c r="AE44" i="59"/>
  <c r="BG44" i="59"/>
  <c r="BF46" i="59"/>
  <c r="Y47" i="59"/>
  <c r="AC48" i="59"/>
  <c r="BA48" i="59"/>
  <c r="BV48" i="59"/>
  <c r="W51" i="59"/>
  <c r="AG51" i="59"/>
  <c r="AS51" i="59"/>
  <c r="BC51" i="59"/>
  <c r="BM51" i="59"/>
  <c r="BZ51" i="59"/>
  <c r="Y52" i="59"/>
  <c r="AI52" i="59"/>
  <c r="AS52" i="59"/>
  <c r="BE52" i="59"/>
  <c r="BO52" i="59"/>
  <c r="BY52" i="59"/>
  <c r="BX53" i="59"/>
  <c r="AM54" i="59"/>
  <c r="X55" i="59"/>
  <c r="BD55" i="59"/>
  <c r="CJ55" i="59"/>
  <c r="AE56" i="59"/>
  <c r="BK56" i="59"/>
  <c r="CQ56" i="59"/>
  <c r="V57" i="59"/>
  <c r="AF57" i="59"/>
  <c r="AP57" i="59"/>
  <c r="BB57" i="59"/>
  <c r="BL57" i="59"/>
  <c r="U58" i="59"/>
  <c r="AO58" i="59"/>
  <c r="BI58" i="59"/>
  <c r="AD59" i="59"/>
  <c r="BV59" i="59"/>
  <c r="CP65" i="59"/>
  <c r="BV65" i="59"/>
  <c r="BB65" i="59"/>
  <c r="AC65" i="59"/>
  <c r="CL65" i="59"/>
  <c r="BR65" i="59"/>
  <c r="AT65" i="59"/>
  <c r="Y65" i="59"/>
  <c r="CH65" i="59"/>
  <c r="BJ65" i="59"/>
  <c r="AP65" i="59"/>
  <c r="U65" i="59"/>
  <c r="AR67" i="59"/>
  <c r="BZ70" i="59"/>
  <c r="CN79" i="59"/>
  <c r="CB79" i="59"/>
  <c r="BG79" i="59"/>
  <c r="AL79" i="59"/>
  <c r="BW79" i="59"/>
  <c r="BB79" i="59"/>
  <c r="AF79" i="59"/>
  <c r="CM79" i="59"/>
  <c r="BR79" i="59"/>
  <c r="AV79" i="59"/>
  <c r="AA79" i="59"/>
  <c r="BL79" i="59"/>
  <c r="AS87" i="59"/>
  <c r="CO89" i="59"/>
  <c r="BO89" i="59"/>
  <c r="CM89" i="59"/>
  <c r="BG89" i="59"/>
  <c r="CE89" i="59"/>
  <c r="AA89" i="59"/>
  <c r="BG107" i="59"/>
  <c r="AR60" i="59"/>
  <c r="BV61" i="59"/>
  <c r="CP61" i="59"/>
  <c r="AS63" i="59"/>
  <c r="BZ63" i="59"/>
  <c r="BX64" i="59"/>
  <c r="AP68" i="59"/>
  <c r="BJ68" i="59"/>
  <c r="CD68" i="59"/>
  <c r="AW69" i="59"/>
  <c r="BQ69" i="59"/>
  <c r="CK69" i="59"/>
  <c r="Y77" i="59"/>
  <c r="AB88" i="59"/>
  <c r="AN88" i="59"/>
  <c r="AX88" i="59"/>
  <c r="BH88" i="59"/>
  <c r="BT88" i="59"/>
  <c r="AM103" i="59"/>
  <c r="CD103" i="59"/>
  <c r="CB110" i="59"/>
  <c r="AV110" i="59"/>
  <c r="CL138" i="59"/>
  <c r="BT138" i="59"/>
  <c r="BF138" i="59"/>
  <c r="AV138" i="59"/>
  <c r="CI138" i="59"/>
  <c r="CI158" i="59"/>
  <c r="BO158" i="59"/>
  <c r="BH60" i="59"/>
  <c r="AL61" i="59"/>
  <c r="BF61" i="59"/>
  <c r="BZ61" i="59"/>
  <c r="U63" i="59"/>
  <c r="BA63" i="59"/>
  <c r="CH63" i="59"/>
  <c r="AA64" i="59"/>
  <c r="CN64" i="59"/>
  <c r="AY66" i="59"/>
  <c r="U68" i="59"/>
  <c r="AT68" i="59"/>
  <c r="BN68" i="59"/>
  <c r="CL68" i="59"/>
  <c r="W69" i="59"/>
  <c r="BA69" i="59"/>
  <c r="BU69" i="59"/>
  <c r="AY71" i="59"/>
  <c r="BS71" i="59"/>
  <c r="CM71" i="59"/>
  <c r="AE77" i="59"/>
  <c r="AZ77" i="59"/>
  <c r="BU77" i="59"/>
  <c r="CQ77" i="59"/>
  <c r="AE80" i="59"/>
  <c r="BV80" i="59"/>
  <c r="AQ83" i="59"/>
  <c r="AF88" i="59"/>
  <c r="AP88" i="59"/>
  <c r="AZ88" i="59"/>
  <c r="BL88" i="59"/>
  <c r="BV88" i="59"/>
  <c r="CF88" i="59"/>
  <c r="AY89" i="59"/>
  <c r="AN92" i="59"/>
  <c r="CQ96" i="59"/>
  <c r="CK96" i="59"/>
  <c r="CC96" i="59"/>
  <c r="BU96" i="59"/>
  <c r="BM96" i="59"/>
  <c r="BD96" i="59"/>
  <c r="AS96" i="59"/>
  <c r="AJ96" i="59"/>
  <c r="X96" i="59"/>
  <c r="CO96" i="59"/>
  <c r="CG96" i="59"/>
  <c r="BY96" i="59"/>
  <c r="BQ96" i="59"/>
  <c r="BI96" i="59"/>
  <c r="AZ96" i="59"/>
  <c r="AN96" i="59"/>
  <c r="AC96" i="59"/>
  <c r="AR96" i="59"/>
  <c r="BL96" i="59"/>
  <c r="CB96" i="59"/>
  <c r="AM98" i="59"/>
  <c r="CH98" i="59"/>
  <c r="CA99" i="59"/>
  <c r="BG99" i="59"/>
  <c r="AI99" i="59"/>
  <c r="CM99" i="59"/>
  <c r="BO99" i="59"/>
  <c r="AU99" i="59"/>
  <c r="AA99" i="59"/>
  <c r="BK99" i="59"/>
  <c r="AN100" i="59"/>
  <c r="BM100" i="59"/>
  <c r="AX103" i="59"/>
  <c r="CH173" i="59"/>
  <c r="BV173" i="59"/>
  <c r="CP178" i="59"/>
  <c r="BV178" i="59"/>
  <c r="BX60" i="59"/>
  <c r="U61" i="59"/>
  <c r="AP61" i="59"/>
  <c r="BJ61" i="59"/>
  <c r="AC63" i="59"/>
  <c r="BJ63" i="59"/>
  <c r="AQ64" i="59"/>
  <c r="Y68" i="59"/>
  <c r="AX68" i="59"/>
  <c r="BV68" i="59"/>
  <c r="AA69" i="59"/>
  <c r="BE69" i="59"/>
  <c r="W71" i="59"/>
  <c r="BC71" i="59"/>
  <c r="BD76" i="59"/>
  <c r="AJ77" i="59"/>
  <c r="BE77" i="59"/>
  <c r="CA77" i="59"/>
  <c r="AU80" i="59"/>
  <c r="X88" i="59"/>
  <c r="AH88" i="59"/>
  <c r="AR88" i="59"/>
  <c r="BD88" i="59"/>
  <c r="BN88" i="59"/>
  <c r="BX88" i="59"/>
  <c r="BY93" i="59"/>
  <c r="AE93" i="59"/>
  <c r="AU93" i="59"/>
  <c r="CM95" i="59"/>
  <c r="BG95" i="59"/>
  <c r="AA95" i="59"/>
  <c r="BW95" i="59"/>
  <c r="AQ95" i="59"/>
  <c r="CE95" i="59"/>
  <c r="CF96" i="59"/>
  <c r="CQ100" i="59"/>
  <c r="CN100" i="59"/>
  <c r="CF100" i="59"/>
  <c r="BX100" i="59"/>
  <c r="BP100" i="59"/>
  <c r="BH100" i="59"/>
  <c r="AR100" i="59"/>
  <c r="AB100" i="59"/>
  <c r="CJ100" i="59"/>
  <c r="CB100" i="59"/>
  <c r="BT100" i="59"/>
  <c r="BL100" i="59"/>
  <c r="AZ100" i="59"/>
  <c r="AJ100" i="59"/>
  <c r="AV100" i="59"/>
  <c r="BQ100" i="59"/>
  <c r="CG100" i="59"/>
  <c r="CP101" i="59"/>
  <c r="CK101" i="59"/>
  <c r="AI101" i="59"/>
  <c r="BO101" i="59"/>
  <c r="CO111" i="59"/>
  <c r="CL111" i="59"/>
  <c r="CQ111" i="59"/>
  <c r="CG111" i="59"/>
  <c r="CA111" i="59"/>
  <c r="BQ111" i="59"/>
  <c r="CM111" i="59"/>
  <c r="BW111" i="59"/>
  <c r="AM111" i="59"/>
  <c r="CH111" i="59"/>
  <c r="BV111" i="59"/>
  <c r="CJ113" i="59"/>
  <c r="CN113" i="59"/>
  <c r="BX113" i="59"/>
  <c r="BH113" i="59"/>
  <c r="AR113" i="59"/>
  <c r="CF113" i="59"/>
  <c r="BP113" i="59"/>
  <c r="AZ113" i="59"/>
  <c r="AJ113" i="59"/>
  <c r="CI113" i="59"/>
  <c r="BC113" i="59"/>
  <c r="CA113" i="59"/>
  <c r="AU113" i="59"/>
  <c r="BS113" i="59"/>
  <c r="AM113" i="59"/>
  <c r="CK117" i="59"/>
  <c r="CO117" i="59"/>
  <c r="BY117" i="59"/>
  <c r="BI117" i="59"/>
  <c r="AS117" i="59"/>
  <c r="CG117" i="59"/>
  <c r="BQ117" i="59"/>
  <c r="BA117" i="59"/>
  <c r="AK117" i="59"/>
  <c r="CH117" i="59"/>
  <c r="BB117" i="59"/>
  <c r="BZ117" i="59"/>
  <c r="AT117" i="59"/>
  <c r="BR117" i="59"/>
  <c r="AL117" i="59"/>
  <c r="CC145" i="59"/>
  <c r="BG145" i="59"/>
  <c r="CJ169" i="59"/>
  <c r="BH169" i="59"/>
  <c r="BZ169" i="59"/>
  <c r="AJ92" i="59"/>
  <c r="AZ92" i="59"/>
  <c r="BP92" i="59"/>
  <c r="CF92" i="59"/>
  <c r="AO97" i="59"/>
  <c r="BN97" i="59"/>
  <c r="BY97" i="59"/>
  <c r="CK97" i="59"/>
  <c r="Y101" i="59"/>
  <c r="AG103" i="59"/>
  <c r="AQ103" i="59"/>
  <c r="BB103" i="59"/>
  <c r="BM103" i="59"/>
  <c r="BW103" i="59"/>
  <c r="CH103" i="59"/>
  <c r="BY104" i="59"/>
  <c r="AO105" i="59"/>
  <c r="AP108" i="59"/>
  <c r="CM112" i="59"/>
  <c r="CI112" i="59"/>
  <c r="BS112" i="59"/>
  <c r="BC112" i="59"/>
  <c r="AP112" i="59"/>
  <c r="CQ112" i="59"/>
  <c r="CA112" i="59"/>
  <c r="BK112" i="59"/>
  <c r="AU112" i="59"/>
  <c r="AJ112" i="59"/>
  <c r="BF112" i="59"/>
  <c r="CL112" i="59"/>
  <c r="BA116" i="59"/>
  <c r="CB120" i="59"/>
  <c r="BU120" i="59"/>
  <c r="AO120" i="59"/>
  <c r="BT120" i="59"/>
  <c r="AO121" i="59"/>
  <c r="CI122" i="59"/>
  <c r="BK122" i="59"/>
  <c r="AP122" i="59"/>
  <c r="BF122" i="59"/>
  <c r="AZ123" i="59"/>
  <c r="CQ124" i="59"/>
  <c r="CF124" i="59"/>
  <c r="BU124" i="59"/>
  <c r="BL124" i="59"/>
  <c r="AZ124" i="59"/>
  <c r="AO124" i="59"/>
  <c r="CK124" i="59"/>
  <c r="CB124" i="59"/>
  <c r="BP124" i="59"/>
  <c r="BE124" i="59"/>
  <c r="AV124" i="59"/>
  <c r="AJ124" i="59"/>
  <c r="BD124" i="59"/>
  <c r="BX124" i="59"/>
  <c r="CD140" i="59"/>
  <c r="CE162" i="59"/>
  <c r="BJ162" i="59"/>
  <c r="CO166" i="59"/>
  <c r="BW166" i="59"/>
  <c r="BI166" i="59"/>
  <c r="AH103" i="59"/>
  <c r="AS103" i="59"/>
  <c r="BC103" i="59"/>
  <c r="BN103" i="59"/>
  <c r="BY103" i="59"/>
  <c r="CI103" i="59"/>
  <c r="CJ116" i="59"/>
  <c r="CF116" i="59"/>
  <c r="BP116" i="59"/>
  <c r="AZ116" i="59"/>
  <c r="AJ116" i="59"/>
  <c r="CN116" i="59"/>
  <c r="BX116" i="59"/>
  <c r="BH116" i="59"/>
  <c r="AR116" i="59"/>
  <c r="BI116" i="59"/>
  <c r="CO116" i="59"/>
  <c r="CP118" i="59"/>
  <c r="BJ118" i="59"/>
  <c r="CJ123" i="59"/>
  <c r="CI123" i="59"/>
  <c r="BS123" i="59"/>
  <c r="BC123" i="59"/>
  <c r="AM123" i="59"/>
  <c r="CQ123" i="59"/>
  <c r="CA123" i="59"/>
  <c r="BK123" i="59"/>
  <c r="AU123" i="59"/>
  <c r="BH123" i="59"/>
  <c r="CN123" i="59"/>
  <c r="CD125" i="59"/>
  <c r="AX125" i="59"/>
  <c r="BD130" i="59"/>
  <c r="BW143" i="59"/>
  <c r="CN158" i="59"/>
  <c r="CG163" i="59"/>
  <c r="BL163" i="59"/>
  <c r="CP180" i="59"/>
  <c r="CE180" i="59"/>
  <c r="BZ180" i="59"/>
  <c r="CI202" i="59"/>
  <c r="BG91" i="59"/>
  <c r="AB92" i="59"/>
  <c r="AR92" i="59"/>
  <c r="BH92" i="59"/>
  <c r="BX92" i="59"/>
  <c r="BI97" i="59"/>
  <c r="BU97" i="59"/>
  <c r="CD97" i="59"/>
  <c r="BE100" i="59"/>
  <c r="AA103" i="59"/>
  <c r="AL103" i="59"/>
  <c r="AW103" i="59"/>
  <c r="BG103" i="59"/>
  <c r="BR103" i="59"/>
  <c r="CC103" i="59"/>
  <c r="CM103" i="59"/>
  <c r="BZ105" i="59"/>
  <c r="BJ105" i="59"/>
  <c r="CB108" i="59"/>
  <c r="BL108" i="59"/>
  <c r="AQ112" i="59"/>
  <c r="AK116" i="59"/>
  <c r="BQ116" i="59"/>
  <c r="AT118" i="59"/>
  <c r="CB119" i="59"/>
  <c r="BG119" i="59"/>
  <c r="AN119" i="59"/>
  <c r="CM119" i="59"/>
  <c r="BT119" i="59"/>
  <c r="AV119" i="59"/>
  <c r="BW119" i="59"/>
  <c r="BU121" i="59"/>
  <c r="AJ123" i="59"/>
  <c r="BP123" i="59"/>
  <c r="AR124" i="59"/>
  <c r="BM124" i="59"/>
  <c r="CJ124" i="59"/>
  <c r="BN125" i="59"/>
  <c r="BC147" i="59"/>
  <c r="CQ159" i="59"/>
  <c r="CA159" i="59"/>
  <c r="BU159" i="59"/>
  <c r="CJ162" i="59"/>
  <c r="CQ202" i="59"/>
  <c r="BF121" i="59"/>
  <c r="CL121" i="59"/>
  <c r="BL131" i="59"/>
  <c r="CO133" i="59"/>
  <c r="BK139" i="59"/>
  <c r="CF144" i="59"/>
  <c r="CQ145" i="59"/>
  <c r="CN147" i="59"/>
  <c r="CH156" i="59"/>
  <c r="BS158" i="59"/>
  <c r="CP162" i="59"/>
  <c r="CF167" i="59"/>
  <c r="BS168" i="59"/>
  <c r="CP169" i="59"/>
  <c r="CN169" i="59"/>
  <c r="CL173" i="59"/>
  <c r="CJ191" i="59"/>
  <c r="CQ203" i="59"/>
  <c r="CK137" i="59"/>
  <c r="CM146" i="59"/>
  <c r="CQ158" i="59"/>
  <c r="BZ158" i="59"/>
  <c r="CK159" i="59"/>
  <c r="BW161" i="59"/>
  <c r="CB163" i="59"/>
  <c r="CJ180" i="59"/>
  <c r="CH202" i="59"/>
  <c r="BE120" i="59"/>
  <c r="AP121" i="59"/>
  <c r="CQ122" i="59"/>
  <c r="BC122" i="59"/>
  <c r="BV122" i="59"/>
  <c r="CQ138" i="59"/>
  <c r="BU151" i="59"/>
  <c r="BH158" i="59"/>
  <c r="CD158" i="59"/>
  <c r="CM166" i="59"/>
  <c r="BS169" i="59"/>
  <c r="BX173" i="59"/>
  <c r="CK179" i="59"/>
  <c r="CQ197" i="59"/>
  <c r="CQ198" i="59"/>
  <c r="CQ199" i="59"/>
  <c r="CI153" i="59"/>
  <c r="BB133" i="59"/>
  <c r="BT160" i="59"/>
  <c r="CI165" i="59"/>
  <c r="BJ151" i="59"/>
  <c r="CL151" i="59"/>
  <c r="BJ158" i="59"/>
  <c r="BT158" i="59"/>
  <c r="CE158" i="59"/>
  <c r="CP158" i="59"/>
  <c r="BK159" i="59"/>
  <c r="CF159" i="59"/>
  <c r="BY160" i="59"/>
  <c r="BR161" i="59"/>
  <c r="BT162" i="59"/>
  <c r="CP165" i="59"/>
  <c r="CK166" i="59"/>
  <c r="BR167" i="59"/>
  <c r="CO168" i="59"/>
  <c r="BJ169" i="59"/>
  <c r="CD169" i="59"/>
  <c r="CG173" i="59"/>
  <c r="CG178" i="59"/>
  <c r="BT180" i="59"/>
  <c r="CI180" i="59"/>
  <c r="CG181" i="59"/>
  <c r="BV182" i="59"/>
  <c r="BT183" i="59"/>
  <c r="CI184" i="59"/>
  <c r="BV185" i="59"/>
  <c r="CO191" i="59"/>
  <c r="CF199" i="59"/>
  <c r="CF200" i="59"/>
  <c r="CN200" i="59"/>
  <c r="BQ151" i="59"/>
  <c r="CP151" i="59"/>
  <c r="CB153" i="59"/>
  <c r="BN158" i="59"/>
  <c r="BX158" i="59"/>
  <c r="BP159" i="59"/>
  <c r="BI160" i="59"/>
  <c r="CD160" i="59"/>
  <c r="BP166" i="59"/>
  <c r="BM168" i="59"/>
  <c r="BO169" i="59"/>
  <c r="BX180" i="59"/>
  <c r="CM181" i="59"/>
  <c r="CQ182" i="59"/>
  <c r="CB183" i="59"/>
  <c r="CQ184" i="59"/>
  <c r="CC185" i="59"/>
  <c r="BW186" i="59"/>
  <c r="CJ196" i="59"/>
  <c r="CM199" i="59"/>
  <c r="CG200" i="59"/>
  <c r="CF203" i="59"/>
  <c r="CH205" i="59"/>
  <c r="CO160" i="59"/>
  <c r="BN160" i="59"/>
  <c r="CJ160" i="59"/>
  <c r="BU184" i="59"/>
  <c r="CK185" i="59"/>
  <c r="CG197" i="59"/>
  <c r="CK200" i="59"/>
  <c r="CK203" i="59"/>
  <c r="CI205" i="59"/>
  <c r="BT130" i="59"/>
  <c r="CM139" i="59"/>
  <c r="AX146" i="59"/>
  <c r="BH146" i="59"/>
  <c r="BS146" i="59"/>
  <c r="CD146" i="59"/>
  <c r="CN146" i="59"/>
  <c r="CJ130" i="59"/>
  <c r="AV131" i="59"/>
  <c r="CB131" i="59"/>
  <c r="AW138" i="59"/>
  <c r="BH138" i="59"/>
  <c r="BV138" i="59"/>
  <c r="CJ138" i="59"/>
  <c r="BI140" i="59"/>
  <c r="CN140" i="59"/>
  <c r="CH145" i="59"/>
  <c r="BK145" i="59"/>
  <c r="CG145" i="59"/>
  <c r="BB146" i="59"/>
  <c r="BL146" i="59"/>
  <c r="BW146" i="59"/>
  <c r="CH146" i="59"/>
  <c r="BD147" i="59"/>
  <c r="BY147" i="59"/>
  <c r="BE131" i="59"/>
  <c r="CK131" i="59"/>
  <c r="BR133" i="59"/>
  <c r="BA138" i="59"/>
  <c r="BN138" i="59"/>
  <c r="CA138" i="59"/>
  <c r="CP138" i="59"/>
  <c r="BR140" i="59"/>
  <c r="CO140" i="59"/>
  <c r="AW143" i="59"/>
  <c r="AW145" i="59"/>
  <c r="BR145" i="59"/>
  <c r="CM145" i="59"/>
  <c r="CP146" i="59"/>
  <c r="BC146" i="59"/>
  <c r="BN146" i="59"/>
  <c r="BX146" i="59"/>
  <c r="CI146" i="59"/>
  <c r="BM147" i="59"/>
  <c r="CI147" i="59"/>
  <c r="CH133" i="59"/>
  <c r="BB138" i="59"/>
  <c r="BO138" i="59"/>
  <c r="CD138" i="59"/>
  <c r="AX140" i="59"/>
  <c r="BA145" i="59"/>
  <c r="BV145" i="59"/>
  <c r="AV146" i="59"/>
  <c r="BG146" i="59"/>
  <c r="BR146" i="59"/>
  <c r="CB146" i="59"/>
  <c r="BO147" i="59"/>
  <c r="CJ147" i="59"/>
  <c r="CP10" i="59"/>
  <c r="CL10" i="59"/>
  <c r="CH10" i="59"/>
  <c r="CD10" i="59"/>
  <c r="BZ10" i="59"/>
  <c r="BV10" i="59"/>
  <c r="BR10" i="59"/>
  <c r="BN10" i="59"/>
  <c r="BJ10" i="59"/>
  <c r="BF10" i="59"/>
  <c r="BB10" i="59"/>
  <c r="AX10" i="59"/>
  <c r="AT10" i="59"/>
  <c r="AP10" i="59"/>
  <c r="AL10" i="59"/>
  <c r="AH10" i="59"/>
  <c r="AD10" i="59"/>
  <c r="Z10" i="59"/>
  <c r="V10" i="59"/>
  <c r="CI10" i="59"/>
  <c r="BW10" i="59"/>
  <c r="BO10" i="59"/>
  <c r="BC10" i="59"/>
  <c r="AU10" i="59"/>
  <c r="AI10" i="59"/>
  <c r="W10" i="59"/>
  <c r="CO10" i="59"/>
  <c r="CK10" i="59"/>
  <c r="CG10" i="59"/>
  <c r="CC10" i="59"/>
  <c r="BY10" i="59"/>
  <c r="BU10" i="59"/>
  <c r="BQ10" i="59"/>
  <c r="BM10" i="59"/>
  <c r="BI10" i="59"/>
  <c r="BE10" i="59"/>
  <c r="BA10" i="59"/>
  <c r="AW10" i="59"/>
  <c r="AS10" i="59"/>
  <c r="AO10" i="59"/>
  <c r="AK10" i="59"/>
  <c r="AG10" i="59"/>
  <c r="AC10" i="59"/>
  <c r="Y10" i="59"/>
  <c r="U10" i="59"/>
  <c r="CQ10" i="59"/>
  <c r="CE10" i="59"/>
  <c r="BS10" i="59"/>
  <c r="BG10" i="59"/>
  <c r="AQ10" i="59"/>
  <c r="AA10" i="59"/>
  <c r="CN10" i="59"/>
  <c r="CJ10" i="59"/>
  <c r="CF10" i="59"/>
  <c r="CB10" i="59"/>
  <c r="BX10" i="59"/>
  <c r="BT10" i="59"/>
  <c r="BP10" i="59"/>
  <c r="BL10" i="59"/>
  <c r="BH10" i="59"/>
  <c r="BD10" i="59"/>
  <c r="AZ10" i="59"/>
  <c r="AV10" i="59"/>
  <c r="AR10" i="59"/>
  <c r="AN10" i="59"/>
  <c r="AJ10" i="59"/>
  <c r="AF10" i="59"/>
  <c r="AB10" i="59"/>
  <c r="X10" i="59"/>
  <c r="CM10" i="59"/>
  <c r="CA10" i="59"/>
  <c r="BK10" i="59"/>
  <c r="AY10" i="59"/>
  <c r="AM10" i="59"/>
  <c r="AE10" i="59"/>
  <c r="AC8" i="59"/>
  <c r="AO8" i="59"/>
  <c r="BA8" i="59"/>
  <c r="BM8" i="59"/>
  <c r="BY8" i="59"/>
  <c r="CK8" i="59"/>
  <c r="AD9" i="59"/>
  <c r="AP9" i="59"/>
  <c r="AX9" i="59"/>
  <c r="BJ9" i="59"/>
  <c r="BV9" i="59"/>
  <c r="CH9" i="59"/>
  <c r="AF12" i="59"/>
  <c r="AJ12" i="59"/>
  <c r="AZ12" i="59"/>
  <c r="BL12" i="59"/>
  <c r="BT12" i="59"/>
  <c r="CB12" i="59"/>
  <c r="CN12" i="59"/>
  <c r="AH13" i="59"/>
  <c r="AX13" i="59"/>
  <c r="W17" i="59"/>
  <c r="AM17" i="59"/>
  <c r="BC17" i="59"/>
  <c r="BS17" i="59"/>
  <c r="CI17" i="59"/>
  <c r="AF19" i="59"/>
  <c r="BD19" i="59"/>
  <c r="CB19" i="59"/>
  <c r="CP24" i="59"/>
  <c r="CL24" i="59"/>
  <c r="CH24" i="59"/>
  <c r="CD24" i="59"/>
  <c r="BZ24" i="59"/>
  <c r="BV24" i="59"/>
  <c r="BR24" i="59"/>
  <c r="BN24" i="59"/>
  <c r="BJ24" i="59"/>
  <c r="BF24" i="59"/>
  <c r="BB24" i="59"/>
  <c r="AX24" i="59"/>
  <c r="AT24" i="59"/>
  <c r="AP24" i="59"/>
  <c r="AL24" i="59"/>
  <c r="AH24" i="59"/>
  <c r="AD24" i="59"/>
  <c r="Z24" i="59"/>
  <c r="V24" i="59"/>
  <c r="CO24" i="59"/>
  <c r="CK24" i="59"/>
  <c r="CG24" i="59"/>
  <c r="CC24" i="59"/>
  <c r="BY24" i="59"/>
  <c r="BU24" i="59"/>
  <c r="BQ24" i="59"/>
  <c r="BM24" i="59"/>
  <c r="BI24" i="59"/>
  <c r="BE24" i="59"/>
  <c r="BA24" i="59"/>
  <c r="AW24" i="59"/>
  <c r="AS24" i="59"/>
  <c r="AO24" i="59"/>
  <c r="AK24" i="59"/>
  <c r="AG24" i="59"/>
  <c r="AC24" i="59"/>
  <c r="Y24" i="59"/>
  <c r="U24" i="59"/>
  <c r="CN24" i="59"/>
  <c r="CJ24" i="59"/>
  <c r="CF24" i="59"/>
  <c r="CB24" i="59"/>
  <c r="BX24" i="59"/>
  <c r="BT24" i="59"/>
  <c r="BP24" i="59"/>
  <c r="BL24" i="59"/>
  <c r="BH24" i="59"/>
  <c r="BD24" i="59"/>
  <c r="AZ24" i="59"/>
  <c r="AV24" i="59"/>
  <c r="AR24" i="59"/>
  <c r="AN24" i="59"/>
  <c r="AJ24" i="59"/>
  <c r="AF24" i="59"/>
  <c r="AB24" i="59"/>
  <c r="X24" i="59"/>
  <c r="AY24" i="59"/>
  <c r="CE24" i="59"/>
  <c r="CO34" i="59"/>
  <c r="CK34" i="59"/>
  <c r="CG34" i="59"/>
  <c r="CC34" i="59"/>
  <c r="BY34" i="59"/>
  <c r="BU34" i="59"/>
  <c r="BQ34" i="59"/>
  <c r="BM34" i="59"/>
  <c r="BI34" i="59"/>
  <c r="BE34" i="59"/>
  <c r="BA34" i="59"/>
  <c r="AW34" i="59"/>
  <c r="AS34" i="59"/>
  <c r="AO34" i="59"/>
  <c r="AK34" i="59"/>
  <c r="AG34" i="59"/>
  <c r="AC34" i="59"/>
  <c r="Y34" i="59"/>
  <c r="CN34" i="59"/>
  <c r="CJ34" i="59"/>
  <c r="CF34" i="59"/>
  <c r="CB34" i="59"/>
  <c r="BX34" i="59"/>
  <c r="BT34" i="59"/>
  <c r="BP34" i="59"/>
  <c r="BL34" i="59"/>
  <c r="BH34" i="59"/>
  <c r="BD34" i="59"/>
  <c r="AZ34" i="59"/>
  <c r="AV34" i="59"/>
  <c r="AR34" i="59"/>
  <c r="AN34" i="59"/>
  <c r="AJ34" i="59"/>
  <c r="AF34" i="59"/>
  <c r="AB34" i="59"/>
  <c r="X34" i="59"/>
  <c r="CQ34" i="59"/>
  <c r="CM34" i="59"/>
  <c r="CI34" i="59"/>
  <c r="CE34" i="59"/>
  <c r="CA34" i="59"/>
  <c r="BW34" i="59"/>
  <c r="BS34" i="59"/>
  <c r="BO34" i="59"/>
  <c r="BK34" i="59"/>
  <c r="BG34" i="59"/>
  <c r="BC34" i="59"/>
  <c r="AY34" i="59"/>
  <c r="AU34" i="59"/>
  <c r="AQ34" i="59"/>
  <c r="AM34" i="59"/>
  <c r="AI34" i="59"/>
  <c r="AE34" i="59"/>
  <c r="AA34" i="59"/>
  <c r="V34" i="59"/>
  <c r="AX34" i="59"/>
  <c r="AG37" i="59"/>
  <c r="CC37" i="59"/>
  <c r="AZ45" i="59"/>
  <c r="CP49" i="59"/>
  <c r="CL49" i="59"/>
  <c r="CH49" i="59"/>
  <c r="CD49" i="59"/>
  <c r="BZ49" i="59"/>
  <c r="BV49" i="59"/>
  <c r="BL49" i="59"/>
  <c r="BH49" i="59"/>
  <c r="BD49" i="59"/>
  <c r="AZ49" i="59"/>
  <c r="AV49" i="59"/>
  <c r="AR49" i="59"/>
  <c r="CN49" i="59"/>
  <c r="CJ49" i="59"/>
  <c r="CF49" i="59"/>
  <c r="CB49" i="59"/>
  <c r="BX49" i="59"/>
  <c r="BT49" i="59"/>
  <c r="BJ49" i="59"/>
  <c r="BF49" i="59"/>
  <c r="BB49" i="59"/>
  <c r="AX49" i="59"/>
  <c r="AT49" i="59"/>
  <c r="AP49" i="59"/>
  <c r="CK49" i="59"/>
  <c r="CC49" i="59"/>
  <c r="BU49" i="59"/>
  <c r="BG49" i="59"/>
  <c r="AY49" i="59"/>
  <c r="AQ49" i="59"/>
  <c r="AL49" i="59"/>
  <c r="AH49" i="59"/>
  <c r="AD49" i="59"/>
  <c r="Z49" i="59"/>
  <c r="V49" i="59"/>
  <c r="CQ49" i="59"/>
  <c r="CI49" i="59"/>
  <c r="CA49" i="59"/>
  <c r="BE49" i="59"/>
  <c r="AW49" i="59"/>
  <c r="AO49" i="59"/>
  <c r="AK49" i="59"/>
  <c r="AG49" i="59"/>
  <c r="AC49" i="59"/>
  <c r="Y49" i="59"/>
  <c r="U49" i="59"/>
  <c r="CO49" i="59"/>
  <c r="CG49" i="59"/>
  <c r="BY49" i="59"/>
  <c r="BK49" i="59"/>
  <c r="BC49" i="59"/>
  <c r="AU49" i="59"/>
  <c r="AN49" i="59"/>
  <c r="AJ49" i="59"/>
  <c r="AF49" i="59"/>
  <c r="AB49" i="59"/>
  <c r="X49" i="59"/>
  <c r="AI49" i="59"/>
  <c r="CM49" i="59"/>
  <c r="AZ53" i="59"/>
  <c r="U8" i="59"/>
  <c r="Z8" i="59"/>
  <c r="AD8" i="59"/>
  <c r="AH8" i="59"/>
  <c r="AL8" i="59"/>
  <c r="AP8" i="59"/>
  <c r="AT8" i="59"/>
  <c r="AX8" i="59"/>
  <c r="BB8" i="59"/>
  <c r="BF8" i="59"/>
  <c r="BJ8" i="59"/>
  <c r="BN8" i="59"/>
  <c r="BR8" i="59"/>
  <c r="BV8" i="59"/>
  <c r="BZ8" i="59"/>
  <c r="CD8" i="59"/>
  <c r="CH8" i="59"/>
  <c r="CL8" i="59"/>
  <c r="CP8" i="59"/>
  <c r="W9" i="59"/>
  <c r="AA9" i="59"/>
  <c r="AE9" i="59"/>
  <c r="AI9" i="59"/>
  <c r="AM9" i="59"/>
  <c r="AQ9" i="59"/>
  <c r="AU9" i="59"/>
  <c r="AY9" i="59"/>
  <c r="BC9" i="59"/>
  <c r="BG9" i="59"/>
  <c r="BK9" i="59"/>
  <c r="BO9" i="59"/>
  <c r="BS9" i="59"/>
  <c r="BW9" i="59"/>
  <c r="CA9" i="59"/>
  <c r="CE9" i="59"/>
  <c r="CI9" i="59"/>
  <c r="CM9" i="59"/>
  <c r="CQ9" i="59"/>
  <c r="U12" i="59"/>
  <c r="Y12" i="59"/>
  <c r="AC12" i="59"/>
  <c r="AG12" i="59"/>
  <c r="AK12" i="59"/>
  <c r="AO12" i="59"/>
  <c r="AS12" i="59"/>
  <c r="AW12" i="59"/>
  <c r="BA12" i="59"/>
  <c r="BE12" i="59"/>
  <c r="BI12" i="59"/>
  <c r="BM12" i="59"/>
  <c r="BQ12" i="59"/>
  <c r="BU12" i="59"/>
  <c r="BY12" i="59"/>
  <c r="CC12" i="59"/>
  <c r="CG12" i="59"/>
  <c r="CK12" i="59"/>
  <c r="CO12" i="59"/>
  <c r="X13" i="59"/>
  <c r="AD13" i="59"/>
  <c r="AI13" i="59"/>
  <c r="AN13" i="59"/>
  <c r="AT13" i="59"/>
  <c r="AY13" i="59"/>
  <c r="BD13" i="59"/>
  <c r="BJ13" i="59"/>
  <c r="BO13" i="59"/>
  <c r="BT13" i="59"/>
  <c r="BZ13" i="59"/>
  <c r="CE13" i="59"/>
  <c r="CJ13" i="59"/>
  <c r="X14" i="59"/>
  <c r="AC14" i="59"/>
  <c r="AI14" i="59"/>
  <c r="AN14" i="59"/>
  <c r="AS14" i="59"/>
  <c r="AY14" i="59"/>
  <c r="BD14" i="59"/>
  <c r="BI14" i="59"/>
  <c r="BS14" i="59"/>
  <c r="BX14" i="59"/>
  <c r="CC14" i="59"/>
  <c r="CI14" i="59"/>
  <c r="V15" i="59"/>
  <c r="AB15" i="59"/>
  <c r="AG15" i="59"/>
  <c r="AL15" i="59"/>
  <c r="AR15" i="59"/>
  <c r="AW15" i="59"/>
  <c r="BB15" i="59"/>
  <c r="BH15" i="59"/>
  <c r="BM15" i="59"/>
  <c r="BR15" i="59"/>
  <c r="BX15" i="59"/>
  <c r="CC15" i="59"/>
  <c r="CH15" i="59"/>
  <c r="W16" i="59"/>
  <c r="AC16" i="59"/>
  <c r="AH16" i="59"/>
  <c r="AM16" i="59"/>
  <c r="AS16" i="59"/>
  <c r="AX16" i="59"/>
  <c r="BC16" i="59"/>
  <c r="BI16" i="59"/>
  <c r="BN16" i="59"/>
  <c r="BS16" i="59"/>
  <c r="BY16" i="59"/>
  <c r="CD16" i="59"/>
  <c r="CI16" i="59"/>
  <c r="X17" i="59"/>
  <c r="AD17" i="59"/>
  <c r="AI17" i="59"/>
  <c r="AN17" i="59"/>
  <c r="AT17" i="59"/>
  <c r="AY17" i="59"/>
  <c r="BD17" i="59"/>
  <c r="BJ17" i="59"/>
  <c r="BO17" i="59"/>
  <c r="BT17" i="59"/>
  <c r="BZ17" i="59"/>
  <c r="CE17" i="59"/>
  <c r="CJ17" i="59"/>
  <c r="X18" i="59"/>
  <c r="AC18" i="59"/>
  <c r="AI18" i="59"/>
  <c r="AN18" i="59"/>
  <c r="AS18" i="59"/>
  <c r="AY18" i="59"/>
  <c r="BD18" i="59"/>
  <c r="BI18" i="59"/>
  <c r="BO18" i="59"/>
  <c r="BW18" i="59"/>
  <c r="CE18" i="59"/>
  <c r="Z19" i="59"/>
  <c r="AH19" i="59"/>
  <c r="AP19" i="59"/>
  <c r="AX19" i="59"/>
  <c r="BF19" i="59"/>
  <c r="BN19" i="59"/>
  <c r="BV19" i="59"/>
  <c r="CD19" i="59"/>
  <c r="Y20" i="59"/>
  <c r="AG20" i="59"/>
  <c r="AO20" i="59"/>
  <c r="AW20" i="59"/>
  <c r="BE20" i="59"/>
  <c r="BM20" i="59"/>
  <c r="BU20" i="59"/>
  <c r="CC20" i="59"/>
  <c r="X22" i="59"/>
  <c r="AF22" i="59"/>
  <c r="AN22" i="59"/>
  <c r="X23" i="59"/>
  <c r="AH23" i="59"/>
  <c r="W24" i="59"/>
  <c r="AM24" i="59"/>
  <c r="BC24" i="59"/>
  <c r="BS24" i="59"/>
  <c r="CI24" i="59"/>
  <c r="AF25" i="59"/>
  <c r="AV25" i="59"/>
  <c r="BL25" i="59"/>
  <c r="CQ27" i="59"/>
  <c r="CM27" i="59"/>
  <c r="CI27" i="59"/>
  <c r="CE27" i="59"/>
  <c r="CA27" i="59"/>
  <c r="BW27" i="59"/>
  <c r="BS27" i="59"/>
  <c r="BO27" i="59"/>
  <c r="BK27" i="59"/>
  <c r="BG27" i="59"/>
  <c r="BC27" i="59"/>
  <c r="AY27" i="59"/>
  <c r="AU27" i="59"/>
  <c r="AQ27" i="59"/>
  <c r="AM27" i="59"/>
  <c r="AI27" i="59"/>
  <c r="AE27" i="59"/>
  <c r="W27" i="59"/>
  <c r="CP27" i="59"/>
  <c r="CL27" i="59"/>
  <c r="CH27" i="59"/>
  <c r="CD27" i="59"/>
  <c r="BZ27" i="59"/>
  <c r="BV27" i="59"/>
  <c r="BR27" i="59"/>
  <c r="BN27" i="59"/>
  <c r="BJ27" i="59"/>
  <c r="BF27" i="59"/>
  <c r="BB27" i="59"/>
  <c r="AX27" i="59"/>
  <c r="AT27" i="59"/>
  <c r="AP27" i="59"/>
  <c r="AL27" i="59"/>
  <c r="AH27" i="59"/>
  <c r="AD27" i="59"/>
  <c r="V27" i="59"/>
  <c r="CO27" i="59"/>
  <c r="CK27" i="59"/>
  <c r="CG27" i="59"/>
  <c r="CC27" i="59"/>
  <c r="BY27" i="59"/>
  <c r="BU27" i="59"/>
  <c r="BQ27" i="59"/>
  <c r="BM27" i="59"/>
  <c r="BI27" i="59"/>
  <c r="BE27" i="59"/>
  <c r="BA27" i="59"/>
  <c r="AW27" i="59"/>
  <c r="AS27" i="59"/>
  <c r="AO27" i="59"/>
  <c r="AK27" i="59"/>
  <c r="AG27" i="59"/>
  <c r="AC27" i="59"/>
  <c r="U27" i="59"/>
  <c r="AN27" i="59"/>
  <c r="BD27" i="59"/>
  <c r="BT27" i="59"/>
  <c r="CJ27" i="59"/>
  <c r="CN28" i="59"/>
  <c r="CJ28" i="59"/>
  <c r="CF28" i="59"/>
  <c r="CB28" i="59"/>
  <c r="BX28" i="59"/>
  <c r="BT28" i="59"/>
  <c r="BP28" i="59"/>
  <c r="BL28" i="59"/>
  <c r="BH28" i="59"/>
  <c r="BD28" i="59"/>
  <c r="AZ28" i="59"/>
  <c r="AV28" i="59"/>
  <c r="AR28" i="59"/>
  <c r="AN28" i="59"/>
  <c r="AJ28" i="59"/>
  <c r="AF28" i="59"/>
  <c r="AB28" i="59"/>
  <c r="X28" i="59"/>
  <c r="CQ28" i="59"/>
  <c r="CM28" i="59"/>
  <c r="CI28" i="59"/>
  <c r="CE28" i="59"/>
  <c r="CA28" i="59"/>
  <c r="BW28" i="59"/>
  <c r="BS28" i="59"/>
  <c r="BO28" i="59"/>
  <c r="BK28" i="59"/>
  <c r="BG28" i="59"/>
  <c r="BC28" i="59"/>
  <c r="AY28" i="59"/>
  <c r="AU28" i="59"/>
  <c r="AQ28" i="59"/>
  <c r="AM28" i="59"/>
  <c r="AI28" i="59"/>
  <c r="AE28" i="59"/>
  <c r="AA28" i="59"/>
  <c r="W28" i="59"/>
  <c r="CP28" i="59"/>
  <c r="CL28" i="59"/>
  <c r="CH28" i="59"/>
  <c r="CD28" i="59"/>
  <c r="BZ28" i="59"/>
  <c r="BV28" i="59"/>
  <c r="BR28" i="59"/>
  <c r="BN28" i="59"/>
  <c r="BJ28" i="59"/>
  <c r="BF28" i="59"/>
  <c r="BB28" i="59"/>
  <c r="AX28" i="59"/>
  <c r="AT28" i="59"/>
  <c r="AP28" i="59"/>
  <c r="AL28" i="59"/>
  <c r="AH28" i="59"/>
  <c r="AD28" i="59"/>
  <c r="Z28" i="59"/>
  <c r="V28" i="59"/>
  <c r="AG28" i="59"/>
  <c r="AW28" i="59"/>
  <c r="BM28" i="59"/>
  <c r="CC28" i="59"/>
  <c r="Z29" i="59"/>
  <c r="AP29" i="59"/>
  <c r="BF29" i="59"/>
  <c r="BV29" i="59"/>
  <c r="V31" i="59"/>
  <c r="AL31" i="59"/>
  <c r="BB31" i="59"/>
  <c r="BR31" i="59"/>
  <c r="CP32" i="59"/>
  <c r="CL32" i="59"/>
  <c r="CH32" i="59"/>
  <c r="CD32" i="59"/>
  <c r="BZ32" i="59"/>
  <c r="BV32" i="59"/>
  <c r="BR32" i="59"/>
  <c r="BN32" i="59"/>
  <c r="BJ32" i="59"/>
  <c r="BF32" i="59"/>
  <c r="BB32" i="59"/>
  <c r="AX32" i="59"/>
  <c r="AT32" i="59"/>
  <c r="AP32" i="59"/>
  <c r="AL32" i="59"/>
  <c r="AH32" i="59"/>
  <c r="AD32" i="59"/>
  <c r="Z32" i="59"/>
  <c r="V32" i="59"/>
  <c r="CO32" i="59"/>
  <c r="CK32" i="59"/>
  <c r="CG32" i="59"/>
  <c r="CC32" i="59"/>
  <c r="BY32" i="59"/>
  <c r="BU32" i="59"/>
  <c r="BQ32" i="59"/>
  <c r="BM32" i="59"/>
  <c r="BI32" i="59"/>
  <c r="BE32" i="59"/>
  <c r="BA32" i="59"/>
  <c r="AW32" i="59"/>
  <c r="AS32" i="59"/>
  <c r="AO32" i="59"/>
  <c r="AK32" i="59"/>
  <c r="AG32" i="59"/>
  <c r="AC32" i="59"/>
  <c r="Y32" i="59"/>
  <c r="U32" i="59"/>
  <c r="CN32" i="59"/>
  <c r="CJ32" i="59"/>
  <c r="CF32" i="59"/>
  <c r="CB32" i="59"/>
  <c r="BX32" i="59"/>
  <c r="BT32" i="59"/>
  <c r="BP32" i="59"/>
  <c r="BL32" i="59"/>
  <c r="BH32" i="59"/>
  <c r="BD32" i="59"/>
  <c r="AZ32" i="59"/>
  <c r="AV32" i="59"/>
  <c r="AR32" i="59"/>
  <c r="AN32" i="59"/>
  <c r="AJ32" i="59"/>
  <c r="AF32" i="59"/>
  <c r="AB32" i="59"/>
  <c r="X32" i="59"/>
  <c r="AI32" i="59"/>
  <c r="AY32" i="59"/>
  <c r="BO32" i="59"/>
  <c r="CE32" i="59"/>
  <c r="U34" i="59"/>
  <c r="AL34" i="59"/>
  <c r="BB34" i="59"/>
  <c r="BR34" i="59"/>
  <c r="CH34" i="59"/>
  <c r="CP35" i="59"/>
  <c r="CL35" i="59"/>
  <c r="CH35" i="59"/>
  <c r="CD35" i="59"/>
  <c r="BZ35" i="59"/>
  <c r="BV35" i="59"/>
  <c r="BR35" i="59"/>
  <c r="BN35" i="59"/>
  <c r="BJ35" i="59"/>
  <c r="BF35" i="59"/>
  <c r="BB35" i="59"/>
  <c r="AX35" i="59"/>
  <c r="AT35" i="59"/>
  <c r="AP35" i="59"/>
  <c r="AL35" i="59"/>
  <c r="AH35" i="59"/>
  <c r="AD35" i="59"/>
  <c r="Z35" i="59"/>
  <c r="V35" i="59"/>
  <c r="CO35" i="59"/>
  <c r="CK35" i="59"/>
  <c r="CG35" i="59"/>
  <c r="CC35" i="59"/>
  <c r="BY35" i="59"/>
  <c r="BU35" i="59"/>
  <c r="BQ35" i="59"/>
  <c r="BM35" i="59"/>
  <c r="BI35" i="59"/>
  <c r="BE35" i="59"/>
  <c r="BA35" i="59"/>
  <c r="AW35" i="59"/>
  <c r="AS35" i="59"/>
  <c r="AO35" i="59"/>
  <c r="AK35" i="59"/>
  <c r="AG35" i="59"/>
  <c r="AC35" i="59"/>
  <c r="Y35" i="59"/>
  <c r="U35" i="59"/>
  <c r="CN35" i="59"/>
  <c r="CJ35" i="59"/>
  <c r="CF35" i="59"/>
  <c r="CB35" i="59"/>
  <c r="BX35" i="59"/>
  <c r="BT35" i="59"/>
  <c r="BP35" i="59"/>
  <c r="BL35" i="59"/>
  <c r="BH35" i="59"/>
  <c r="BD35" i="59"/>
  <c r="AZ35" i="59"/>
  <c r="AV35" i="59"/>
  <c r="AR35" i="59"/>
  <c r="AN35" i="59"/>
  <c r="AJ35" i="59"/>
  <c r="AF35" i="59"/>
  <c r="AB35" i="59"/>
  <c r="X35" i="59"/>
  <c r="AI35" i="59"/>
  <c r="AY35" i="59"/>
  <c r="BO35" i="59"/>
  <c r="CE35" i="59"/>
  <c r="U37" i="59"/>
  <c r="AK37" i="59"/>
  <c r="BA37" i="59"/>
  <c r="BQ37" i="59"/>
  <c r="CP38" i="59"/>
  <c r="CL38" i="59"/>
  <c r="CH38" i="59"/>
  <c r="CD38" i="59"/>
  <c r="BZ38" i="59"/>
  <c r="BV38" i="59"/>
  <c r="BR38" i="59"/>
  <c r="BN38" i="59"/>
  <c r="BJ38" i="59"/>
  <c r="BF38" i="59"/>
  <c r="BB38" i="59"/>
  <c r="AX38" i="59"/>
  <c r="AT38" i="59"/>
  <c r="AP38" i="59"/>
  <c r="AL38" i="59"/>
  <c r="AH38" i="59"/>
  <c r="AD38" i="59"/>
  <c r="Z38" i="59"/>
  <c r="V38" i="59"/>
  <c r="CO38" i="59"/>
  <c r="CK38" i="59"/>
  <c r="CG38" i="59"/>
  <c r="CC38" i="59"/>
  <c r="BY38" i="59"/>
  <c r="BU38" i="59"/>
  <c r="BQ38" i="59"/>
  <c r="BM38" i="59"/>
  <c r="BI38" i="59"/>
  <c r="BE38" i="59"/>
  <c r="BA38" i="59"/>
  <c r="AW38" i="59"/>
  <c r="AS38" i="59"/>
  <c r="AO38" i="59"/>
  <c r="AK38" i="59"/>
  <c r="AG38" i="59"/>
  <c r="AC38" i="59"/>
  <c r="Y38" i="59"/>
  <c r="U38" i="59"/>
  <c r="CN38" i="59"/>
  <c r="CJ38" i="59"/>
  <c r="CF38" i="59"/>
  <c r="CB38" i="59"/>
  <c r="BX38" i="59"/>
  <c r="BT38" i="59"/>
  <c r="BP38" i="59"/>
  <c r="BL38" i="59"/>
  <c r="BH38" i="59"/>
  <c r="BD38" i="59"/>
  <c r="AZ38" i="59"/>
  <c r="AV38" i="59"/>
  <c r="AR38" i="59"/>
  <c r="AN38" i="59"/>
  <c r="AJ38" i="59"/>
  <c r="AF38" i="59"/>
  <c r="AB38" i="59"/>
  <c r="X38" i="59"/>
  <c r="AI38" i="59"/>
  <c r="AY38" i="59"/>
  <c r="BO38" i="59"/>
  <c r="CE38" i="59"/>
  <c r="AD43" i="59"/>
  <c r="X45" i="59"/>
  <c r="AN45" i="59"/>
  <c r="BD45" i="59"/>
  <c r="BU45" i="59"/>
  <c r="AC47" i="59"/>
  <c r="AS47" i="59"/>
  <c r="W49" i="59"/>
  <c r="AM49" i="59"/>
  <c r="AB53" i="59"/>
  <c r="BH53" i="59"/>
  <c r="V70" i="59"/>
  <c r="AH70" i="59"/>
  <c r="AD70" i="59"/>
  <c r="AD75" i="59"/>
  <c r="CN81" i="59"/>
  <c r="CJ81" i="59"/>
  <c r="CF81" i="59"/>
  <c r="CB81" i="59"/>
  <c r="BX81" i="59"/>
  <c r="BT81" i="59"/>
  <c r="BP81" i="59"/>
  <c r="BL81" i="59"/>
  <c r="BH81" i="59"/>
  <c r="BD81" i="59"/>
  <c r="AZ81" i="59"/>
  <c r="CP81" i="59"/>
  <c r="CL81" i="59"/>
  <c r="CH81" i="59"/>
  <c r="CD81" i="59"/>
  <c r="BZ81" i="59"/>
  <c r="BV81" i="59"/>
  <c r="BR81" i="59"/>
  <c r="BN81" i="59"/>
  <c r="BJ81" i="59"/>
  <c r="BF81" i="59"/>
  <c r="BB81" i="59"/>
  <c r="AX81" i="59"/>
  <c r="AT81" i="59"/>
  <c r="AP81" i="59"/>
  <c r="AL81" i="59"/>
  <c r="AH81" i="59"/>
  <c r="AD81" i="59"/>
  <c r="Z81" i="59"/>
  <c r="V81" i="59"/>
  <c r="CM81" i="59"/>
  <c r="CE81" i="59"/>
  <c r="BW81" i="59"/>
  <c r="BO81" i="59"/>
  <c r="BG81" i="59"/>
  <c r="AY81" i="59"/>
  <c r="AS81" i="59"/>
  <c r="AN81" i="59"/>
  <c r="AI81" i="59"/>
  <c r="AC81" i="59"/>
  <c r="X81" i="59"/>
  <c r="CK81" i="59"/>
  <c r="CC81" i="59"/>
  <c r="BU81" i="59"/>
  <c r="BM81" i="59"/>
  <c r="BE81" i="59"/>
  <c r="AW81" i="59"/>
  <c r="AR81" i="59"/>
  <c r="AM81" i="59"/>
  <c r="AG81" i="59"/>
  <c r="AB81" i="59"/>
  <c r="W81" i="59"/>
  <c r="CQ81" i="59"/>
  <c r="CI81" i="59"/>
  <c r="CA81" i="59"/>
  <c r="BS81" i="59"/>
  <c r="BK81" i="59"/>
  <c r="BC81" i="59"/>
  <c r="AV81" i="59"/>
  <c r="AQ81" i="59"/>
  <c r="AK81" i="59"/>
  <c r="AF81" i="59"/>
  <c r="AA81" i="59"/>
  <c r="U81" i="59"/>
  <c r="CO81" i="59"/>
  <c r="BI81" i="59"/>
  <c r="AJ81" i="59"/>
  <c r="CG81" i="59"/>
  <c r="BA81" i="59"/>
  <c r="AE81" i="59"/>
  <c r="BY81" i="59"/>
  <c r="AU81" i="59"/>
  <c r="Y81" i="59"/>
  <c r="Y8" i="59"/>
  <c r="AK8" i="59"/>
  <c r="AW8" i="59"/>
  <c r="BI8" i="59"/>
  <c r="BU8" i="59"/>
  <c r="CG8" i="59"/>
  <c r="CO8" i="59"/>
  <c r="Z9" i="59"/>
  <c r="AL9" i="59"/>
  <c r="BB9" i="59"/>
  <c r="BN9" i="59"/>
  <c r="BZ9" i="59"/>
  <c r="CL9" i="59"/>
  <c r="X12" i="59"/>
  <c r="AR12" i="59"/>
  <c r="BD12" i="59"/>
  <c r="BP12" i="59"/>
  <c r="CJ12" i="59"/>
  <c r="AR13" i="59"/>
  <c r="AH17" i="59"/>
  <c r="AX17" i="59"/>
  <c r="BN17" i="59"/>
  <c r="CD17" i="59"/>
  <c r="AN19" i="59"/>
  <c r="BL19" i="59"/>
  <c r="BO24" i="59"/>
  <c r="AH34" i="59"/>
  <c r="CD34" i="59"/>
  <c r="CO37" i="59"/>
  <c r="CK37" i="59"/>
  <c r="CF37" i="59"/>
  <c r="CB37" i="59"/>
  <c r="BX37" i="59"/>
  <c r="BT37" i="59"/>
  <c r="BP37" i="59"/>
  <c r="BL37" i="59"/>
  <c r="BH37" i="59"/>
  <c r="BD37" i="59"/>
  <c r="AZ37" i="59"/>
  <c r="AV37" i="59"/>
  <c r="AR37" i="59"/>
  <c r="AN37" i="59"/>
  <c r="AJ37" i="59"/>
  <c r="AF37" i="59"/>
  <c r="AB37" i="59"/>
  <c r="X37" i="59"/>
  <c r="CN37" i="59"/>
  <c r="CJ37" i="59"/>
  <c r="CE37" i="59"/>
  <c r="CA37" i="59"/>
  <c r="BW37" i="59"/>
  <c r="BS37" i="59"/>
  <c r="BO37" i="59"/>
  <c r="BK37" i="59"/>
  <c r="BG37" i="59"/>
  <c r="BC37" i="59"/>
  <c r="AY37" i="59"/>
  <c r="AU37" i="59"/>
  <c r="AQ37" i="59"/>
  <c r="AM37" i="59"/>
  <c r="AI37" i="59"/>
  <c r="AE37" i="59"/>
  <c r="AA37" i="59"/>
  <c r="W37" i="59"/>
  <c r="CQ37" i="59"/>
  <c r="CM37" i="59"/>
  <c r="CH37" i="59"/>
  <c r="CD37" i="59"/>
  <c r="BZ37" i="59"/>
  <c r="BV37" i="59"/>
  <c r="BR37" i="59"/>
  <c r="BN37" i="59"/>
  <c r="BJ37" i="59"/>
  <c r="BF37" i="59"/>
  <c r="BB37" i="59"/>
  <c r="AX37" i="59"/>
  <c r="AT37" i="59"/>
  <c r="AP37" i="59"/>
  <c r="AL37" i="59"/>
  <c r="AH37" i="59"/>
  <c r="AD37" i="59"/>
  <c r="Z37" i="59"/>
  <c r="V37" i="59"/>
  <c r="BM37" i="59"/>
  <c r="CN45" i="59"/>
  <c r="CJ45" i="59"/>
  <c r="CF45" i="59"/>
  <c r="CB45" i="59"/>
  <c r="BX45" i="59"/>
  <c r="BT45" i="59"/>
  <c r="BP45" i="59"/>
  <c r="BL45" i="59"/>
  <c r="BC45" i="59"/>
  <c r="AY45" i="59"/>
  <c r="AU45" i="59"/>
  <c r="AQ45" i="59"/>
  <c r="AM45" i="59"/>
  <c r="AI45" i="59"/>
  <c r="AE45" i="59"/>
  <c r="AA45" i="59"/>
  <c r="W45" i="59"/>
  <c r="CQ45" i="59"/>
  <c r="CM45" i="59"/>
  <c r="CI45" i="59"/>
  <c r="CE45" i="59"/>
  <c r="CA45" i="59"/>
  <c r="BW45" i="59"/>
  <c r="BS45" i="59"/>
  <c r="BO45" i="59"/>
  <c r="BB45" i="59"/>
  <c r="AX45" i="59"/>
  <c r="AT45" i="59"/>
  <c r="AP45" i="59"/>
  <c r="AL45" i="59"/>
  <c r="AH45" i="59"/>
  <c r="AD45" i="59"/>
  <c r="Z45" i="59"/>
  <c r="V45" i="59"/>
  <c r="CP45" i="59"/>
  <c r="CL45" i="59"/>
  <c r="CH45" i="59"/>
  <c r="CD45" i="59"/>
  <c r="BZ45" i="59"/>
  <c r="BV45" i="59"/>
  <c r="BR45" i="59"/>
  <c r="BN45" i="59"/>
  <c r="BE45" i="59"/>
  <c r="BA45" i="59"/>
  <c r="AW45" i="59"/>
  <c r="AS45" i="59"/>
  <c r="AO45" i="59"/>
  <c r="AK45" i="59"/>
  <c r="AG45" i="59"/>
  <c r="AC45" i="59"/>
  <c r="Y45" i="59"/>
  <c r="U45" i="59"/>
  <c r="BQ45" i="59"/>
  <c r="BI49" i="59"/>
  <c r="CQ62" i="59"/>
  <c r="CM62" i="59"/>
  <c r="CI62" i="59"/>
  <c r="CE62" i="59"/>
  <c r="CA62" i="59"/>
  <c r="BW62" i="59"/>
  <c r="BS62" i="59"/>
  <c r="BO62" i="59"/>
  <c r="BK62" i="59"/>
  <c r="BG62" i="59"/>
  <c r="BC62" i="59"/>
  <c r="AY62" i="59"/>
  <c r="AU62" i="59"/>
  <c r="AQ62" i="59"/>
  <c r="AM62" i="59"/>
  <c r="AI62" i="59"/>
  <c r="AE62" i="59"/>
  <c r="AA62" i="59"/>
  <c r="V62" i="59"/>
  <c r="CP62" i="59"/>
  <c r="CL62" i="59"/>
  <c r="CH62" i="59"/>
  <c r="CD62" i="59"/>
  <c r="BZ62" i="59"/>
  <c r="BV62" i="59"/>
  <c r="BR62" i="59"/>
  <c r="BN62" i="59"/>
  <c r="BJ62" i="59"/>
  <c r="BF62" i="59"/>
  <c r="BB62" i="59"/>
  <c r="AX62" i="59"/>
  <c r="AT62" i="59"/>
  <c r="AP62" i="59"/>
  <c r="AL62" i="59"/>
  <c r="AH62" i="59"/>
  <c r="AD62" i="59"/>
  <c r="Z62" i="59"/>
  <c r="U62" i="59"/>
  <c r="CO62" i="59"/>
  <c r="CK62" i="59"/>
  <c r="CG62" i="59"/>
  <c r="CC62" i="59"/>
  <c r="BY62" i="59"/>
  <c r="BU62" i="59"/>
  <c r="BQ62" i="59"/>
  <c r="BM62" i="59"/>
  <c r="BI62" i="59"/>
  <c r="BE62" i="59"/>
  <c r="BA62" i="59"/>
  <c r="AW62" i="59"/>
  <c r="AS62" i="59"/>
  <c r="AO62" i="59"/>
  <c r="AK62" i="59"/>
  <c r="AG62" i="59"/>
  <c r="AC62" i="59"/>
  <c r="X62" i="59"/>
  <c r="CB62" i="59"/>
  <c r="BL62" i="59"/>
  <c r="AV62" i="59"/>
  <c r="AF62" i="59"/>
  <c r="CN62" i="59"/>
  <c r="BX62" i="59"/>
  <c r="BH62" i="59"/>
  <c r="AR62" i="59"/>
  <c r="AB62" i="59"/>
  <c r="CJ62" i="59"/>
  <c r="BT62" i="59"/>
  <c r="BD62" i="59"/>
  <c r="AN62" i="59"/>
  <c r="W62" i="59"/>
  <c r="CF62" i="59"/>
  <c r="V8" i="59"/>
  <c r="AA8" i="59"/>
  <c r="AE8" i="59"/>
  <c r="AI8" i="59"/>
  <c r="AM8" i="59"/>
  <c r="AQ8" i="59"/>
  <c r="AU8" i="59"/>
  <c r="AY8" i="59"/>
  <c r="BC8" i="59"/>
  <c r="BG8" i="59"/>
  <c r="BK8" i="59"/>
  <c r="BO8" i="59"/>
  <c r="BS8" i="59"/>
  <c r="BW8" i="59"/>
  <c r="CA8" i="59"/>
  <c r="CE8" i="59"/>
  <c r="CI8" i="59"/>
  <c r="CM8" i="59"/>
  <c r="CQ8" i="59"/>
  <c r="X9" i="59"/>
  <c r="AB9" i="59"/>
  <c r="AF9" i="59"/>
  <c r="AJ9" i="59"/>
  <c r="AN9" i="59"/>
  <c r="AR9" i="59"/>
  <c r="AV9" i="59"/>
  <c r="AZ9" i="59"/>
  <c r="BD9" i="59"/>
  <c r="BH9" i="59"/>
  <c r="BL9" i="59"/>
  <c r="BP9" i="59"/>
  <c r="BT9" i="59"/>
  <c r="BX9" i="59"/>
  <c r="CB9" i="59"/>
  <c r="CF9" i="59"/>
  <c r="CJ9" i="59"/>
  <c r="CN9" i="59"/>
  <c r="V12" i="59"/>
  <c r="Z12" i="59"/>
  <c r="AD12" i="59"/>
  <c r="AH12" i="59"/>
  <c r="AL12" i="59"/>
  <c r="AP12" i="59"/>
  <c r="AT12" i="59"/>
  <c r="AX12" i="59"/>
  <c r="BB12" i="59"/>
  <c r="BF12" i="59"/>
  <c r="BJ12" i="59"/>
  <c r="BN12" i="59"/>
  <c r="BR12" i="59"/>
  <c r="BV12" i="59"/>
  <c r="BZ12" i="59"/>
  <c r="CD12" i="59"/>
  <c r="CH12" i="59"/>
  <c r="CL12" i="59"/>
  <c r="CP12" i="59"/>
  <c r="CO13" i="59"/>
  <c r="CK13" i="59"/>
  <c r="CG13" i="59"/>
  <c r="CC13" i="59"/>
  <c r="BY13" i="59"/>
  <c r="BU13" i="59"/>
  <c r="BQ13" i="59"/>
  <c r="BM13" i="59"/>
  <c r="BI13" i="59"/>
  <c r="BE13" i="59"/>
  <c r="BA13" i="59"/>
  <c r="AW13" i="59"/>
  <c r="AS13" i="59"/>
  <c r="AO13" i="59"/>
  <c r="AK13" i="59"/>
  <c r="AG13" i="59"/>
  <c r="AC13" i="59"/>
  <c r="Y13" i="59"/>
  <c r="U13" i="59"/>
  <c r="Z13" i="59"/>
  <c r="AE13" i="59"/>
  <c r="AJ13" i="59"/>
  <c r="AP13" i="59"/>
  <c r="AU13" i="59"/>
  <c r="AZ13" i="59"/>
  <c r="BF13" i="59"/>
  <c r="BK13" i="59"/>
  <c r="BP13" i="59"/>
  <c r="BV13" i="59"/>
  <c r="CA13" i="59"/>
  <c r="CF13" i="59"/>
  <c r="CL13" i="59"/>
  <c r="CQ13" i="59"/>
  <c r="CP14" i="59"/>
  <c r="CL14" i="59"/>
  <c r="CH14" i="59"/>
  <c r="CD14" i="59"/>
  <c r="BZ14" i="59"/>
  <c r="BV14" i="59"/>
  <c r="BR14" i="59"/>
  <c r="BJ14" i="59"/>
  <c r="BF14" i="59"/>
  <c r="BB14" i="59"/>
  <c r="AX14" i="59"/>
  <c r="AT14" i="59"/>
  <c r="AP14" i="59"/>
  <c r="AL14" i="59"/>
  <c r="AH14" i="59"/>
  <c r="AD14" i="59"/>
  <c r="Z14" i="59"/>
  <c r="V14" i="59"/>
  <c r="Y14" i="59"/>
  <c r="AE14" i="59"/>
  <c r="AJ14" i="59"/>
  <c r="AO14" i="59"/>
  <c r="AU14" i="59"/>
  <c r="AZ14" i="59"/>
  <c r="BE14" i="59"/>
  <c r="BO14" i="59"/>
  <c r="BT14" i="59"/>
  <c r="BY14" i="59"/>
  <c r="CE14" i="59"/>
  <c r="CJ14" i="59"/>
  <c r="CO14" i="59"/>
  <c r="CN16" i="59"/>
  <c r="CJ16" i="59"/>
  <c r="CF16" i="59"/>
  <c r="CB16" i="59"/>
  <c r="BX16" i="59"/>
  <c r="BT16" i="59"/>
  <c r="BP16" i="59"/>
  <c r="BL16" i="59"/>
  <c r="BH16" i="59"/>
  <c r="BD16" i="59"/>
  <c r="AZ16" i="59"/>
  <c r="AV16" i="59"/>
  <c r="AR16" i="59"/>
  <c r="AN16" i="59"/>
  <c r="AJ16" i="59"/>
  <c r="AF16" i="59"/>
  <c r="AB16" i="59"/>
  <c r="X16" i="59"/>
  <c r="Y16" i="59"/>
  <c r="AD16" i="59"/>
  <c r="AI16" i="59"/>
  <c r="AO16" i="59"/>
  <c r="AT16" i="59"/>
  <c r="AY16" i="59"/>
  <c r="BE16" i="59"/>
  <c r="BJ16" i="59"/>
  <c r="BO16" i="59"/>
  <c r="BU16" i="59"/>
  <c r="BZ16" i="59"/>
  <c r="CE16" i="59"/>
  <c r="CK16" i="59"/>
  <c r="CP16" i="59"/>
  <c r="CO17" i="59"/>
  <c r="CK17" i="59"/>
  <c r="CG17" i="59"/>
  <c r="CC17" i="59"/>
  <c r="BY17" i="59"/>
  <c r="BU17" i="59"/>
  <c r="BQ17" i="59"/>
  <c r="BM17" i="59"/>
  <c r="BI17" i="59"/>
  <c r="BE17" i="59"/>
  <c r="BA17" i="59"/>
  <c r="AW17" i="59"/>
  <c r="AS17" i="59"/>
  <c r="AO17" i="59"/>
  <c r="AK17" i="59"/>
  <c r="AG17" i="59"/>
  <c r="AC17" i="59"/>
  <c r="Y17" i="59"/>
  <c r="U17" i="59"/>
  <c r="Z17" i="59"/>
  <c r="AE17" i="59"/>
  <c r="AJ17" i="59"/>
  <c r="AP17" i="59"/>
  <c r="AU17" i="59"/>
  <c r="AZ17" i="59"/>
  <c r="BF17" i="59"/>
  <c r="BK17" i="59"/>
  <c r="BP17" i="59"/>
  <c r="BV17" i="59"/>
  <c r="CA17" i="59"/>
  <c r="CF17" i="59"/>
  <c r="CL17" i="59"/>
  <c r="CQ17" i="59"/>
  <c r="CP18" i="59"/>
  <c r="CL18" i="59"/>
  <c r="CH18" i="59"/>
  <c r="CD18" i="59"/>
  <c r="BZ18" i="59"/>
  <c r="BV18" i="59"/>
  <c r="BR18" i="59"/>
  <c r="BN18" i="59"/>
  <c r="BJ18" i="59"/>
  <c r="BF18" i="59"/>
  <c r="BB18" i="59"/>
  <c r="AX18" i="59"/>
  <c r="AT18" i="59"/>
  <c r="AP18" i="59"/>
  <c r="AL18" i="59"/>
  <c r="AH18" i="59"/>
  <c r="AD18" i="59"/>
  <c r="Z18" i="59"/>
  <c r="V18" i="59"/>
  <c r="CN18" i="59"/>
  <c r="CJ18" i="59"/>
  <c r="CF18" i="59"/>
  <c r="CB18" i="59"/>
  <c r="BX18" i="59"/>
  <c r="BT18" i="59"/>
  <c r="BP18" i="59"/>
  <c r="Y18" i="59"/>
  <c r="AE18" i="59"/>
  <c r="AJ18" i="59"/>
  <c r="AO18" i="59"/>
  <c r="AU18" i="59"/>
  <c r="AZ18" i="59"/>
  <c r="BE18" i="59"/>
  <c r="BK18" i="59"/>
  <c r="BQ18" i="59"/>
  <c r="BY18" i="59"/>
  <c r="CG18" i="59"/>
  <c r="CO18" i="59"/>
  <c r="CQ19" i="59"/>
  <c r="CM19" i="59"/>
  <c r="CI19" i="59"/>
  <c r="CE19" i="59"/>
  <c r="CA19" i="59"/>
  <c r="BW19" i="59"/>
  <c r="BS19" i="59"/>
  <c r="BO19" i="59"/>
  <c r="BK19" i="59"/>
  <c r="BG19" i="59"/>
  <c r="BC19" i="59"/>
  <c r="AY19" i="59"/>
  <c r="AU19" i="59"/>
  <c r="AQ19" i="59"/>
  <c r="AM19" i="59"/>
  <c r="AI19" i="59"/>
  <c r="AE19" i="59"/>
  <c r="AA19" i="59"/>
  <c r="W19" i="59"/>
  <c r="CO19" i="59"/>
  <c r="CK19" i="59"/>
  <c r="CG19" i="59"/>
  <c r="CC19" i="59"/>
  <c r="BY19" i="59"/>
  <c r="BU19" i="59"/>
  <c r="BQ19" i="59"/>
  <c r="BM19" i="59"/>
  <c r="BI19" i="59"/>
  <c r="BE19" i="59"/>
  <c r="BA19" i="59"/>
  <c r="AW19" i="59"/>
  <c r="AS19" i="59"/>
  <c r="AO19" i="59"/>
  <c r="AK19" i="59"/>
  <c r="AG19" i="59"/>
  <c r="AC19" i="59"/>
  <c r="Y19" i="59"/>
  <c r="U19" i="59"/>
  <c r="AB19" i="59"/>
  <c r="AJ19" i="59"/>
  <c r="AR19" i="59"/>
  <c r="AZ19" i="59"/>
  <c r="BH19" i="59"/>
  <c r="BP19" i="59"/>
  <c r="BX19" i="59"/>
  <c r="CF19" i="59"/>
  <c r="CN19" i="59"/>
  <c r="CN20" i="59"/>
  <c r="CJ20" i="59"/>
  <c r="CF20" i="59"/>
  <c r="CB20" i="59"/>
  <c r="BX20" i="59"/>
  <c r="BT20" i="59"/>
  <c r="BP20" i="59"/>
  <c r="BL20" i="59"/>
  <c r="BH20" i="59"/>
  <c r="BD20" i="59"/>
  <c r="AZ20" i="59"/>
  <c r="AV20" i="59"/>
  <c r="AR20" i="59"/>
  <c r="AN20" i="59"/>
  <c r="AJ20" i="59"/>
  <c r="AF20" i="59"/>
  <c r="AB20" i="59"/>
  <c r="X20" i="59"/>
  <c r="CP20" i="59"/>
  <c r="CL20" i="59"/>
  <c r="CH20" i="59"/>
  <c r="CD20" i="59"/>
  <c r="BZ20" i="59"/>
  <c r="BV20" i="59"/>
  <c r="BR20" i="59"/>
  <c r="BN20" i="59"/>
  <c r="BJ20" i="59"/>
  <c r="BF20" i="59"/>
  <c r="BB20" i="59"/>
  <c r="AX20" i="59"/>
  <c r="AT20" i="59"/>
  <c r="AP20" i="59"/>
  <c r="AL20" i="59"/>
  <c r="AH20" i="59"/>
  <c r="AD20" i="59"/>
  <c r="Z20" i="59"/>
  <c r="V20" i="59"/>
  <c r="AA20" i="59"/>
  <c r="AI20" i="59"/>
  <c r="AQ20" i="59"/>
  <c r="AY20" i="59"/>
  <c r="BG20" i="59"/>
  <c r="BO20" i="59"/>
  <c r="BW20" i="59"/>
  <c r="CE20" i="59"/>
  <c r="CM20" i="59"/>
  <c r="AA24" i="59"/>
  <c r="AQ24" i="59"/>
  <c r="BG24" i="59"/>
  <c r="BW24" i="59"/>
  <c r="CM24" i="59"/>
  <c r="CQ25" i="59"/>
  <c r="CM25" i="59"/>
  <c r="CI25" i="59"/>
  <c r="CE25" i="59"/>
  <c r="CA25" i="59"/>
  <c r="BW25" i="59"/>
  <c r="BS25" i="59"/>
  <c r="BO25" i="59"/>
  <c r="BK25" i="59"/>
  <c r="BG25" i="59"/>
  <c r="BC25" i="59"/>
  <c r="AY25" i="59"/>
  <c r="AU25" i="59"/>
  <c r="AQ25" i="59"/>
  <c r="AM25" i="59"/>
  <c r="AI25" i="59"/>
  <c r="AE25" i="59"/>
  <c r="AA25" i="59"/>
  <c r="W25" i="59"/>
  <c r="CP25" i="59"/>
  <c r="CL25" i="59"/>
  <c r="CH25" i="59"/>
  <c r="CD25" i="59"/>
  <c r="BZ25" i="59"/>
  <c r="BV25" i="59"/>
  <c r="BR25" i="59"/>
  <c r="BN25" i="59"/>
  <c r="BJ25" i="59"/>
  <c r="BF25" i="59"/>
  <c r="BB25" i="59"/>
  <c r="AX25" i="59"/>
  <c r="AT25" i="59"/>
  <c r="AP25" i="59"/>
  <c r="AL25" i="59"/>
  <c r="AH25" i="59"/>
  <c r="AD25" i="59"/>
  <c r="Z25" i="59"/>
  <c r="V25" i="59"/>
  <c r="CO25" i="59"/>
  <c r="CK25" i="59"/>
  <c r="CG25" i="59"/>
  <c r="CC25" i="59"/>
  <c r="BY25" i="59"/>
  <c r="BU25" i="59"/>
  <c r="BQ25" i="59"/>
  <c r="BM25" i="59"/>
  <c r="BI25" i="59"/>
  <c r="BE25" i="59"/>
  <c r="BA25" i="59"/>
  <c r="AW25" i="59"/>
  <c r="AS25" i="59"/>
  <c r="AO25" i="59"/>
  <c r="AK25" i="59"/>
  <c r="AG25" i="59"/>
  <c r="AC25" i="59"/>
  <c r="Y25" i="59"/>
  <c r="U25" i="59"/>
  <c r="AJ25" i="59"/>
  <c r="AZ25" i="59"/>
  <c r="BP25" i="59"/>
  <c r="CF25" i="59"/>
  <c r="Z31" i="59"/>
  <c r="AP31" i="59"/>
  <c r="BF31" i="59"/>
  <c r="BV31" i="59"/>
  <c r="Z34" i="59"/>
  <c r="AP34" i="59"/>
  <c r="BF34" i="59"/>
  <c r="BV34" i="59"/>
  <c r="CL34" i="59"/>
  <c r="Y37" i="59"/>
  <c r="AO37" i="59"/>
  <c r="BE37" i="59"/>
  <c r="BU37" i="59"/>
  <c r="CL37" i="59"/>
  <c r="AH43" i="59"/>
  <c r="AB45" i="59"/>
  <c r="AR45" i="59"/>
  <c r="BY45" i="59"/>
  <c r="CO45" i="59"/>
  <c r="CQ47" i="59"/>
  <c r="CM47" i="59"/>
  <c r="CI47" i="59"/>
  <c r="CE47" i="59"/>
  <c r="CA47" i="59"/>
  <c r="BW47" i="59"/>
  <c r="BS47" i="59"/>
  <c r="AV47" i="59"/>
  <c r="AR47" i="59"/>
  <c r="AN47" i="59"/>
  <c r="AJ47" i="59"/>
  <c r="AF47" i="59"/>
  <c r="AB47" i="59"/>
  <c r="X47" i="59"/>
  <c r="CP47" i="59"/>
  <c r="CL47" i="59"/>
  <c r="CH47" i="59"/>
  <c r="CD47" i="59"/>
  <c r="BZ47" i="59"/>
  <c r="BV47" i="59"/>
  <c r="BR47" i="59"/>
  <c r="AU47" i="59"/>
  <c r="AQ47" i="59"/>
  <c r="AM47" i="59"/>
  <c r="AI47" i="59"/>
  <c r="AE47" i="59"/>
  <c r="AA47" i="59"/>
  <c r="W47" i="59"/>
  <c r="CO47" i="59"/>
  <c r="CK47" i="59"/>
  <c r="CG47" i="59"/>
  <c r="CC47" i="59"/>
  <c r="BY47" i="59"/>
  <c r="BU47" i="59"/>
  <c r="BQ47" i="59"/>
  <c r="AT47" i="59"/>
  <c r="AP47" i="59"/>
  <c r="AL47" i="59"/>
  <c r="AH47" i="59"/>
  <c r="AD47" i="59"/>
  <c r="Z47" i="59"/>
  <c r="V47" i="59"/>
  <c r="AG47" i="59"/>
  <c r="AW47" i="59"/>
  <c r="CF47" i="59"/>
  <c r="AA49" i="59"/>
  <c r="AS49" i="59"/>
  <c r="BW49" i="59"/>
  <c r="AJ53" i="59"/>
  <c r="BP53" i="59"/>
  <c r="AZ62" i="59"/>
  <c r="CP66" i="59"/>
  <c r="CL66" i="59"/>
  <c r="CH66" i="59"/>
  <c r="CD66" i="59"/>
  <c r="BZ66" i="59"/>
  <c r="BV66" i="59"/>
  <c r="BR66" i="59"/>
  <c r="BN66" i="59"/>
  <c r="BJ66" i="59"/>
  <c r="BF66" i="59"/>
  <c r="BB66" i="59"/>
  <c r="AX66" i="59"/>
  <c r="AT66" i="59"/>
  <c r="AP66" i="59"/>
  <c r="AL66" i="59"/>
  <c r="AH66" i="59"/>
  <c r="AD66" i="59"/>
  <c r="Z66" i="59"/>
  <c r="V66" i="59"/>
  <c r="CO66" i="59"/>
  <c r="CK66" i="59"/>
  <c r="CG66" i="59"/>
  <c r="CC66" i="59"/>
  <c r="BY66" i="59"/>
  <c r="BU66" i="59"/>
  <c r="BQ66" i="59"/>
  <c r="BM66" i="59"/>
  <c r="BI66" i="59"/>
  <c r="BE66" i="59"/>
  <c r="BA66" i="59"/>
  <c r="AW66" i="59"/>
  <c r="AS66" i="59"/>
  <c r="AO66" i="59"/>
  <c r="AK66" i="59"/>
  <c r="AG66" i="59"/>
  <c r="AC66" i="59"/>
  <c r="Y66" i="59"/>
  <c r="U66" i="59"/>
  <c r="CN66" i="59"/>
  <c r="CJ66" i="59"/>
  <c r="CF66" i="59"/>
  <c r="CB66" i="59"/>
  <c r="BX66" i="59"/>
  <c r="BT66" i="59"/>
  <c r="BP66" i="59"/>
  <c r="BL66" i="59"/>
  <c r="BH66" i="59"/>
  <c r="BD66" i="59"/>
  <c r="AZ66" i="59"/>
  <c r="AV66" i="59"/>
  <c r="AR66" i="59"/>
  <c r="AN66" i="59"/>
  <c r="AJ66" i="59"/>
  <c r="AF66" i="59"/>
  <c r="AB66" i="59"/>
  <c r="X66" i="59"/>
  <c r="CQ66" i="59"/>
  <c r="CA66" i="59"/>
  <c r="BK66" i="59"/>
  <c r="AU66" i="59"/>
  <c r="AE66" i="59"/>
  <c r="CM66" i="59"/>
  <c r="BW66" i="59"/>
  <c r="BG66" i="59"/>
  <c r="AQ66" i="59"/>
  <c r="AA66" i="59"/>
  <c r="CI66" i="59"/>
  <c r="BS66" i="59"/>
  <c r="BC66" i="59"/>
  <c r="AM66" i="59"/>
  <c r="W66" i="59"/>
  <c r="CE66" i="59"/>
  <c r="CO73" i="59"/>
  <c r="CK73" i="59"/>
  <c r="CG73" i="59"/>
  <c r="CC73" i="59"/>
  <c r="BY73" i="59"/>
  <c r="BU73" i="59"/>
  <c r="BQ73" i="59"/>
  <c r="BM73" i="59"/>
  <c r="BI73" i="59"/>
  <c r="BE73" i="59"/>
  <c r="BA73" i="59"/>
  <c r="AW73" i="59"/>
  <c r="AR73" i="59"/>
  <c r="AN73" i="59"/>
  <c r="AJ73" i="59"/>
  <c r="AF73" i="59"/>
  <c r="AB73" i="59"/>
  <c r="X73" i="59"/>
  <c r="CN73" i="59"/>
  <c r="CJ73" i="59"/>
  <c r="CF73" i="59"/>
  <c r="CB73" i="59"/>
  <c r="BX73" i="59"/>
  <c r="BT73" i="59"/>
  <c r="BP73" i="59"/>
  <c r="BL73" i="59"/>
  <c r="BH73" i="59"/>
  <c r="BD73" i="59"/>
  <c r="AZ73" i="59"/>
  <c r="AV73" i="59"/>
  <c r="AQ73" i="59"/>
  <c r="AM73" i="59"/>
  <c r="AI73" i="59"/>
  <c r="AE73" i="59"/>
  <c r="AA73" i="59"/>
  <c r="W73" i="59"/>
  <c r="CQ73" i="59"/>
  <c r="CM73" i="59"/>
  <c r="CI73" i="59"/>
  <c r="CE73" i="59"/>
  <c r="CA73" i="59"/>
  <c r="BW73" i="59"/>
  <c r="BS73" i="59"/>
  <c r="BO73" i="59"/>
  <c r="BK73" i="59"/>
  <c r="BG73" i="59"/>
  <c r="BC73" i="59"/>
  <c r="AY73" i="59"/>
  <c r="AT73" i="59"/>
  <c r="AP73" i="59"/>
  <c r="AL73" i="59"/>
  <c r="AH73" i="59"/>
  <c r="AD73" i="59"/>
  <c r="Z73" i="59"/>
  <c r="V73" i="59"/>
  <c r="CP73" i="59"/>
  <c r="BZ73" i="59"/>
  <c r="BJ73" i="59"/>
  <c r="AS73" i="59"/>
  <c r="AC73" i="59"/>
  <c r="CL73" i="59"/>
  <c r="BV73" i="59"/>
  <c r="BF73" i="59"/>
  <c r="AO73" i="59"/>
  <c r="Y73" i="59"/>
  <c r="CH73" i="59"/>
  <c r="BR73" i="59"/>
  <c r="BB73" i="59"/>
  <c r="AK73" i="59"/>
  <c r="U73" i="59"/>
  <c r="CD73" i="59"/>
  <c r="AG8" i="59"/>
  <c r="AS8" i="59"/>
  <c r="BE8" i="59"/>
  <c r="BQ8" i="59"/>
  <c r="CC8" i="59"/>
  <c r="AH9" i="59"/>
  <c r="AT9" i="59"/>
  <c r="BF9" i="59"/>
  <c r="BR9" i="59"/>
  <c r="CD9" i="59"/>
  <c r="AB12" i="59"/>
  <c r="AN12" i="59"/>
  <c r="AV12" i="59"/>
  <c r="BH12" i="59"/>
  <c r="BX12" i="59"/>
  <c r="CF12" i="59"/>
  <c r="AM13" i="59"/>
  <c r="AB17" i="59"/>
  <c r="AR17" i="59"/>
  <c r="BH17" i="59"/>
  <c r="BX17" i="59"/>
  <c r="X19" i="59"/>
  <c r="AV19" i="59"/>
  <c r="BT19" i="59"/>
  <c r="AI24" i="59"/>
  <c r="BN34" i="59"/>
  <c r="AW37" i="59"/>
  <c r="Z43" i="59"/>
  <c r="AJ45" i="59"/>
  <c r="CG45" i="59"/>
  <c r="X8" i="59"/>
  <c r="AB8" i="59"/>
  <c r="AF8" i="59"/>
  <c r="AJ8" i="59"/>
  <c r="AN8" i="59"/>
  <c r="AR8" i="59"/>
  <c r="AV8" i="59"/>
  <c r="AZ8" i="59"/>
  <c r="BD8" i="59"/>
  <c r="BH8" i="59"/>
  <c r="BL8" i="59"/>
  <c r="BP8" i="59"/>
  <c r="BT8" i="59"/>
  <c r="BX8" i="59"/>
  <c r="CB8" i="59"/>
  <c r="CF8" i="59"/>
  <c r="CJ8" i="59"/>
  <c r="U9" i="59"/>
  <c r="Y9" i="59"/>
  <c r="AC9" i="59"/>
  <c r="AG9" i="59"/>
  <c r="AK9" i="59"/>
  <c r="AO9" i="59"/>
  <c r="AS9" i="59"/>
  <c r="AW9" i="59"/>
  <c r="BA9" i="59"/>
  <c r="BE9" i="59"/>
  <c r="BI9" i="59"/>
  <c r="BM9" i="59"/>
  <c r="BQ9" i="59"/>
  <c r="BU9" i="59"/>
  <c r="BY9" i="59"/>
  <c r="CC9" i="59"/>
  <c r="CG9" i="59"/>
  <c r="CK9" i="59"/>
  <c r="W12" i="59"/>
  <c r="AA12" i="59"/>
  <c r="AE12" i="59"/>
  <c r="AI12" i="59"/>
  <c r="AM12" i="59"/>
  <c r="AQ12" i="59"/>
  <c r="AU12" i="59"/>
  <c r="AY12" i="59"/>
  <c r="BC12" i="59"/>
  <c r="BG12" i="59"/>
  <c r="BK12" i="59"/>
  <c r="BO12" i="59"/>
  <c r="BS12" i="59"/>
  <c r="BW12" i="59"/>
  <c r="CA12" i="59"/>
  <c r="CE12" i="59"/>
  <c r="CI12" i="59"/>
  <c r="CM12" i="59"/>
  <c r="V13" i="59"/>
  <c r="AA13" i="59"/>
  <c r="AF13" i="59"/>
  <c r="AL13" i="59"/>
  <c r="AQ13" i="59"/>
  <c r="AV13" i="59"/>
  <c r="BB13" i="59"/>
  <c r="BG13" i="59"/>
  <c r="BL13" i="59"/>
  <c r="BR13" i="59"/>
  <c r="BW13" i="59"/>
  <c r="CB13" i="59"/>
  <c r="CH13" i="59"/>
  <c r="CM13" i="59"/>
  <c r="U14" i="59"/>
  <c r="AA14" i="59"/>
  <c r="AF14" i="59"/>
  <c r="AK14" i="59"/>
  <c r="AQ14" i="59"/>
  <c r="AV14" i="59"/>
  <c r="BA14" i="59"/>
  <c r="BG14" i="59"/>
  <c r="BP14" i="59"/>
  <c r="BU14" i="59"/>
  <c r="CA14" i="59"/>
  <c r="CF14" i="59"/>
  <c r="CK14" i="59"/>
  <c r="CQ14" i="59"/>
  <c r="CQ15" i="59"/>
  <c r="CM15" i="59"/>
  <c r="CI15" i="59"/>
  <c r="CE15" i="59"/>
  <c r="CA15" i="59"/>
  <c r="BW15" i="59"/>
  <c r="BS15" i="59"/>
  <c r="BO15" i="59"/>
  <c r="BK15" i="59"/>
  <c r="BG15" i="59"/>
  <c r="BC15" i="59"/>
  <c r="AY15" i="59"/>
  <c r="AU15" i="59"/>
  <c r="AQ15" i="59"/>
  <c r="AM15" i="59"/>
  <c r="AI15" i="59"/>
  <c r="AE15" i="59"/>
  <c r="AA15" i="59"/>
  <c r="W15" i="59"/>
  <c r="Y15" i="59"/>
  <c r="AD15" i="59"/>
  <c r="AJ15" i="59"/>
  <c r="AO15" i="59"/>
  <c r="AT15" i="59"/>
  <c r="AZ15" i="59"/>
  <c r="BE15" i="59"/>
  <c r="BJ15" i="59"/>
  <c r="BP15" i="59"/>
  <c r="BU15" i="59"/>
  <c r="BZ15" i="59"/>
  <c r="CF15" i="59"/>
  <c r="CK15" i="59"/>
  <c r="CP15" i="59"/>
  <c r="U16" i="59"/>
  <c r="Z16" i="59"/>
  <c r="AE16" i="59"/>
  <c r="AK16" i="59"/>
  <c r="AP16" i="59"/>
  <c r="AU16" i="59"/>
  <c r="BA16" i="59"/>
  <c r="BF16" i="59"/>
  <c r="BK16" i="59"/>
  <c r="BQ16" i="59"/>
  <c r="BV16" i="59"/>
  <c r="CA16" i="59"/>
  <c r="CG16" i="59"/>
  <c r="CL16" i="59"/>
  <c r="CQ16" i="59"/>
  <c r="V17" i="59"/>
  <c r="AA17" i="59"/>
  <c r="AF17" i="59"/>
  <c r="AL17" i="59"/>
  <c r="AQ17" i="59"/>
  <c r="AV17" i="59"/>
  <c r="BB17" i="59"/>
  <c r="BG17" i="59"/>
  <c r="BL17" i="59"/>
  <c r="BR17" i="59"/>
  <c r="BW17" i="59"/>
  <c r="CB17" i="59"/>
  <c r="CH17" i="59"/>
  <c r="CM17" i="59"/>
  <c r="U18" i="59"/>
  <c r="AA18" i="59"/>
  <c r="AF18" i="59"/>
  <c r="AK18" i="59"/>
  <c r="AQ18" i="59"/>
  <c r="AV18" i="59"/>
  <c r="BA18" i="59"/>
  <c r="BG18" i="59"/>
  <c r="BL18" i="59"/>
  <c r="BS18" i="59"/>
  <c r="CA18" i="59"/>
  <c r="CI18" i="59"/>
  <c r="CQ18" i="59"/>
  <c r="V19" i="59"/>
  <c r="AD19" i="59"/>
  <c r="AL19" i="59"/>
  <c r="AT19" i="59"/>
  <c r="BB19" i="59"/>
  <c r="BJ19" i="59"/>
  <c r="BR19" i="59"/>
  <c r="BZ19" i="59"/>
  <c r="CH19" i="59"/>
  <c r="CP19" i="59"/>
  <c r="U20" i="59"/>
  <c r="AC20" i="59"/>
  <c r="AK20" i="59"/>
  <c r="AS20" i="59"/>
  <c r="BA20" i="59"/>
  <c r="BI20" i="59"/>
  <c r="BQ20" i="59"/>
  <c r="BY20" i="59"/>
  <c r="CG20" i="59"/>
  <c r="CO20" i="59"/>
  <c r="CP21" i="59"/>
  <c r="CL21" i="59"/>
  <c r="CH21" i="59"/>
  <c r="CD21" i="59"/>
  <c r="BZ21" i="59"/>
  <c r="BV21" i="59"/>
  <c r="BR21" i="59"/>
  <c r="BN21" i="59"/>
  <c r="BJ21" i="59"/>
  <c r="BF21" i="59"/>
  <c r="BB21" i="59"/>
  <c r="AX21" i="59"/>
  <c r="AT21" i="59"/>
  <c r="AP21" i="59"/>
  <c r="AL21" i="59"/>
  <c r="AH21" i="59"/>
  <c r="AD21" i="59"/>
  <c r="Z21" i="59"/>
  <c r="V21" i="59"/>
  <c r="CN21" i="59"/>
  <c r="CJ21" i="59"/>
  <c r="CF21" i="59"/>
  <c r="CB21" i="59"/>
  <c r="BX21" i="59"/>
  <c r="BT21" i="59"/>
  <c r="BP21" i="59"/>
  <c r="BL21" i="59"/>
  <c r="BH21" i="59"/>
  <c r="BD21" i="59"/>
  <c r="AZ21" i="59"/>
  <c r="AV21" i="59"/>
  <c r="AR21" i="59"/>
  <c r="AN21" i="59"/>
  <c r="AJ21" i="59"/>
  <c r="AF21" i="59"/>
  <c r="AB21" i="59"/>
  <c r="X21" i="59"/>
  <c r="AC21" i="59"/>
  <c r="AK21" i="59"/>
  <c r="AS21" i="59"/>
  <c r="BA21" i="59"/>
  <c r="BI21" i="59"/>
  <c r="BQ21" i="59"/>
  <c r="BY21" i="59"/>
  <c r="CG21" i="59"/>
  <c r="CO21" i="59"/>
  <c r="CN22" i="59"/>
  <c r="CJ22" i="59"/>
  <c r="CF22" i="59"/>
  <c r="CB22" i="59"/>
  <c r="BX22" i="59"/>
  <c r="BT22" i="59"/>
  <c r="BP22" i="59"/>
  <c r="BL22" i="59"/>
  <c r="BH22" i="59"/>
  <c r="BD22" i="59"/>
  <c r="AZ22" i="59"/>
  <c r="AU22" i="59"/>
  <c r="AQ22" i="59"/>
  <c r="AM22" i="59"/>
  <c r="AI22" i="59"/>
  <c r="AE22" i="59"/>
  <c r="AA22" i="59"/>
  <c r="W22" i="59"/>
  <c r="CP22" i="59"/>
  <c r="CL22" i="59"/>
  <c r="CH22" i="59"/>
  <c r="CD22" i="59"/>
  <c r="BZ22" i="59"/>
  <c r="BV22" i="59"/>
  <c r="BR22" i="59"/>
  <c r="BN22" i="59"/>
  <c r="BJ22" i="59"/>
  <c r="BF22" i="59"/>
  <c r="BB22" i="59"/>
  <c r="AX22" i="59"/>
  <c r="AS22" i="59"/>
  <c r="AO22" i="59"/>
  <c r="AK22" i="59"/>
  <c r="AG22" i="59"/>
  <c r="AC22" i="59"/>
  <c r="Y22" i="59"/>
  <c r="U22" i="59"/>
  <c r="AB22" i="59"/>
  <c r="AJ22" i="59"/>
  <c r="AR22" i="59"/>
  <c r="BA22" i="59"/>
  <c r="BI22" i="59"/>
  <c r="BQ22" i="59"/>
  <c r="BY22" i="59"/>
  <c r="CG22" i="59"/>
  <c r="CO22" i="59"/>
  <c r="CO23" i="59"/>
  <c r="CK23" i="59"/>
  <c r="CG23" i="59"/>
  <c r="CC23" i="59"/>
  <c r="BY23" i="59"/>
  <c r="BU23" i="59"/>
  <c r="BQ23" i="59"/>
  <c r="BM23" i="59"/>
  <c r="BA23" i="59"/>
  <c r="AW23" i="59"/>
  <c r="AS23" i="59"/>
  <c r="AO23" i="59"/>
  <c r="AK23" i="59"/>
  <c r="AG23" i="59"/>
  <c r="AC23" i="59"/>
  <c r="Y23" i="59"/>
  <c r="U23" i="59"/>
  <c r="CN23" i="59"/>
  <c r="CJ23" i="59"/>
  <c r="CF23" i="59"/>
  <c r="CB23" i="59"/>
  <c r="BX23" i="59"/>
  <c r="BT23" i="59"/>
  <c r="BP23" i="59"/>
  <c r="BL23" i="59"/>
  <c r="AZ23" i="59"/>
  <c r="AV23" i="59"/>
  <c r="AR23" i="59"/>
  <c r="AN23" i="59"/>
  <c r="AJ23" i="59"/>
  <c r="AF23" i="59"/>
  <c r="CQ23" i="59"/>
  <c r="CM23" i="59"/>
  <c r="CI23" i="59"/>
  <c r="CE23" i="59"/>
  <c r="CA23" i="59"/>
  <c r="BW23" i="59"/>
  <c r="BS23" i="59"/>
  <c r="BO23" i="59"/>
  <c r="BK23" i="59"/>
  <c r="AY23" i="59"/>
  <c r="AU23" i="59"/>
  <c r="AQ23" i="59"/>
  <c r="AM23" i="59"/>
  <c r="AI23" i="59"/>
  <c r="AE23" i="59"/>
  <c r="AA23" i="59"/>
  <c r="W23" i="59"/>
  <c r="AB23" i="59"/>
  <c r="AP23" i="59"/>
  <c r="BN23" i="59"/>
  <c r="CD23" i="59"/>
  <c r="AE24" i="59"/>
  <c r="AU24" i="59"/>
  <c r="BK24" i="59"/>
  <c r="CA24" i="59"/>
  <c r="CQ24" i="59"/>
  <c r="X25" i="59"/>
  <c r="AN25" i="59"/>
  <c r="BD25" i="59"/>
  <c r="BT25" i="59"/>
  <c r="CJ25" i="59"/>
  <c r="CP26" i="59"/>
  <c r="CL26" i="59"/>
  <c r="CH26" i="59"/>
  <c r="CD26" i="59"/>
  <c r="BZ26" i="59"/>
  <c r="BV26" i="59"/>
  <c r="BR26" i="59"/>
  <c r="BN26" i="59"/>
  <c r="BJ26" i="59"/>
  <c r="BF26" i="59"/>
  <c r="BB26" i="59"/>
  <c r="AX26" i="59"/>
  <c r="AT26" i="59"/>
  <c r="AP26" i="59"/>
  <c r="AL26" i="59"/>
  <c r="AH26" i="59"/>
  <c r="AD26" i="59"/>
  <c r="Z26" i="59"/>
  <c r="CO26" i="59"/>
  <c r="CK26" i="59"/>
  <c r="CG26" i="59"/>
  <c r="CC26" i="59"/>
  <c r="BY26" i="59"/>
  <c r="BU26" i="59"/>
  <c r="BQ26" i="59"/>
  <c r="BM26" i="59"/>
  <c r="BI26" i="59"/>
  <c r="BE26" i="59"/>
  <c r="BA26" i="59"/>
  <c r="AW26" i="59"/>
  <c r="AS26" i="59"/>
  <c r="AO26" i="59"/>
  <c r="AK26" i="59"/>
  <c r="AG26" i="59"/>
  <c r="AC26" i="59"/>
  <c r="Y26" i="59"/>
  <c r="CN26" i="59"/>
  <c r="CJ26" i="59"/>
  <c r="CF26" i="59"/>
  <c r="CB26" i="59"/>
  <c r="BX26" i="59"/>
  <c r="BT26" i="59"/>
  <c r="BP26" i="59"/>
  <c r="BL26" i="59"/>
  <c r="BH26" i="59"/>
  <c r="BD26" i="59"/>
  <c r="AZ26" i="59"/>
  <c r="AV26" i="59"/>
  <c r="AR26" i="59"/>
  <c r="AN26" i="59"/>
  <c r="AJ26" i="59"/>
  <c r="AF26" i="59"/>
  <c r="AB26" i="59"/>
  <c r="X26" i="59"/>
  <c r="AI26" i="59"/>
  <c r="AY26" i="59"/>
  <c r="BO26" i="59"/>
  <c r="CE26" i="59"/>
  <c r="AF27" i="59"/>
  <c r="AV27" i="59"/>
  <c r="BL27" i="59"/>
  <c r="CB27" i="59"/>
  <c r="Y28" i="59"/>
  <c r="AO28" i="59"/>
  <c r="BE28" i="59"/>
  <c r="BU28" i="59"/>
  <c r="CK28" i="59"/>
  <c r="AH29" i="59"/>
  <c r="AX29" i="59"/>
  <c r="BN29" i="59"/>
  <c r="CN30" i="59"/>
  <c r="CJ30" i="59"/>
  <c r="CF30" i="59"/>
  <c r="BZ30" i="59"/>
  <c r="BV30" i="59"/>
  <c r="BR30" i="59"/>
  <c r="BN30" i="59"/>
  <c r="BJ30" i="59"/>
  <c r="BF30" i="59"/>
  <c r="BB30" i="59"/>
  <c r="AX30" i="59"/>
  <c r="AT30" i="59"/>
  <c r="AP30" i="59"/>
  <c r="AL30" i="59"/>
  <c r="AH30" i="59"/>
  <c r="AD30" i="59"/>
  <c r="Z30" i="59"/>
  <c r="V30" i="59"/>
  <c r="CQ30" i="59"/>
  <c r="CM30" i="59"/>
  <c r="CI30" i="59"/>
  <c r="CE30" i="59"/>
  <c r="BY30" i="59"/>
  <c r="BU30" i="59"/>
  <c r="BQ30" i="59"/>
  <c r="BM30" i="59"/>
  <c r="BI30" i="59"/>
  <c r="BE30" i="59"/>
  <c r="BA30" i="59"/>
  <c r="AW30" i="59"/>
  <c r="AS30" i="59"/>
  <c r="AO30" i="59"/>
  <c r="AK30" i="59"/>
  <c r="AG30" i="59"/>
  <c r="AC30" i="59"/>
  <c r="Y30" i="59"/>
  <c r="U30" i="59"/>
  <c r="CP30" i="59"/>
  <c r="CL30" i="59"/>
  <c r="CH30" i="59"/>
  <c r="CD30" i="59"/>
  <c r="BX30" i="59"/>
  <c r="BT30" i="59"/>
  <c r="BP30" i="59"/>
  <c r="BL30" i="59"/>
  <c r="BH30" i="59"/>
  <c r="BD30" i="59"/>
  <c r="AZ30" i="59"/>
  <c r="AV30" i="59"/>
  <c r="AR30" i="59"/>
  <c r="AN30" i="59"/>
  <c r="AJ30" i="59"/>
  <c r="AF30" i="59"/>
  <c r="AB30" i="59"/>
  <c r="X30" i="59"/>
  <c r="AI30" i="59"/>
  <c r="AY30" i="59"/>
  <c r="BO30" i="59"/>
  <c r="CG30" i="59"/>
  <c r="AD31" i="59"/>
  <c r="AT31" i="59"/>
  <c r="BJ31" i="59"/>
  <c r="AA32" i="59"/>
  <c r="AQ32" i="59"/>
  <c r="BG32" i="59"/>
  <c r="BW32" i="59"/>
  <c r="CM32" i="59"/>
  <c r="CQ33" i="59"/>
  <c r="CM33" i="59"/>
  <c r="CI33" i="59"/>
  <c r="CE33" i="59"/>
  <c r="CA33" i="59"/>
  <c r="BW33" i="59"/>
  <c r="BS33" i="59"/>
  <c r="BO33" i="59"/>
  <c r="BK33" i="59"/>
  <c r="BG33" i="59"/>
  <c r="BC33" i="59"/>
  <c r="AY33" i="59"/>
  <c r="AU33" i="59"/>
  <c r="AQ33" i="59"/>
  <c r="AM33" i="59"/>
  <c r="AI33" i="59"/>
  <c r="AE33" i="59"/>
  <c r="AA33" i="59"/>
  <c r="W33" i="59"/>
  <c r="CP33" i="59"/>
  <c r="CL33" i="59"/>
  <c r="CH33" i="59"/>
  <c r="CD33" i="59"/>
  <c r="BZ33" i="59"/>
  <c r="BV33" i="59"/>
  <c r="BR33" i="59"/>
  <c r="BN33" i="59"/>
  <c r="BJ33" i="59"/>
  <c r="BF33" i="59"/>
  <c r="BB33" i="59"/>
  <c r="AX33" i="59"/>
  <c r="AT33" i="59"/>
  <c r="AP33" i="59"/>
  <c r="AL33" i="59"/>
  <c r="AH33" i="59"/>
  <c r="AD33" i="59"/>
  <c r="Z33" i="59"/>
  <c r="V33" i="59"/>
  <c r="CO33" i="59"/>
  <c r="CK33" i="59"/>
  <c r="CG33" i="59"/>
  <c r="CC33" i="59"/>
  <c r="BY33" i="59"/>
  <c r="BU33" i="59"/>
  <c r="BQ33" i="59"/>
  <c r="BM33" i="59"/>
  <c r="BI33" i="59"/>
  <c r="BE33" i="59"/>
  <c r="BA33" i="59"/>
  <c r="AW33" i="59"/>
  <c r="AS33" i="59"/>
  <c r="AO33" i="59"/>
  <c r="AK33" i="59"/>
  <c r="AG33" i="59"/>
  <c r="AC33" i="59"/>
  <c r="Y33" i="59"/>
  <c r="U33" i="59"/>
  <c r="AJ33" i="59"/>
  <c r="AZ33" i="59"/>
  <c r="BP33" i="59"/>
  <c r="CF33" i="59"/>
  <c r="AD34" i="59"/>
  <c r="AT34" i="59"/>
  <c r="BJ34" i="59"/>
  <c r="BZ34" i="59"/>
  <c r="CP34" i="59"/>
  <c r="AA35" i="59"/>
  <c r="AQ35" i="59"/>
  <c r="BG35" i="59"/>
  <c r="BW35" i="59"/>
  <c r="CM35" i="59"/>
  <c r="CQ36" i="59"/>
  <c r="CM36" i="59"/>
  <c r="CI36" i="59"/>
  <c r="CE36" i="59"/>
  <c r="CA36" i="59"/>
  <c r="BW36" i="59"/>
  <c r="BS36" i="59"/>
  <c r="BO36" i="59"/>
  <c r="BK36" i="59"/>
  <c r="BG36" i="59"/>
  <c r="BC36" i="59"/>
  <c r="AY36" i="59"/>
  <c r="AU36" i="59"/>
  <c r="AQ36" i="59"/>
  <c r="AM36" i="59"/>
  <c r="AI36" i="59"/>
  <c r="AE36" i="59"/>
  <c r="AA36" i="59"/>
  <c r="W36" i="59"/>
  <c r="CP36" i="59"/>
  <c r="CL36" i="59"/>
  <c r="CH36" i="59"/>
  <c r="CD36" i="59"/>
  <c r="BZ36" i="59"/>
  <c r="BV36" i="59"/>
  <c r="BR36" i="59"/>
  <c r="BN36" i="59"/>
  <c r="BJ36" i="59"/>
  <c r="BF36" i="59"/>
  <c r="BB36" i="59"/>
  <c r="AX36" i="59"/>
  <c r="AT36" i="59"/>
  <c r="AP36" i="59"/>
  <c r="AL36" i="59"/>
  <c r="AH36" i="59"/>
  <c r="AD36" i="59"/>
  <c r="Z36" i="59"/>
  <c r="V36" i="59"/>
  <c r="CO36" i="59"/>
  <c r="CK36" i="59"/>
  <c r="CG36" i="59"/>
  <c r="CC36" i="59"/>
  <c r="BY36" i="59"/>
  <c r="BU36" i="59"/>
  <c r="BQ36" i="59"/>
  <c r="BM36" i="59"/>
  <c r="BI36" i="59"/>
  <c r="BE36" i="59"/>
  <c r="BA36" i="59"/>
  <c r="AW36" i="59"/>
  <c r="AS36" i="59"/>
  <c r="AO36" i="59"/>
  <c r="AK36" i="59"/>
  <c r="AG36" i="59"/>
  <c r="AC36" i="59"/>
  <c r="Y36" i="59"/>
  <c r="U36" i="59"/>
  <c r="AJ36" i="59"/>
  <c r="AZ36" i="59"/>
  <c r="BP36" i="59"/>
  <c r="CF36" i="59"/>
  <c r="AC37" i="59"/>
  <c r="AS37" i="59"/>
  <c r="BI37" i="59"/>
  <c r="BY37" i="59"/>
  <c r="CP37" i="59"/>
  <c r="AA38" i="59"/>
  <c r="AQ38" i="59"/>
  <c r="BG38" i="59"/>
  <c r="BW38" i="59"/>
  <c r="CM38" i="59"/>
  <c r="CN39" i="59"/>
  <c r="CJ39" i="59"/>
  <c r="CF39" i="59"/>
  <c r="CB39" i="59"/>
  <c r="BX39" i="59"/>
  <c r="BT39" i="59"/>
  <c r="BP39" i="59"/>
  <c r="BL39" i="59"/>
  <c r="BH39" i="59"/>
  <c r="BD39" i="59"/>
  <c r="AZ39" i="59"/>
  <c r="AV39" i="59"/>
  <c r="AR39" i="59"/>
  <c r="AN39" i="59"/>
  <c r="AJ39" i="59"/>
  <c r="W39" i="59"/>
  <c r="CQ39" i="59"/>
  <c r="CM39" i="59"/>
  <c r="CI39" i="59"/>
  <c r="CE39" i="59"/>
  <c r="CA39" i="59"/>
  <c r="BW39" i="59"/>
  <c r="BS39" i="59"/>
  <c r="BO39" i="59"/>
  <c r="BK39" i="59"/>
  <c r="BG39" i="59"/>
  <c r="BC39" i="59"/>
  <c r="AY39" i="59"/>
  <c r="AU39" i="59"/>
  <c r="AQ39" i="59"/>
  <c r="AM39" i="59"/>
  <c r="Z39" i="59"/>
  <c r="V39" i="59"/>
  <c r="CP39" i="59"/>
  <c r="CL39" i="59"/>
  <c r="CH39" i="59"/>
  <c r="CD39" i="59"/>
  <c r="BZ39" i="59"/>
  <c r="BV39" i="59"/>
  <c r="BR39" i="59"/>
  <c r="BN39" i="59"/>
  <c r="BJ39" i="59"/>
  <c r="BF39" i="59"/>
  <c r="BB39" i="59"/>
  <c r="AX39" i="59"/>
  <c r="AT39" i="59"/>
  <c r="AP39" i="59"/>
  <c r="AL39" i="59"/>
  <c r="Y39" i="59"/>
  <c r="U39" i="59"/>
  <c r="AS39" i="59"/>
  <c r="BI39" i="59"/>
  <c r="BY39" i="59"/>
  <c r="CO39" i="59"/>
  <c r="CN42" i="59"/>
  <c r="CJ42" i="59"/>
  <c r="CF42" i="59"/>
  <c r="CB42" i="59"/>
  <c r="BX42" i="59"/>
  <c r="BT42" i="59"/>
  <c r="BP42" i="59"/>
  <c r="BL42" i="59"/>
  <c r="BH42" i="59"/>
  <c r="BD42" i="59"/>
  <c r="AZ42" i="59"/>
  <c r="AV42" i="59"/>
  <c r="AR42" i="59"/>
  <c r="AN42" i="59"/>
  <c r="AJ42" i="59"/>
  <c r="CQ42" i="59"/>
  <c r="CM42" i="59"/>
  <c r="CI42" i="59"/>
  <c r="CE42" i="59"/>
  <c r="CA42" i="59"/>
  <c r="BW42" i="59"/>
  <c r="BS42" i="59"/>
  <c r="BO42" i="59"/>
  <c r="BK42" i="59"/>
  <c r="BG42" i="59"/>
  <c r="BC42" i="59"/>
  <c r="AY42" i="59"/>
  <c r="AU42" i="59"/>
  <c r="AQ42" i="59"/>
  <c r="AM42" i="59"/>
  <c r="W42" i="59"/>
  <c r="CP42" i="59"/>
  <c r="CL42" i="59"/>
  <c r="CH42" i="59"/>
  <c r="CD42" i="59"/>
  <c r="BZ42" i="59"/>
  <c r="BV42" i="59"/>
  <c r="BR42" i="59"/>
  <c r="BN42" i="59"/>
  <c r="BJ42" i="59"/>
  <c r="BF42" i="59"/>
  <c r="BB42" i="59"/>
  <c r="AX42" i="59"/>
  <c r="AT42" i="59"/>
  <c r="AP42" i="59"/>
  <c r="AL42" i="59"/>
  <c r="V42" i="59"/>
  <c r="AS42" i="59"/>
  <c r="BI42" i="59"/>
  <c r="BY42" i="59"/>
  <c r="CO42" i="59"/>
  <c r="V43" i="59"/>
  <c r="CP44" i="59"/>
  <c r="CL44" i="59"/>
  <c r="CH44" i="59"/>
  <c r="CD44" i="59"/>
  <c r="BZ44" i="59"/>
  <c r="BV44" i="59"/>
  <c r="BR44" i="59"/>
  <c r="BN44" i="59"/>
  <c r="BJ44" i="59"/>
  <c r="BF44" i="59"/>
  <c r="BB44" i="59"/>
  <c r="AX44" i="59"/>
  <c r="AT44" i="59"/>
  <c r="AL44" i="59"/>
  <c r="AH44" i="59"/>
  <c r="AD44" i="59"/>
  <c r="Z44" i="59"/>
  <c r="V44" i="59"/>
  <c r="CO44" i="59"/>
  <c r="CK44" i="59"/>
  <c r="CG44" i="59"/>
  <c r="CC44" i="59"/>
  <c r="BY44" i="59"/>
  <c r="BU44" i="59"/>
  <c r="BQ44" i="59"/>
  <c r="BM44" i="59"/>
  <c r="BI44" i="59"/>
  <c r="BE44" i="59"/>
  <c r="BA44" i="59"/>
  <c r="AW44" i="59"/>
  <c r="AS44" i="59"/>
  <c r="AK44" i="59"/>
  <c r="AG44" i="59"/>
  <c r="AC44" i="59"/>
  <c r="Y44" i="59"/>
  <c r="U44" i="59"/>
  <c r="CN44" i="59"/>
  <c r="CJ44" i="59"/>
  <c r="CF44" i="59"/>
  <c r="CB44" i="59"/>
  <c r="BX44" i="59"/>
  <c r="BT44" i="59"/>
  <c r="BP44" i="59"/>
  <c r="BL44" i="59"/>
  <c r="BH44" i="59"/>
  <c r="BD44" i="59"/>
  <c r="AZ44" i="59"/>
  <c r="AV44" i="59"/>
  <c r="AN44" i="59"/>
  <c r="AJ44" i="59"/>
  <c r="AF44" i="59"/>
  <c r="AB44" i="59"/>
  <c r="X44" i="59"/>
  <c r="AI44" i="59"/>
  <c r="BC44" i="59"/>
  <c r="BS44" i="59"/>
  <c r="CI44" i="59"/>
  <c r="AF45" i="59"/>
  <c r="AV45" i="59"/>
  <c r="BM45" i="59"/>
  <c r="CC45" i="59"/>
  <c r="Z46" i="59"/>
  <c r="AP46" i="59"/>
  <c r="U47" i="59"/>
  <c r="AK47" i="59"/>
  <c r="BT47" i="59"/>
  <c r="CJ47" i="59"/>
  <c r="CO48" i="59"/>
  <c r="CK48" i="59"/>
  <c r="CG48" i="59"/>
  <c r="CC48" i="59"/>
  <c r="BY48" i="59"/>
  <c r="BU48" i="59"/>
  <c r="BQ48" i="59"/>
  <c r="BM48" i="59"/>
  <c r="BI48" i="59"/>
  <c r="BD48" i="59"/>
  <c r="AZ48" i="59"/>
  <c r="AV48" i="59"/>
  <c r="AR48" i="59"/>
  <c r="AN48" i="59"/>
  <c r="AJ48" i="59"/>
  <c r="AF48" i="59"/>
  <c r="AB48" i="59"/>
  <c r="X48" i="59"/>
  <c r="CN48" i="59"/>
  <c r="CJ48" i="59"/>
  <c r="CF48" i="59"/>
  <c r="CB48" i="59"/>
  <c r="BX48" i="59"/>
  <c r="BT48" i="59"/>
  <c r="BP48" i="59"/>
  <c r="BL48" i="59"/>
  <c r="BH48" i="59"/>
  <c r="BC48" i="59"/>
  <c r="AY48" i="59"/>
  <c r="AU48" i="59"/>
  <c r="AQ48" i="59"/>
  <c r="AM48" i="59"/>
  <c r="AI48" i="59"/>
  <c r="AE48" i="59"/>
  <c r="AA48" i="59"/>
  <c r="W48" i="59"/>
  <c r="CQ48" i="59"/>
  <c r="CM48" i="59"/>
  <c r="CI48" i="59"/>
  <c r="CE48" i="59"/>
  <c r="CA48" i="59"/>
  <c r="BW48" i="59"/>
  <c r="BS48" i="59"/>
  <c r="BO48" i="59"/>
  <c r="BK48" i="59"/>
  <c r="BG48" i="59"/>
  <c r="BB48" i="59"/>
  <c r="AX48" i="59"/>
  <c r="AT48" i="59"/>
  <c r="AP48" i="59"/>
  <c r="AL48" i="59"/>
  <c r="AH48" i="59"/>
  <c r="AD48" i="59"/>
  <c r="Z48" i="59"/>
  <c r="V48" i="59"/>
  <c r="AG48" i="59"/>
  <c r="AW48" i="59"/>
  <c r="BN48" i="59"/>
  <c r="CD48" i="59"/>
  <c r="AE49" i="59"/>
  <c r="BA49" i="59"/>
  <c r="CE49" i="59"/>
  <c r="CN54" i="59"/>
  <c r="CJ54" i="59"/>
  <c r="CF54" i="59"/>
  <c r="CB54" i="59"/>
  <c r="BX54" i="59"/>
  <c r="BJ54" i="59"/>
  <c r="BF54" i="59"/>
  <c r="BB54" i="59"/>
  <c r="AX54" i="59"/>
  <c r="AT54" i="59"/>
  <c r="AP54" i="59"/>
  <c r="AL54" i="59"/>
  <c r="AH54" i="59"/>
  <c r="AD54" i="59"/>
  <c r="Z54" i="59"/>
  <c r="V54" i="59"/>
  <c r="CP54" i="59"/>
  <c r="CL54" i="59"/>
  <c r="CH54" i="59"/>
  <c r="CD54" i="59"/>
  <c r="BZ54" i="59"/>
  <c r="BV54" i="59"/>
  <c r="BH54" i="59"/>
  <c r="BD54" i="59"/>
  <c r="AZ54" i="59"/>
  <c r="AV54" i="59"/>
  <c r="AR54" i="59"/>
  <c r="AN54" i="59"/>
  <c r="AJ54" i="59"/>
  <c r="AF54" i="59"/>
  <c r="AB54" i="59"/>
  <c r="X54" i="59"/>
  <c r="CQ54" i="59"/>
  <c r="CI54" i="59"/>
  <c r="CA54" i="59"/>
  <c r="BI54" i="59"/>
  <c r="BA54" i="59"/>
  <c r="AS54" i="59"/>
  <c r="AK54" i="59"/>
  <c r="AC54" i="59"/>
  <c r="U54" i="59"/>
  <c r="CO54" i="59"/>
  <c r="CG54" i="59"/>
  <c r="BY54" i="59"/>
  <c r="BG54" i="59"/>
  <c r="AY54" i="59"/>
  <c r="AQ54" i="59"/>
  <c r="AI54" i="59"/>
  <c r="AA54" i="59"/>
  <c r="CM54" i="59"/>
  <c r="CE54" i="59"/>
  <c r="BW54" i="59"/>
  <c r="BE54" i="59"/>
  <c r="AW54" i="59"/>
  <c r="AO54" i="59"/>
  <c r="AG54" i="59"/>
  <c r="Y54" i="59"/>
  <c r="AE54" i="59"/>
  <c r="BK54" i="59"/>
  <c r="BP62" i="59"/>
  <c r="AI66" i="59"/>
  <c r="CQ75" i="59"/>
  <c r="CM75" i="59"/>
  <c r="CI75" i="59"/>
  <c r="CE75" i="59"/>
  <c r="CA75" i="59"/>
  <c r="BW75" i="59"/>
  <c r="BS75" i="59"/>
  <c r="BO75" i="59"/>
  <c r="BK75" i="59"/>
  <c r="BG75" i="59"/>
  <c r="BC75" i="59"/>
  <c r="AY75" i="59"/>
  <c r="AS75" i="59"/>
  <c r="AO75" i="59"/>
  <c r="AK75" i="59"/>
  <c r="AG75" i="59"/>
  <c r="AC75" i="59"/>
  <c r="Y75" i="59"/>
  <c r="U75" i="59"/>
  <c r="CP75" i="59"/>
  <c r="CL75" i="59"/>
  <c r="CH75" i="59"/>
  <c r="CD75" i="59"/>
  <c r="BZ75" i="59"/>
  <c r="BV75" i="59"/>
  <c r="BR75" i="59"/>
  <c r="BN75" i="59"/>
  <c r="BJ75" i="59"/>
  <c r="BF75" i="59"/>
  <c r="BB75" i="59"/>
  <c r="AX75" i="59"/>
  <c r="AR75" i="59"/>
  <c r="AN75" i="59"/>
  <c r="AJ75" i="59"/>
  <c r="AF75" i="59"/>
  <c r="AB75" i="59"/>
  <c r="X75" i="59"/>
  <c r="CO75" i="59"/>
  <c r="CK75" i="59"/>
  <c r="CG75" i="59"/>
  <c r="CC75" i="59"/>
  <c r="BY75" i="59"/>
  <c r="BU75" i="59"/>
  <c r="BQ75" i="59"/>
  <c r="BM75" i="59"/>
  <c r="BI75" i="59"/>
  <c r="BE75" i="59"/>
  <c r="BA75" i="59"/>
  <c r="AW75" i="59"/>
  <c r="AQ75" i="59"/>
  <c r="AM75" i="59"/>
  <c r="AI75" i="59"/>
  <c r="AE75" i="59"/>
  <c r="AA75" i="59"/>
  <c r="W75" i="59"/>
  <c r="CN75" i="59"/>
  <c r="BX75" i="59"/>
  <c r="BH75" i="59"/>
  <c r="AP75" i="59"/>
  <c r="Z75" i="59"/>
  <c r="CJ75" i="59"/>
  <c r="BT75" i="59"/>
  <c r="BD75" i="59"/>
  <c r="AL75" i="59"/>
  <c r="V75" i="59"/>
  <c r="CF75" i="59"/>
  <c r="BP75" i="59"/>
  <c r="AZ75" i="59"/>
  <c r="AH75" i="59"/>
  <c r="BL75" i="59"/>
  <c r="BQ81" i="59"/>
  <c r="CO94" i="59"/>
  <c r="CK94" i="59"/>
  <c r="CG94" i="59"/>
  <c r="CC94" i="59"/>
  <c r="BY94" i="59"/>
  <c r="BU94" i="59"/>
  <c r="BQ94" i="59"/>
  <c r="BM94" i="59"/>
  <c r="BI94" i="59"/>
  <c r="BE94" i="59"/>
  <c r="BA94" i="59"/>
  <c r="AW94" i="59"/>
  <c r="AS94" i="59"/>
  <c r="AO94" i="59"/>
  <c r="AK94" i="59"/>
  <c r="AG94" i="59"/>
  <c r="AC94" i="59"/>
  <c r="Y94" i="59"/>
  <c r="CN94" i="59"/>
  <c r="CJ94" i="59"/>
  <c r="CF94" i="59"/>
  <c r="CB94" i="59"/>
  <c r="BX94" i="59"/>
  <c r="BT94" i="59"/>
  <c r="BP94" i="59"/>
  <c r="BL94" i="59"/>
  <c r="BH94" i="59"/>
  <c r="BD94" i="59"/>
  <c r="AZ94" i="59"/>
  <c r="AV94" i="59"/>
  <c r="AR94" i="59"/>
  <c r="AN94" i="59"/>
  <c r="AJ94" i="59"/>
  <c r="AF94" i="59"/>
  <c r="AB94" i="59"/>
  <c r="X94" i="59"/>
  <c r="CM94" i="59"/>
  <c r="CE94" i="59"/>
  <c r="BW94" i="59"/>
  <c r="BO94" i="59"/>
  <c r="BG94" i="59"/>
  <c r="AY94" i="59"/>
  <c r="AQ94" i="59"/>
  <c r="AI94" i="59"/>
  <c r="AA94" i="59"/>
  <c r="CQ94" i="59"/>
  <c r="CI94" i="59"/>
  <c r="CA94" i="59"/>
  <c r="BS94" i="59"/>
  <c r="BK94" i="59"/>
  <c r="BC94" i="59"/>
  <c r="AU94" i="59"/>
  <c r="AM94" i="59"/>
  <c r="AE94" i="59"/>
  <c r="CD94" i="59"/>
  <c r="BN94" i="59"/>
  <c r="AX94" i="59"/>
  <c r="AH94" i="59"/>
  <c r="CP94" i="59"/>
  <c r="BZ94" i="59"/>
  <c r="BJ94" i="59"/>
  <c r="AT94" i="59"/>
  <c r="AD94" i="59"/>
  <c r="CL94" i="59"/>
  <c r="BV94" i="59"/>
  <c r="BF94" i="59"/>
  <c r="AP94" i="59"/>
  <c r="Z94" i="59"/>
  <c r="BR94" i="59"/>
  <c r="BB94" i="59"/>
  <c r="AL94" i="59"/>
  <c r="W29" i="59"/>
  <c r="AA29" i="59"/>
  <c r="AE29" i="59"/>
  <c r="AI29" i="59"/>
  <c r="AM29" i="59"/>
  <c r="AQ29" i="59"/>
  <c r="AU29" i="59"/>
  <c r="AY29" i="59"/>
  <c r="BC29" i="59"/>
  <c r="BG29" i="59"/>
  <c r="BK29" i="59"/>
  <c r="BO29" i="59"/>
  <c r="BS29" i="59"/>
  <c r="BW29" i="59"/>
  <c r="CA29" i="59"/>
  <c r="CE29" i="59"/>
  <c r="CM29" i="59"/>
  <c r="CQ29" i="59"/>
  <c r="W31" i="59"/>
  <c r="AA31" i="59"/>
  <c r="AE31" i="59"/>
  <c r="AI31" i="59"/>
  <c r="AM31" i="59"/>
  <c r="AQ31" i="59"/>
  <c r="AU31" i="59"/>
  <c r="AY31" i="59"/>
  <c r="BC31" i="59"/>
  <c r="BG31" i="59"/>
  <c r="BK31" i="59"/>
  <c r="BO31" i="59"/>
  <c r="BS31" i="59"/>
  <c r="BW31" i="59"/>
  <c r="CA31" i="59"/>
  <c r="CE31" i="59"/>
  <c r="CI31" i="59"/>
  <c r="CM31" i="59"/>
  <c r="CQ31" i="59"/>
  <c r="W40" i="59"/>
  <c r="AL40" i="59"/>
  <c r="AP40" i="59"/>
  <c r="AT40" i="59"/>
  <c r="AX40" i="59"/>
  <c r="BB40" i="59"/>
  <c r="BF40" i="59"/>
  <c r="BJ40" i="59"/>
  <c r="BN40" i="59"/>
  <c r="BR40" i="59"/>
  <c r="BV40" i="59"/>
  <c r="BZ40" i="59"/>
  <c r="CD40" i="59"/>
  <c r="CH40" i="59"/>
  <c r="CL40" i="59"/>
  <c r="CP40" i="59"/>
  <c r="AK41" i="59"/>
  <c r="AO41" i="59"/>
  <c r="AS41" i="59"/>
  <c r="AW41" i="59"/>
  <c r="BA41" i="59"/>
  <c r="BE41" i="59"/>
  <c r="BI41" i="59"/>
  <c r="BM41" i="59"/>
  <c r="BQ41" i="59"/>
  <c r="BU41" i="59"/>
  <c r="BY41" i="59"/>
  <c r="CC41" i="59"/>
  <c r="CG41" i="59"/>
  <c r="CK41" i="59"/>
  <c r="CO41" i="59"/>
  <c r="W43" i="59"/>
  <c r="AA43" i="59"/>
  <c r="AE43" i="59"/>
  <c r="AI43" i="59"/>
  <c r="AM43" i="59"/>
  <c r="AQ43" i="59"/>
  <c r="AU43" i="59"/>
  <c r="AY43" i="59"/>
  <c r="BC43" i="59"/>
  <c r="BG43" i="59"/>
  <c r="BK43" i="59"/>
  <c r="BO43" i="59"/>
  <c r="BS43" i="59"/>
  <c r="BW43" i="59"/>
  <c r="CA43" i="59"/>
  <c r="CE43" i="59"/>
  <c r="CI43" i="59"/>
  <c r="CM43" i="59"/>
  <c r="CQ43" i="59"/>
  <c r="W46" i="59"/>
  <c r="AA46" i="59"/>
  <c r="AE46" i="59"/>
  <c r="AI46" i="59"/>
  <c r="AM46" i="59"/>
  <c r="AQ46" i="59"/>
  <c r="AU46" i="59"/>
  <c r="AY46" i="59"/>
  <c r="BC46" i="59"/>
  <c r="BG46" i="59"/>
  <c r="BM46" i="59"/>
  <c r="BQ46" i="59"/>
  <c r="BU46" i="59"/>
  <c r="BY46" i="59"/>
  <c r="CC46" i="59"/>
  <c r="CG46" i="59"/>
  <c r="CK46" i="59"/>
  <c r="CO46" i="59"/>
  <c r="CQ50" i="59"/>
  <c r="CM50" i="59"/>
  <c r="CI50" i="59"/>
  <c r="CE50" i="59"/>
  <c r="CA50" i="59"/>
  <c r="BW50" i="59"/>
  <c r="BO50" i="59"/>
  <c r="BK50" i="59"/>
  <c r="BG50" i="59"/>
  <c r="BC50" i="59"/>
  <c r="AY50" i="59"/>
  <c r="AU50" i="59"/>
  <c r="AQ50" i="59"/>
  <c r="AM50" i="59"/>
  <c r="AI50" i="59"/>
  <c r="AE50" i="59"/>
  <c r="AA50" i="59"/>
  <c r="W50" i="59"/>
  <c r="CO50" i="59"/>
  <c r="CK50" i="59"/>
  <c r="CG50" i="59"/>
  <c r="CC50" i="59"/>
  <c r="BY50" i="59"/>
  <c r="BQ50" i="59"/>
  <c r="BM50" i="59"/>
  <c r="BI50" i="59"/>
  <c r="BE50" i="59"/>
  <c r="BA50" i="59"/>
  <c r="AW50" i="59"/>
  <c r="AS50" i="59"/>
  <c r="AO50" i="59"/>
  <c r="AK50" i="59"/>
  <c r="AG50" i="59"/>
  <c r="AC50" i="59"/>
  <c r="Y50" i="59"/>
  <c r="U50" i="59"/>
  <c r="AB50" i="59"/>
  <c r="AJ50" i="59"/>
  <c r="AR50" i="59"/>
  <c r="AZ50" i="59"/>
  <c r="BH50" i="59"/>
  <c r="BP50" i="59"/>
  <c r="CB50" i="59"/>
  <c r="CJ50" i="59"/>
  <c r="V53" i="59"/>
  <c r="AD53" i="59"/>
  <c r="AL53" i="59"/>
  <c r="AT53" i="59"/>
  <c r="BB53" i="59"/>
  <c r="BJ53" i="59"/>
  <c r="BR53" i="59"/>
  <c r="BZ53" i="59"/>
  <c r="CH53" i="59"/>
  <c r="Z55" i="59"/>
  <c r="AH55" i="59"/>
  <c r="AP55" i="59"/>
  <c r="AX55" i="59"/>
  <c r="BF55" i="59"/>
  <c r="BN55" i="59"/>
  <c r="BV55" i="59"/>
  <c r="CD55" i="59"/>
  <c r="Y56" i="59"/>
  <c r="AG56" i="59"/>
  <c r="AO56" i="59"/>
  <c r="AW56" i="59"/>
  <c r="BE56" i="59"/>
  <c r="BM56" i="59"/>
  <c r="BU56" i="59"/>
  <c r="CC56" i="59"/>
  <c r="AF60" i="59"/>
  <c r="AV60" i="59"/>
  <c r="BL60" i="59"/>
  <c r="CO63" i="59"/>
  <c r="CK63" i="59"/>
  <c r="CG63" i="59"/>
  <c r="CC63" i="59"/>
  <c r="BY63" i="59"/>
  <c r="BU63" i="59"/>
  <c r="BQ63" i="59"/>
  <c r="BM63" i="59"/>
  <c r="BI63" i="59"/>
  <c r="BE63" i="59"/>
  <c r="AZ63" i="59"/>
  <c r="AV63" i="59"/>
  <c r="AR63" i="59"/>
  <c r="AN63" i="59"/>
  <c r="AJ63" i="59"/>
  <c r="AF63" i="59"/>
  <c r="AB63" i="59"/>
  <c r="X63" i="59"/>
  <c r="CN63" i="59"/>
  <c r="CJ63" i="59"/>
  <c r="CF63" i="59"/>
  <c r="CB63" i="59"/>
  <c r="BX63" i="59"/>
  <c r="BT63" i="59"/>
  <c r="BP63" i="59"/>
  <c r="BL63" i="59"/>
  <c r="BH63" i="59"/>
  <c r="BD63" i="59"/>
  <c r="AY63" i="59"/>
  <c r="AU63" i="59"/>
  <c r="AQ63" i="59"/>
  <c r="AM63" i="59"/>
  <c r="AI63" i="59"/>
  <c r="AE63" i="59"/>
  <c r="AA63" i="59"/>
  <c r="W63" i="59"/>
  <c r="CQ63" i="59"/>
  <c r="CM63" i="59"/>
  <c r="CI63" i="59"/>
  <c r="CE63" i="59"/>
  <c r="CA63" i="59"/>
  <c r="BW63" i="59"/>
  <c r="BS63" i="59"/>
  <c r="BO63" i="59"/>
  <c r="BK63" i="59"/>
  <c r="BG63" i="59"/>
  <c r="BC63" i="59"/>
  <c r="AX63" i="59"/>
  <c r="AT63" i="59"/>
  <c r="AP63" i="59"/>
  <c r="AL63" i="59"/>
  <c r="AH63" i="59"/>
  <c r="AD63" i="59"/>
  <c r="Z63" i="59"/>
  <c r="V63" i="59"/>
  <c r="AG63" i="59"/>
  <c r="AW63" i="59"/>
  <c r="BN63" i="59"/>
  <c r="CD63" i="59"/>
  <c r="AE64" i="59"/>
  <c r="AV64" i="59"/>
  <c r="BL64" i="59"/>
  <c r="AF67" i="59"/>
  <c r="AV67" i="59"/>
  <c r="BL67" i="59"/>
  <c r="AF72" i="59"/>
  <c r="BH72" i="59"/>
  <c r="BX72" i="59"/>
  <c r="CO74" i="59"/>
  <c r="CK74" i="59"/>
  <c r="CG74" i="59"/>
  <c r="CC74" i="59"/>
  <c r="BY74" i="59"/>
  <c r="BU74" i="59"/>
  <c r="BQ74" i="59"/>
  <c r="BM74" i="59"/>
  <c r="BI74" i="59"/>
  <c r="BE74" i="59"/>
  <c r="BA74" i="59"/>
  <c r="AW74" i="59"/>
  <c r="AL74" i="59"/>
  <c r="AH74" i="59"/>
  <c r="AD74" i="59"/>
  <c r="Z74" i="59"/>
  <c r="V74" i="59"/>
  <c r="CN74" i="59"/>
  <c r="CJ74" i="59"/>
  <c r="CF74" i="59"/>
  <c r="CB74" i="59"/>
  <c r="BX74" i="59"/>
  <c r="BT74" i="59"/>
  <c r="BP74" i="59"/>
  <c r="BL74" i="59"/>
  <c r="BH74" i="59"/>
  <c r="BD74" i="59"/>
  <c r="AZ74" i="59"/>
  <c r="AV74" i="59"/>
  <c r="AK74" i="59"/>
  <c r="AG74" i="59"/>
  <c r="AC74" i="59"/>
  <c r="Y74" i="59"/>
  <c r="U74" i="59"/>
  <c r="CQ74" i="59"/>
  <c r="CM74" i="59"/>
  <c r="CI74" i="59"/>
  <c r="CE74" i="59"/>
  <c r="CA74" i="59"/>
  <c r="BW74" i="59"/>
  <c r="BS74" i="59"/>
  <c r="BO74" i="59"/>
  <c r="BK74" i="59"/>
  <c r="BG74" i="59"/>
  <c r="BC74" i="59"/>
  <c r="AY74" i="59"/>
  <c r="AN74" i="59"/>
  <c r="AJ74" i="59"/>
  <c r="AF74" i="59"/>
  <c r="AB74" i="59"/>
  <c r="X74" i="59"/>
  <c r="AI74" i="59"/>
  <c r="BF74" i="59"/>
  <c r="BV74" i="59"/>
  <c r="CL74" i="59"/>
  <c r="AB76" i="59"/>
  <c r="AR76" i="59"/>
  <c r="BH76" i="59"/>
  <c r="CO78" i="59"/>
  <c r="CK78" i="59"/>
  <c r="CG78" i="59"/>
  <c r="CC78" i="59"/>
  <c r="BY78" i="59"/>
  <c r="BU78" i="59"/>
  <c r="BQ78" i="59"/>
  <c r="BM78" i="59"/>
  <c r="BI78" i="59"/>
  <c r="BE78" i="59"/>
  <c r="BA78" i="59"/>
  <c r="AW78" i="59"/>
  <c r="AS78" i="59"/>
  <c r="AO78" i="59"/>
  <c r="AK78" i="59"/>
  <c r="AG78" i="59"/>
  <c r="AC78" i="59"/>
  <c r="Y78" i="59"/>
  <c r="U78" i="59"/>
  <c r="CM78" i="59"/>
  <c r="CH78" i="59"/>
  <c r="CB78" i="59"/>
  <c r="BW78" i="59"/>
  <c r="BR78" i="59"/>
  <c r="BL78" i="59"/>
  <c r="BG78" i="59"/>
  <c r="BB78" i="59"/>
  <c r="AV78" i="59"/>
  <c r="AQ78" i="59"/>
  <c r="AL78" i="59"/>
  <c r="AF78" i="59"/>
  <c r="AA78" i="59"/>
  <c r="V78" i="59"/>
  <c r="CQ78" i="59"/>
  <c r="CL78" i="59"/>
  <c r="CF78" i="59"/>
  <c r="CA78" i="59"/>
  <c r="BV78" i="59"/>
  <c r="BP78" i="59"/>
  <c r="BK78" i="59"/>
  <c r="BF78" i="59"/>
  <c r="AZ78" i="59"/>
  <c r="AU78" i="59"/>
  <c r="AP78" i="59"/>
  <c r="AJ78" i="59"/>
  <c r="AE78" i="59"/>
  <c r="Z78" i="59"/>
  <c r="CP78" i="59"/>
  <c r="CJ78" i="59"/>
  <c r="CE78" i="59"/>
  <c r="BZ78" i="59"/>
  <c r="BT78" i="59"/>
  <c r="BO78" i="59"/>
  <c r="BJ78" i="59"/>
  <c r="BD78" i="59"/>
  <c r="AY78" i="59"/>
  <c r="AT78" i="59"/>
  <c r="AN78" i="59"/>
  <c r="AI78" i="59"/>
  <c r="AD78" i="59"/>
  <c r="X78" i="59"/>
  <c r="AB78" i="59"/>
  <c r="AX78" i="59"/>
  <c r="BS78" i="59"/>
  <c r="CN78" i="59"/>
  <c r="CP83" i="59"/>
  <c r="CL83" i="59"/>
  <c r="CH83" i="59"/>
  <c r="CD83" i="59"/>
  <c r="BZ83" i="59"/>
  <c r="BV83" i="59"/>
  <c r="BR83" i="59"/>
  <c r="BN83" i="59"/>
  <c r="BJ83" i="59"/>
  <c r="BF83" i="59"/>
  <c r="BB83" i="59"/>
  <c r="AX83" i="59"/>
  <c r="AT83" i="59"/>
  <c r="AP83" i="59"/>
  <c r="AL83" i="59"/>
  <c r="AH83" i="59"/>
  <c r="AD83" i="59"/>
  <c r="Z83" i="59"/>
  <c r="V83" i="59"/>
  <c r="CN83" i="59"/>
  <c r="CJ83" i="59"/>
  <c r="CF83" i="59"/>
  <c r="CB83" i="59"/>
  <c r="BX83" i="59"/>
  <c r="BT83" i="59"/>
  <c r="BP83" i="59"/>
  <c r="BL83" i="59"/>
  <c r="BH83" i="59"/>
  <c r="BD83" i="59"/>
  <c r="AZ83" i="59"/>
  <c r="AV83" i="59"/>
  <c r="AR83" i="59"/>
  <c r="AN83" i="59"/>
  <c r="AJ83" i="59"/>
  <c r="AF83" i="59"/>
  <c r="AB83" i="59"/>
  <c r="X83" i="59"/>
  <c r="CK83" i="59"/>
  <c r="CC83" i="59"/>
  <c r="BU83" i="59"/>
  <c r="BM83" i="59"/>
  <c r="BE83" i="59"/>
  <c r="AW83" i="59"/>
  <c r="AO83" i="59"/>
  <c r="AG83" i="59"/>
  <c r="Y83" i="59"/>
  <c r="CQ83" i="59"/>
  <c r="CI83" i="59"/>
  <c r="CA83" i="59"/>
  <c r="BS83" i="59"/>
  <c r="BK83" i="59"/>
  <c r="BC83" i="59"/>
  <c r="AU83" i="59"/>
  <c r="AM83" i="59"/>
  <c r="AE83" i="59"/>
  <c r="W83" i="59"/>
  <c r="CO83" i="59"/>
  <c r="CG83" i="59"/>
  <c r="BY83" i="59"/>
  <c r="BQ83" i="59"/>
  <c r="BI83" i="59"/>
  <c r="BA83" i="59"/>
  <c r="AS83" i="59"/>
  <c r="AK83" i="59"/>
  <c r="AC83" i="59"/>
  <c r="U83" i="59"/>
  <c r="AY83" i="59"/>
  <c r="CE83" i="59"/>
  <c r="AI89" i="59"/>
  <c r="X29" i="59"/>
  <c r="AB29" i="59"/>
  <c r="AF29" i="59"/>
  <c r="AJ29" i="59"/>
  <c r="AN29" i="59"/>
  <c r="AR29" i="59"/>
  <c r="AV29" i="59"/>
  <c r="AZ29" i="59"/>
  <c r="BD29" i="59"/>
  <c r="BH29" i="59"/>
  <c r="BL29" i="59"/>
  <c r="BP29" i="59"/>
  <c r="BT29" i="59"/>
  <c r="BX29" i="59"/>
  <c r="CB29" i="59"/>
  <c r="CF29" i="59"/>
  <c r="CN29" i="59"/>
  <c r="X31" i="59"/>
  <c r="AB31" i="59"/>
  <c r="AF31" i="59"/>
  <c r="AJ31" i="59"/>
  <c r="AN31" i="59"/>
  <c r="AR31" i="59"/>
  <c r="AV31" i="59"/>
  <c r="AZ31" i="59"/>
  <c r="BD31" i="59"/>
  <c r="BH31" i="59"/>
  <c r="BL31" i="59"/>
  <c r="BP31" i="59"/>
  <c r="BT31" i="59"/>
  <c r="BX31" i="59"/>
  <c r="CB31" i="59"/>
  <c r="CF31" i="59"/>
  <c r="CJ31" i="59"/>
  <c r="CN31" i="59"/>
  <c r="X40" i="59"/>
  <c r="AM40" i="59"/>
  <c r="AQ40" i="59"/>
  <c r="AU40" i="59"/>
  <c r="AY40" i="59"/>
  <c r="BC40" i="59"/>
  <c r="BG40" i="59"/>
  <c r="BK40" i="59"/>
  <c r="BO40" i="59"/>
  <c r="BS40" i="59"/>
  <c r="BW40" i="59"/>
  <c r="CA40" i="59"/>
  <c r="CE40" i="59"/>
  <c r="CI40" i="59"/>
  <c r="CM40" i="59"/>
  <c r="CQ40" i="59"/>
  <c r="AL41" i="59"/>
  <c r="AP41" i="59"/>
  <c r="AT41" i="59"/>
  <c r="AX41" i="59"/>
  <c r="BB41" i="59"/>
  <c r="BF41" i="59"/>
  <c r="BJ41" i="59"/>
  <c r="BN41" i="59"/>
  <c r="BR41" i="59"/>
  <c r="BV41" i="59"/>
  <c r="BZ41" i="59"/>
  <c r="CD41" i="59"/>
  <c r="CH41" i="59"/>
  <c r="CL41" i="59"/>
  <c r="CP41" i="59"/>
  <c r="X43" i="59"/>
  <c r="AB43" i="59"/>
  <c r="AF43" i="59"/>
  <c r="AJ43" i="59"/>
  <c r="AN43" i="59"/>
  <c r="AR43" i="59"/>
  <c r="AV43" i="59"/>
  <c r="AZ43" i="59"/>
  <c r="BD43" i="59"/>
  <c r="BH43" i="59"/>
  <c r="BL43" i="59"/>
  <c r="BP43" i="59"/>
  <c r="BT43" i="59"/>
  <c r="BX43" i="59"/>
  <c r="CB43" i="59"/>
  <c r="CF43" i="59"/>
  <c r="CJ43" i="59"/>
  <c r="CN43" i="59"/>
  <c r="X46" i="59"/>
  <c r="AB46" i="59"/>
  <c r="AF46" i="59"/>
  <c r="AJ46" i="59"/>
  <c r="AN46" i="59"/>
  <c r="AR46" i="59"/>
  <c r="AV46" i="59"/>
  <c r="AZ46" i="59"/>
  <c r="BD46" i="59"/>
  <c r="BH46" i="59"/>
  <c r="BN46" i="59"/>
  <c r="BR46" i="59"/>
  <c r="BV46" i="59"/>
  <c r="BZ46" i="59"/>
  <c r="CD46" i="59"/>
  <c r="CH46" i="59"/>
  <c r="CL46" i="59"/>
  <c r="CP46" i="59"/>
  <c r="CQ53" i="59"/>
  <c r="CM53" i="59"/>
  <c r="CI53" i="59"/>
  <c r="CE53" i="59"/>
  <c r="CA53" i="59"/>
  <c r="BW53" i="59"/>
  <c r="BS53" i="59"/>
  <c r="BO53" i="59"/>
  <c r="BK53" i="59"/>
  <c r="BG53" i="59"/>
  <c r="BC53" i="59"/>
  <c r="AY53" i="59"/>
  <c r="AU53" i="59"/>
  <c r="AQ53" i="59"/>
  <c r="AM53" i="59"/>
  <c r="AI53" i="59"/>
  <c r="AE53" i="59"/>
  <c r="AA53" i="59"/>
  <c r="W53" i="59"/>
  <c r="CO53" i="59"/>
  <c r="CK53" i="59"/>
  <c r="CG53" i="59"/>
  <c r="CC53" i="59"/>
  <c r="BY53" i="59"/>
  <c r="BU53" i="59"/>
  <c r="BQ53" i="59"/>
  <c r="BM53" i="59"/>
  <c r="BI53" i="59"/>
  <c r="BE53" i="59"/>
  <c r="BA53" i="59"/>
  <c r="AW53" i="59"/>
  <c r="AS53" i="59"/>
  <c r="AO53" i="59"/>
  <c r="AK53" i="59"/>
  <c r="AG53" i="59"/>
  <c r="AC53" i="59"/>
  <c r="Y53" i="59"/>
  <c r="U53" i="59"/>
  <c r="X53" i="59"/>
  <c r="AF53" i="59"/>
  <c r="AN53" i="59"/>
  <c r="AV53" i="59"/>
  <c r="BD53" i="59"/>
  <c r="BL53" i="59"/>
  <c r="BT53" i="59"/>
  <c r="CB53" i="59"/>
  <c r="CJ53" i="59"/>
  <c r="CO55" i="59"/>
  <c r="CK55" i="59"/>
  <c r="CG55" i="59"/>
  <c r="CC55" i="59"/>
  <c r="BY55" i="59"/>
  <c r="BU55" i="59"/>
  <c r="BQ55" i="59"/>
  <c r="BM55" i="59"/>
  <c r="BI55" i="59"/>
  <c r="BE55" i="59"/>
  <c r="BA55" i="59"/>
  <c r="AW55" i="59"/>
  <c r="AS55" i="59"/>
  <c r="AO55" i="59"/>
  <c r="AK55" i="59"/>
  <c r="AG55" i="59"/>
  <c r="AC55" i="59"/>
  <c r="Y55" i="59"/>
  <c r="U55" i="59"/>
  <c r="CQ55" i="59"/>
  <c r="CM55" i="59"/>
  <c r="CI55" i="59"/>
  <c r="CE55" i="59"/>
  <c r="CA55" i="59"/>
  <c r="BW55" i="59"/>
  <c r="BS55" i="59"/>
  <c r="BO55" i="59"/>
  <c r="BK55" i="59"/>
  <c r="BG55" i="59"/>
  <c r="BC55" i="59"/>
  <c r="AY55" i="59"/>
  <c r="AU55" i="59"/>
  <c r="AQ55" i="59"/>
  <c r="AM55" i="59"/>
  <c r="AI55" i="59"/>
  <c r="AE55" i="59"/>
  <c r="AA55" i="59"/>
  <c r="W55" i="59"/>
  <c r="AB55" i="59"/>
  <c r="AJ55" i="59"/>
  <c r="AR55" i="59"/>
  <c r="AZ55" i="59"/>
  <c r="BH55" i="59"/>
  <c r="BP55" i="59"/>
  <c r="BX55" i="59"/>
  <c r="CF55" i="59"/>
  <c r="CN55" i="59"/>
  <c r="CP56" i="59"/>
  <c r="CL56" i="59"/>
  <c r="CH56" i="59"/>
  <c r="CD56" i="59"/>
  <c r="BZ56" i="59"/>
  <c r="BV56" i="59"/>
  <c r="BR56" i="59"/>
  <c r="BN56" i="59"/>
  <c r="BJ56" i="59"/>
  <c r="BF56" i="59"/>
  <c r="BB56" i="59"/>
  <c r="AX56" i="59"/>
  <c r="AT56" i="59"/>
  <c r="AP56" i="59"/>
  <c r="AL56" i="59"/>
  <c r="AH56" i="59"/>
  <c r="AD56" i="59"/>
  <c r="Z56" i="59"/>
  <c r="V56" i="59"/>
  <c r="CN56" i="59"/>
  <c r="CJ56" i="59"/>
  <c r="CF56" i="59"/>
  <c r="CB56" i="59"/>
  <c r="BX56" i="59"/>
  <c r="BT56" i="59"/>
  <c r="BP56" i="59"/>
  <c r="BL56" i="59"/>
  <c r="BH56" i="59"/>
  <c r="BD56" i="59"/>
  <c r="AZ56" i="59"/>
  <c r="AV56" i="59"/>
  <c r="AR56" i="59"/>
  <c r="AN56" i="59"/>
  <c r="AJ56" i="59"/>
  <c r="AF56" i="59"/>
  <c r="AB56" i="59"/>
  <c r="X56" i="59"/>
  <c r="AA56" i="59"/>
  <c r="AI56" i="59"/>
  <c r="AQ56" i="59"/>
  <c r="AY56" i="59"/>
  <c r="BG56" i="59"/>
  <c r="BO56" i="59"/>
  <c r="BW56" i="59"/>
  <c r="CE56" i="59"/>
  <c r="CM56" i="59"/>
  <c r="CQ60" i="59"/>
  <c r="CM60" i="59"/>
  <c r="CI60" i="59"/>
  <c r="CE60" i="59"/>
  <c r="CA60" i="59"/>
  <c r="BW60" i="59"/>
  <c r="BS60" i="59"/>
  <c r="BO60" i="59"/>
  <c r="BK60" i="59"/>
  <c r="BG60" i="59"/>
  <c r="BC60" i="59"/>
  <c r="AY60" i="59"/>
  <c r="AU60" i="59"/>
  <c r="AQ60" i="59"/>
  <c r="AM60" i="59"/>
  <c r="AI60" i="59"/>
  <c r="AE60" i="59"/>
  <c r="AA60" i="59"/>
  <c r="V60" i="59"/>
  <c r="CP60" i="59"/>
  <c r="CL60" i="59"/>
  <c r="CH60" i="59"/>
  <c r="CD60" i="59"/>
  <c r="BZ60" i="59"/>
  <c r="BV60" i="59"/>
  <c r="BR60" i="59"/>
  <c r="BN60" i="59"/>
  <c r="BJ60" i="59"/>
  <c r="BF60" i="59"/>
  <c r="BB60" i="59"/>
  <c r="AX60" i="59"/>
  <c r="AT60" i="59"/>
  <c r="AP60" i="59"/>
  <c r="AL60" i="59"/>
  <c r="AH60" i="59"/>
  <c r="AD60" i="59"/>
  <c r="Z60" i="59"/>
  <c r="U60" i="59"/>
  <c r="CO60" i="59"/>
  <c r="CK60" i="59"/>
  <c r="CG60" i="59"/>
  <c r="CC60" i="59"/>
  <c r="BY60" i="59"/>
  <c r="BU60" i="59"/>
  <c r="BQ60" i="59"/>
  <c r="BM60" i="59"/>
  <c r="BI60" i="59"/>
  <c r="BE60" i="59"/>
  <c r="BA60" i="59"/>
  <c r="AW60" i="59"/>
  <c r="AS60" i="59"/>
  <c r="AO60" i="59"/>
  <c r="AK60" i="59"/>
  <c r="AG60" i="59"/>
  <c r="AC60" i="59"/>
  <c r="X60" i="59"/>
  <c r="AJ60" i="59"/>
  <c r="AZ60" i="59"/>
  <c r="BP60" i="59"/>
  <c r="CF60" i="59"/>
  <c r="CQ64" i="59"/>
  <c r="CM64" i="59"/>
  <c r="CI64" i="59"/>
  <c r="CE64" i="59"/>
  <c r="CA64" i="59"/>
  <c r="BW64" i="59"/>
  <c r="BS64" i="59"/>
  <c r="BO64" i="59"/>
  <c r="BK64" i="59"/>
  <c r="BG64" i="59"/>
  <c r="BC64" i="59"/>
  <c r="AY64" i="59"/>
  <c r="AU64" i="59"/>
  <c r="AP64" i="59"/>
  <c r="AL64" i="59"/>
  <c r="AH64" i="59"/>
  <c r="AD64" i="59"/>
  <c r="Z64" i="59"/>
  <c r="V64" i="59"/>
  <c r="CP64" i="59"/>
  <c r="CL64" i="59"/>
  <c r="CH64" i="59"/>
  <c r="CD64" i="59"/>
  <c r="BZ64" i="59"/>
  <c r="BV64" i="59"/>
  <c r="BR64" i="59"/>
  <c r="BN64" i="59"/>
  <c r="BJ64" i="59"/>
  <c r="BF64" i="59"/>
  <c r="BB64" i="59"/>
  <c r="AX64" i="59"/>
  <c r="AS64" i="59"/>
  <c r="AO64" i="59"/>
  <c r="AK64" i="59"/>
  <c r="AG64" i="59"/>
  <c r="AC64" i="59"/>
  <c r="Y64" i="59"/>
  <c r="U64" i="59"/>
  <c r="CO64" i="59"/>
  <c r="CK64" i="59"/>
  <c r="CG64" i="59"/>
  <c r="CC64" i="59"/>
  <c r="BY64" i="59"/>
  <c r="BU64" i="59"/>
  <c r="BQ64" i="59"/>
  <c r="BM64" i="59"/>
  <c r="BI64" i="59"/>
  <c r="BE64" i="59"/>
  <c r="BA64" i="59"/>
  <c r="AW64" i="59"/>
  <c r="AR64" i="59"/>
  <c r="AN64" i="59"/>
  <c r="AJ64" i="59"/>
  <c r="AF64" i="59"/>
  <c r="AB64" i="59"/>
  <c r="X64" i="59"/>
  <c r="AI64" i="59"/>
  <c r="AZ64" i="59"/>
  <c r="BP64" i="59"/>
  <c r="CF64" i="59"/>
  <c r="CQ67" i="59"/>
  <c r="CM67" i="59"/>
  <c r="CI67" i="59"/>
  <c r="CE67" i="59"/>
  <c r="CA67" i="59"/>
  <c r="BW67" i="59"/>
  <c r="BS67" i="59"/>
  <c r="BO67" i="59"/>
  <c r="BK67" i="59"/>
  <c r="BG67" i="59"/>
  <c r="BC67" i="59"/>
  <c r="AY67" i="59"/>
  <c r="AU67" i="59"/>
  <c r="AQ67" i="59"/>
  <c r="AM67" i="59"/>
  <c r="AI67" i="59"/>
  <c r="AE67" i="59"/>
  <c r="AA67" i="59"/>
  <c r="W67" i="59"/>
  <c r="CP67" i="59"/>
  <c r="CL67" i="59"/>
  <c r="CH67" i="59"/>
  <c r="CD67" i="59"/>
  <c r="BZ67" i="59"/>
  <c r="BV67" i="59"/>
  <c r="BR67" i="59"/>
  <c r="BN67" i="59"/>
  <c r="BJ67" i="59"/>
  <c r="BF67" i="59"/>
  <c r="BB67" i="59"/>
  <c r="AX67" i="59"/>
  <c r="AT67" i="59"/>
  <c r="AP67" i="59"/>
  <c r="AL67" i="59"/>
  <c r="AH67" i="59"/>
  <c r="AD67" i="59"/>
  <c r="Z67" i="59"/>
  <c r="V67" i="59"/>
  <c r="CO67" i="59"/>
  <c r="CK67" i="59"/>
  <c r="CG67" i="59"/>
  <c r="CC67" i="59"/>
  <c r="BY67" i="59"/>
  <c r="BU67" i="59"/>
  <c r="BQ67" i="59"/>
  <c r="BM67" i="59"/>
  <c r="BI67" i="59"/>
  <c r="BE67" i="59"/>
  <c r="BA67" i="59"/>
  <c r="AW67" i="59"/>
  <c r="AS67" i="59"/>
  <c r="AO67" i="59"/>
  <c r="AK67" i="59"/>
  <c r="AG67" i="59"/>
  <c r="AC67" i="59"/>
  <c r="Y67" i="59"/>
  <c r="U67" i="59"/>
  <c r="AJ67" i="59"/>
  <c r="AZ67" i="59"/>
  <c r="BP67" i="59"/>
  <c r="CF67" i="59"/>
  <c r="CQ72" i="59"/>
  <c r="CM72" i="59"/>
  <c r="CI72" i="59"/>
  <c r="CE72" i="59"/>
  <c r="CA72" i="59"/>
  <c r="BW72" i="59"/>
  <c r="BS72" i="59"/>
  <c r="BO72" i="59"/>
  <c r="BK72" i="59"/>
  <c r="BG72" i="59"/>
  <c r="BC72" i="59"/>
  <c r="AY72" i="59"/>
  <c r="AU72" i="59"/>
  <c r="AE72" i="59"/>
  <c r="AA72" i="59"/>
  <c r="W72" i="59"/>
  <c r="CP72" i="59"/>
  <c r="CL72" i="59"/>
  <c r="CH72" i="59"/>
  <c r="CD72" i="59"/>
  <c r="BZ72" i="59"/>
  <c r="BV72" i="59"/>
  <c r="BR72" i="59"/>
  <c r="BN72" i="59"/>
  <c r="BJ72" i="59"/>
  <c r="BF72" i="59"/>
  <c r="BB72" i="59"/>
  <c r="AX72" i="59"/>
  <c r="AT72" i="59"/>
  <c r="AD72" i="59"/>
  <c r="Z72" i="59"/>
  <c r="V72" i="59"/>
  <c r="CO72" i="59"/>
  <c r="CK72" i="59"/>
  <c r="CG72" i="59"/>
  <c r="CC72" i="59"/>
  <c r="BY72" i="59"/>
  <c r="BU72" i="59"/>
  <c r="BQ72" i="59"/>
  <c r="BM72" i="59"/>
  <c r="BI72" i="59"/>
  <c r="BE72" i="59"/>
  <c r="BA72" i="59"/>
  <c r="AW72" i="59"/>
  <c r="AS72" i="59"/>
  <c r="AC72" i="59"/>
  <c r="Y72" i="59"/>
  <c r="U72" i="59"/>
  <c r="AV72" i="59"/>
  <c r="BL72" i="59"/>
  <c r="CB72" i="59"/>
  <c r="CQ76" i="59"/>
  <c r="CM76" i="59"/>
  <c r="CI76" i="59"/>
  <c r="CE76" i="59"/>
  <c r="CA76" i="59"/>
  <c r="BW76" i="59"/>
  <c r="BS76" i="59"/>
  <c r="BO76" i="59"/>
  <c r="CP76" i="59"/>
  <c r="CK76" i="59"/>
  <c r="CF76" i="59"/>
  <c r="BZ76" i="59"/>
  <c r="BU76" i="59"/>
  <c r="BP76" i="59"/>
  <c r="BK76" i="59"/>
  <c r="BG76" i="59"/>
  <c r="BC76" i="59"/>
  <c r="AY76" i="59"/>
  <c r="AU76" i="59"/>
  <c r="AQ76" i="59"/>
  <c r="AM76" i="59"/>
  <c r="AI76" i="59"/>
  <c r="AE76" i="59"/>
  <c r="AA76" i="59"/>
  <c r="W76" i="59"/>
  <c r="CO76" i="59"/>
  <c r="CJ76" i="59"/>
  <c r="CD76" i="59"/>
  <c r="BY76" i="59"/>
  <c r="BT76" i="59"/>
  <c r="BN76" i="59"/>
  <c r="BJ76" i="59"/>
  <c r="BF76" i="59"/>
  <c r="BB76" i="59"/>
  <c r="AX76" i="59"/>
  <c r="AT76" i="59"/>
  <c r="AP76" i="59"/>
  <c r="AL76" i="59"/>
  <c r="AH76" i="59"/>
  <c r="AD76" i="59"/>
  <c r="Z76" i="59"/>
  <c r="V76" i="59"/>
  <c r="CN76" i="59"/>
  <c r="CH76" i="59"/>
  <c r="CC76" i="59"/>
  <c r="BX76" i="59"/>
  <c r="BR76" i="59"/>
  <c r="BM76" i="59"/>
  <c r="BI76" i="59"/>
  <c r="BE76" i="59"/>
  <c r="BA76" i="59"/>
  <c r="AW76" i="59"/>
  <c r="AS76" i="59"/>
  <c r="AO76" i="59"/>
  <c r="AK76" i="59"/>
  <c r="AG76" i="59"/>
  <c r="AC76" i="59"/>
  <c r="Y76" i="59"/>
  <c r="U76" i="59"/>
  <c r="AF76" i="59"/>
  <c r="AV76" i="59"/>
  <c r="BL76" i="59"/>
  <c r="CG76" i="59"/>
  <c r="AH78" i="59"/>
  <c r="BC78" i="59"/>
  <c r="BX78" i="59"/>
  <c r="CO80" i="59"/>
  <c r="CK80" i="59"/>
  <c r="CG80" i="59"/>
  <c r="CC80" i="59"/>
  <c r="BY80" i="59"/>
  <c r="BU80" i="59"/>
  <c r="BQ80" i="59"/>
  <c r="BM80" i="59"/>
  <c r="BI80" i="59"/>
  <c r="BE80" i="59"/>
  <c r="BA80" i="59"/>
  <c r="AW80" i="59"/>
  <c r="AS80" i="59"/>
  <c r="AO80" i="59"/>
  <c r="AK80" i="59"/>
  <c r="AG80" i="59"/>
  <c r="AC80" i="59"/>
  <c r="Y80" i="59"/>
  <c r="U80" i="59"/>
  <c r="CP80" i="59"/>
  <c r="CJ80" i="59"/>
  <c r="CE80" i="59"/>
  <c r="BZ80" i="59"/>
  <c r="BT80" i="59"/>
  <c r="BO80" i="59"/>
  <c r="BJ80" i="59"/>
  <c r="BD80" i="59"/>
  <c r="AY80" i="59"/>
  <c r="AT80" i="59"/>
  <c r="AN80" i="59"/>
  <c r="AI80" i="59"/>
  <c r="AD80" i="59"/>
  <c r="X80" i="59"/>
  <c r="CN80" i="59"/>
  <c r="CI80" i="59"/>
  <c r="CD80" i="59"/>
  <c r="BX80" i="59"/>
  <c r="BS80" i="59"/>
  <c r="BN80" i="59"/>
  <c r="BH80" i="59"/>
  <c r="BC80" i="59"/>
  <c r="AX80" i="59"/>
  <c r="AR80" i="59"/>
  <c r="AM80" i="59"/>
  <c r="AH80" i="59"/>
  <c r="AB80" i="59"/>
  <c r="W80" i="59"/>
  <c r="CM80" i="59"/>
  <c r="CH80" i="59"/>
  <c r="CB80" i="59"/>
  <c r="BW80" i="59"/>
  <c r="BR80" i="59"/>
  <c r="BL80" i="59"/>
  <c r="BG80" i="59"/>
  <c r="BB80" i="59"/>
  <c r="AV80" i="59"/>
  <c r="AQ80" i="59"/>
  <c r="AL80" i="59"/>
  <c r="AF80" i="59"/>
  <c r="AA80" i="59"/>
  <c r="V80" i="59"/>
  <c r="AJ80" i="59"/>
  <c r="BF80" i="59"/>
  <c r="CA80" i="59"/>
  <c r="CO82" i="59"/>
  <c r="CK82" i="59"/>
  <c r="CG82" i="59"/>
  <c r="CC82" i="59"/>
  <c r="BY82" i="59"/>
  <c r="BU82" i="59"/>
  <c r="BQ82" i="59"/>
  <c r="BM82" i="59"/>
  <c r="BI82" i="59"/>
  <c r="BE82" i="59"/>
  <c r="BA82" i="59"/>
  <c r="AW82" i="59"/>
  <c r="AS82" i="59"/>
  <c r="AO82" i="59"/>
  <c r="AK82" i="59"/>
  <c r="AG82" i="59"/>
  <c r="AC82" i="59"/>
  <c r="Y82" i="59"/>
  <c r="U82" i="59"/>
  <c r="CQ82" i="59"/>
  <c r="CM82" i="59"/>
  <c r="CI82" i="59"/>
  <c r="CE82" i="59"/>
  <c r="CA82" i="59"/>
  <c r="BW82" i="59"/>
  <c r="BS82" i="59"/>
  <c r="BO82" i="59"/>
  <c r="BK82" i="59"/>
  <c r="BG82" i="59"/>
  <c r="BC82" i="59"/>
  <c r="AY82" i="59"/>
  <c r="AU82" i="59"/>
  <c r="AQ82" i="59"/>
  <c r="AM82" i="59"/>
  <c r="AI82" i="59"/>
  <c r="AE82" i="59"/>
  <c r="AA82" i="59"/>
  <c r="W82" i="59"/>
  <c r="CL82" i="59"/>
  <c r="CD82" i="59"/>
  <c r="BV82" i="59"/>
  <c r="BN82" i="59"/>
  <c r="BF82" i="59"/>
  <c r="AX82" i="59"/>
  <c r="AP82" i="59"/>
  <c r="AH82" i="59"/>
  <c r="Z82" i="59"/>
  <c r="CJ82" i="59"/>
  <c r="CB82" i="59"/>
  <c r="BT82" i="59"/>
  <c r="BL82" i="59"/>
  <c r="BD82" i="59"/>
  <c r="AV82" i="59"/>
  <c r="AN82" i="59"/>
  <c r="AF82" i="59"/>
  <c r="X82" i="59"/>
  <c r="CP82" i="59"/>
  <c r="CH82" i="59"/>
  <c r="BZ82" i="59"/>
  <c r="BR82" i="59"/>
  <c r="BJ82" i="59"/>
  <c r="BB82" i="59"/>
  <c r="AT82" i="59"/>
  <c r="AL82" i="59"/>
  <c r="AD82" i="59"/>
  <c r="V82" i="59"/>
  <c r="AZ82" i="59"/>
  <c r="CF82" i="59"/>
  <c r="AA83" i="59"/>
  <c r="BG83" i="59"/>
  <c r="CM83" i="59"/>
  <c r="AQ89" i="59"/>
  <c r="CO90" i="59"/>
  <c r="CK90" i="59"/>
  <c r="CG90" i="59"/>
  <c r="CC90" i="59"/>
  <c r="BY90" i="59"/>
  <c r="BU90" i="59"/>
  <c r="BQ90" i="59"/>
  <c r="BM90" i="59"/>
  <c r="BI90" i="59"/>
  <c r="BE90" i="59"/>
  <c r="BA90" i="59"/>
  <c r="AW90" i="59"/>
  <c r="AS90" i="59"/>
  <c r="AO90" i="59"/>
  <c r="AK90" i="59"/>
  <c r="AG90" i="59"/>
  <c r="AC90" i="59"/>
  <c r="Y90" i="59"/>
  <c r="CQ90" i="59"/>
  <c r="CM90" i="59"/>
  <c r="CI90" i="59"/>
  <c r="CE90" i="59"/>
  <c r="CA90" i="59"/>
  <c r="BW90" i="59"/>
  <c r="BS90" i="59"/>
  <c r="BO90" i="59"/>
  <c r="BK90" i="59"/>
  <c r="BG90" i="59"/>
  <c r="BC90" i="59"/>
  <c r="AY90" i="59"/>
  <c r="AU90" i="59"/>
  <c r="AQ90" i="59"/>
  <c r="AM90" i="59"/>
  <c r="AI90" i="59"/>
  <c r="AE90" i="59"/>
  <c r="AA90" i="59"/>
  <c r="CN90" i="59"/>
  <c r="CF90" i="59"/>
  <c r="BX90" i="59"/>
  <c r="BP90" i="59"/>
  <c r="BH90" i="59"/>
  <c r="AZ90" i="59"/>
  <c r="AR90" i="59"/>
  <c r="AJ90" i="59"/>
  <c r="AB90" i="59"/>
  <c r="CL90" i="59"/>
  <c r="CD90" i="59"/>
  <c r="BV90" i="59"/>
  <c r="BN90" i="59"/>
  <c r="BF90" i="59"/>
  <c r="AX90" i="59"/>
  <c r="AP90" i="59"/>
  <c r="AH90" i="59"/>
  <c r="Z90" i="59"/>
  <c r="CJ90" i="59"/>
  <c r="CB90" i="59"/>
  <c r="BT90" i="59"/>
  <c r="BL90" i="59"/>
  <c r="BD90" i="59"/>
  <c r="AV90" i="59"/>
  <c r="AN90" i="59"/>
  <c r="AF90" i="59"/>
  <c r="X90" i="59"/>
  <c r="BB90" i="59"/>
  <c r="CH90" i="59"/>
  <c r="U29" i="59"/>
  <c r="Y29" i="59"/>
  <c r="AC29" i="59"/>
  <c r="AG29" i="59"/>
  <c r="AK29" i="59"/>
  <c r="AO29" i="59"/>
  <c r="AS29" i="59"/>
  <c r="AW29" i="59"/>
  <c r="BA29" i="59"/>
  <c r="BE29" i="59"/>
  <c r="BI29" i="59"/>
  <c r="BM29" i="59"/>
  <c r="BQ29" i="59"/>
  <c r="BU29" i="59"/>
  <c r="BY29" i="59"/>
  <c r="CC29" i="59"/>
  <c r="CK29" i="59"/>
  <c r="U31" i="59"/>
  <c r="Y31" i="59"/>
  <c r="AC31" i="59"/>
  <c r="AG31" i="59"/>
  <c r="AK31" i="59"/>
  <c r="AO31" i="59"/>
  <c r="AS31" i="59"/>
  <c r="AW31" i="59"/>
  <c r="BA31" i="59"/>
  <c r="BE31" i="59"/>
  <c r="BI31" i="59"/>
  <c r="BM31" i="59"/>
  <c r="BQ31" i="59"/>
  <c r="BU31" i="59"/>
  <c r="BY31" i="59"/>
  <c r="CC31" i="59"/>
  <c r="CG31" i="59"/>
  <c r="CK31" i="59"/>
  <c r="U40" i="59"/>
  <c r="AJ40" i="59"/>
  <c r="AN40" i="59"/>
  <c r="AR40" i="59"/>
  <c r="AV40" i="59"/>
  <c r="AZ40" i="59"/>
  <c r="BD40" i="59"/>
  <c r="BH40" i="59"/>
  <c r="BL40" i="59"/>
  <c r="BP40" i="59"/>
  <c r="BT40" i="59"/>
  <c r="BX40" i="59"/>
  <c r="CB40" i="59"/>
  <c r="CF40" i="59"/>
  <c r="CJ40" i="59"/>
  <c r="U41" i="59"/>
  <c r="AM41" i="59"/>
  <c r="AQ41" i="59"/>
  <c r="AU41" i="59"/>
  <c r="AY41" i="59"/>
  <c r="BC41" i="59"/>
  <c r="BG41" i="59"/>
  <c r="BK41" i="59"/>
  <c r="BO41" i="59"/>
  <c r="BS41" i="59"/>
  <c r="BW41" i="59"/>
  <c r="CA41" i="59"/>
  <c r="CE41" i="59"/>
  <c r="CI41" i="59"/>
  <c r="CM41" i="59"/>
  <c r="U43" i="59"/>
  <c r="Y43" i="59"/>
  <c r="AC43" i="59"/>
  <c r="AG43" i="59"/>
  <c r="AK43" i="59"/>
  <c r="AO43" i="59"/>
  <c r="AS43" i="59"/>
  <c r="AW43" i="59"/>
  <c r="BA43" i="59"/>
  <c r="BE43" i="59"/>
  <c r="BI43" i="59"/>
  <c r="BM43" i="59"/>
  <c r="BQ43" i="59"/>
  <c r="BU43" i="59"/>
  <c r="BY43" i="59"/>
  <c r="CC43" i="59"/>
  <c r="CG43" i="59"/>
  <c r="CK43" i="59"/>
  <c r="U46" i="59"/>
  <c r="Y46" i="59"/>
  <c r="AC46" i="59"/>
  <c r="AG46" i="59"/>
  <c r="AK46" i="59"/>
  <c r="AO46" i="59"/>
  <c r="AS46" i="59"/>
  <c r="AW46" i="59"/>
  <c r="BA46" i="59"/>
  <c r="BE46" i="59"/>
  <c r="BK46" i="59"/>
  <c r="BO46" i="59"/>
  <c r="BS46" i="59"/>
  <c r="BW46" i="59"/>
  <c r="CA46" i="59"/>
  <c r="CE46" i="59"/>
  <c r="CI46" i="59"/>
  <c r="CM46" i="59"/>
  <c r="X50" i="59"/>
  <c r="AF50" i="59"/>
  <c r="AN50" i="59"/>
  <c r="AV50" i="59"/>
  <c r="BD50" i="59"/>
  <c r="BL50" i="59"/>
  <c r="BX50" i="59"/>
  <c r="CF50" i="59"/>
  <c r="CN50" i="59"/>
  <c r="CO51" i="59"/>
  <c r="CK51" i="59"/>
  <c r="CG51" i="59"/>
  <c r="CC51" i="59"/>
  <c r="BY51" i="59"/>
  <c r="BU51" i="59"/>
  <c r="BP51" i="59"/>
  <c r="BL51" i="59"/>
  <c r="BH51" i="59"/>
  <c r="BD51" i="59"/>
  <c r="AZ51" i="59"/>
  <c r="AV51" i="59"/>
  <c r="AR51" i="59"/>
  <c r="AN51" i="59"/>
  <c r="AJ51" i="59"/>
  <c r="AF51" i="59"/>
  <c r="AB51" i="59"/>
  <c r="X51" i="59"/>
  <c r="CQ51" i="59"/>
  <c r="CM51" i="59"/>
  <c r="CI51" i="59"/>
  <c r="CE51" i="59"/>
  <c r="CA51" i="59"/>
  <c r="BW51" i="59"/>
  <c r="BR51" i="59"/>
  <c r="BN51" i="59"/>
  <c r="BJ51" i="59"/>
  <c r="BF51" i="59"/>
  <c r="BB51" i="59"/>
  <c r="AX51" i="59"/>
  <c r="AT51" i="59"/>
  <c r="AP51" i="59"/>
  <c r="AL51" i="59"/>
  <c r="AH51" i="59"/>
  <c r="AD51" i="59"/>
  <c r="Z51" i="59"/>
  <c r="V51" i="59"/>
  <c r="AA51" i="59"/>
  <c r="AI51" i="59"/>
  <c r="AQ51" i="59"/>
  <c r="AY51" i="59"/>
  <c r="BG51" i="59"/>
  <c r="BO51" i="59"/>
  <c r="BX51" i="59"/>
  <c r="CF51" i="59"/>
  <c r="CN51" i="59"/>
  <c r="CN52" i="59"/>
  <c r="CJ52" i="59"/>
  <c r="CF52" i="59"/>
  <c r="CB52" i="59"/>
  <c r="BX52" i="59"/>
  <c r="BT52" i="59"/>
  <c r="BP52" i="59"/>
  <c r="BL52" i="59"/>
  <c r="BH52" i="59"/>
  <c r="BD52" i="59"/>
  <c r="AZ52" i="59"/>
  <c r="AV52" i="59"/>
  <c r="AR52" i="59"/>
  <c r="AN52" i="59"/>
  <c r="AJ52" i="59"/>
  <c r="AF52" i="59"/>
  <c r="AB52" i="59"/>
  <c r="X52" i="59"/>
  <c r="CP52" i="59"/>
  <c r="CL52" i="59"/>
  <c r="CH52" i="59"/>
  <c r="CD52" i="59"/>
  <c r="BZ52" i="59"/>
  <c r="BV52" i="59"/>
  <c r="BR52" i="59"/>
  <c r="BN52" i="59"/>
  <c r="BJ52" i="59"/>
  <c r="BF52" i="59"/>
  <c r="BB52" i="59"/>
  <c r="AX52" i="59"/>
  <c r="AT52" i="59"/>
  <c r="AP52" i="59"/>
  <c r="AL52" i="59"/>
  <c r="AH52" i="59"/>
  <c r="AD52" i="59"/>
  <c r="Z52" i="59"/>
  <c r="V52" i="59"/>
  <c r="W52" i="59"/>
  <c r="AE52" i="59"/>
  <c r="AM52" i="59"/>
  <c r="AU52" i="59"/>
  <c r="BC52" i="59"/>
  <c r="BK52" i="59"/>
  <c r="BS52" i="59"/>
  <c r="CA52" i="59"/>
  <c r="CI52" i="59"/>
  <c r="CQ52" i="59"/>
  <c r="Z53" i="59"/>
  <c r="AH53" i="59"/>
  <c r="AP53" i="59"/>
  <c r="AX53" i="59"/>
  <c r="BF53" i="59"/>
  <c r="BN53" i="59"/>
  <c r="BV53" i="59"/>
  <c r="CD53" i="59"/>
  <c r="CL53" i="59"/>
  <c r="V55" i="59"/>
  <c r="AD55" i="59"/>
  <c r="AL55" i="59"/>
  <c r="AT55" i="59"/>
  <c r="BB55" i="59"/>
  <c r="BJ55" i="59"/>
  <c r="BR55" i="59"/>
  <c r="BZ55" i="59"/>
  <c r="CH55" i="59"/>
  <c r="CP55" i="59"/>
  <c r="U56" i="59"/>
  <c r="AC56" i="59"/>
  <c r="AK56" i="59"/>
  <c r="AS56" i="59"/>
  <c r="BA56" i="59"/>
  <c r="BI56" i="59"/>
  <c r="BQ56" i="59"/>
  <c r="BY56" i="59"/>
  <c r="CG56" i="59"/>
  <c r="CO56" i="59"/>
  <c r="CQ57" i="59"/>
  <c r="CM57" i="59"/>
  <c r="CI57" i="59"/>
  <c r="CE57" i="59"/>
  <c r="CA57" i="59"/>
  <c r="BW57" i="59"/>
  <c r="BS57" i="59"/>
  <c r="BO57" i="59"/>
  <c r="BK57" i="59"/>
  <c r="BG57" i="59"/>
  <c r="BC57" i="59"/>
  <c r="AY57" i="59"/>
  <c r="AU57" i="59"/>
  <c r="AQ57" i="59"/>
  <c r="AM57" i="59"/>
  <c r="AI57" i="59"/>
  <c r="AE57" i="59"/>
  <c r="AA57" i="59"/>
  <c r="W57" i="59"/>
  <c r="CP57" i="59"/>
  <c r="CL57" i="59"/>
  <c r="CH57" i="59"/>
  <c r="CD57" i="59"/>
  <c r="BZ57" i="59"/>
  <c r="BV57" i="59"/>
  <c r="BR57" i="59"/>
  <c r="BN57" i="59"/>
  <c r="CO57" i="59"/>
  <c r="CK57" i="59"/>
  <c r="CG57" i="59"/>
  <c r="CC57" i="59"/>
  <c r="BY57" i="59"/>
  <c r="BU57" i="59"/>
  <c r="BQ57" i="59"/>
  <c r="BM57" i="59"/>
  <c r="BI57" i="59"/>
  <c r="BE57" i="59"/>
  <c r="BA57" i="59"/>
  <c r="AW57" i="59"/>
  <c r="AS57" i="59"/>
  <c r="AO57" i="59"/>
  <c r="AK57" i="59"/>
  <c r="AG57" i="59"/>
  <c r="AC57" i="59"/>
  <c r="Y57" i="59"/>
  <c r="U57" i="59"/>
  <c r="AB57" i="59"/>
  <c r="AJ57" i="59"/>
  <c r="AR57" i="59"/>
  <c r="AZ57" i="59"/>
  <c r="BH57" i="59"/>
  <c r="BT57" i="59"/>
  <c r="CJ57" i="59"/>
  <c r="CN58" i="59"/>
  <c r="CJ58" i="59"/>
  <c r="CF58" i="59"/>
  <c r="CB58" i="59"/>
  <c r="BX58" i="59"/>
  <c r="BT58" i="59"/>
  <c r="BP58" i="59"/>
  <c r="BL58" i="59"/>
  <c r="BH58" i="59"/>
  <c r="BD58" i="59"/>
  <c r="AZ58" i="59"/>
  <c r="AV58" i="59"/>
  <c r="AR58" i="59"/>
  <c r="AN58" i="59"/>
  <c r="AJ58" i="59"/>
  <c r="AF58" i="59"/>
  <c r="AB58" i="59"/>
  <c r="X58" i="59"/>
  <c r="CQ58" i="59"/>
  <c r="CM58" i="59"/>
  <c r="CI58" i="59"/>
  <c r="CE58" i="59"/>
  <c r="CA58" i="59"/>
  <c r="BW58" i="59"/>
  <c r="BS58" i="59"/>
  <c r="BO58" i="59"/>
  <c r="BK58" i="59"/>
  <c r="BG58" i="59"/>
  <c r="BC58" i="59"/>
  <c r="AY58" i="59"/>
  <c r="AU58" i="59"/>
  <c r="AQ58" i="59"/>
  <c r="AM58" i="59"/>
  <c r="AI58" i="59"/>
  <c r="AE58" i="59"/>
  <c r="AA58" i="59"/>
  <c r="W58" i="59"/>
  <c r="CP58" i="59"/>
  <c r="CL58" i="59"/>
  <c r="CH58" i="59"/>
  <c r="CD58" i="59"/>
  <c r="BZ58" i="59"/>
  <c r="BV58" i="59"/>
  <c r="BR58" i="59"/>
  <c r="BN58" i="59"/>
  <c r="BJ58" i="59"/>
  <c r="BF58" i="59"/>
  <c r="BB58" i="59"/>
  <c r="AX58" i="59"/>
  <c r="AT58" i="59"/>
  <c r="AP58" i="59"/>
  <c r="AL58" i="59"/>
  <c r="AH58" i="59"/>
  <c r="AD58" i="59"/>
  <c r="Z58" i="59"/>
  <c r="V58" i="59"/>
  <c r="AG58" i="59"/>
  <c r="AW58" i="59"/>
  <c r="BM58" i="59"/>
  <c r="CC58" i="59"/>
  <c r="W60" i="59"/>
  <c r="AN60" i="59"/>
  <c r="BD60" i="59"/>
  <c r="BT60" i="59"/>
  <c r="CJ60" i="59"/>
  <c r="CO61" i="59"/>
  <c r="CK61" i="59"/>
  <c r="CG61" i="59"/>
  <c r="CC61" i="59"/>
  <c r="BY61" i="59"/>
  <c r="BU61" i="59"/>
  <c r="BQ61" i="59"/>
  <c r="BM61" i="59"/>
  <c r="BI61" i="59"/>
  <c r="BE61" i="59"/>
  <c r="BA61" i="59"/>
  <c r="AW61" i="59"/>
  <c r="AS61" i="59"/>
  <c r="AO61" i="59"/>
  <c r="AK61" i="59"/>
  <c r="AG61" i="59"/>
  <c r="AC61" i="59"/>
  <c r="X61" i="59"/>
  <c r="CN61" i="59"/>
  <c r="CJ61" i="59"/>
  <c r="CF61" i="59"/>
  <c r="CB61" i="59"/>
  <c r="BX61" i="59"/>
  <c r="BT61" i="59"/>
  <c r="BP61" i="59"/>
  <c r="BL61" i="59"/>
  <c r="BH61" i="59"/>
  <c r="BD61" i="59"/>
  <c r="AZ61" i="59"/>
  <c r="AV61" i="59"/>
  <c r="AR61" i="59"/>
  <c r="AN61" i="59"/>
  <c r="AJ61" i="59"/>
  <c r="AF61" i="59"/>
  <c r="AB61" i="59"/>
  <c r="W61" i="59"/>
  <c r="CQ61" i="59"/>
  <c r="CM61" i="59"/>
  <c r="CI61" i="59"/>
  <c r="CE61" i="59"/>
  <c r="CA61" i="59"/>
  <c r="BW61" i="59"/>
  <c r="BS61" i="59"/>
  <c r="BO61" i="59"/>
  <c r="BK61" i="59"/>
  <c r="BG61" i="59"/>
  <c r="BC61" i="59"/>
  <c r="AY61" i="59"/>
  <c r="AU61" i="59"/>
  <c r="AQ61" i="59"/>
  <c r="AM61" i="59"/>
  <c r="AI61" i="59"/>
  <c r="AE61" i="59"/>
  <c r="AA61" i="59"/>
  <c r="V61" i="59"/>
  <c r="AH61" i="59"/>
  <c r="AX61" i="59"/>
  <c r="BN61" i="59"/>
  <c r="CD61" i="59"/>
  <c r="Y63" i="59"/>
  <c r="AO63" i="59"/>
  <c r="BF63" i="59"/>
  <c r="BV63" i="59"/>
  <c r="CL63" i="59"/>
  <c r="W64" i="59"/>
  <c r="AM64" i="59"/>
  <c r="BD64" i="59"/>
  <c r="BT64" i="59"/>
  <c r="CJ64" i="59"/>
  <c r="CO65" i="59"/>
  <c r="CK65" i="59"/>
  <c r="CG65" i="59"/>
  <c r="CC65" i="59"/>
  <c r="BY65" i="59"/>
  <c r="BU65" i="59"/>
  <c r="BQ65" i="59"/>
  <c r="BM65" i="59"/>
  <c r="BI65" i="59"/>
  <c r="BE65" i="59"/>
  <c r="BA65" i="59"/>
  <c r="AW65" i="59"/>
  <c r="AS65" i="59"/>
  <c r="AO65" i="59"/>
  <c r="AK65" i="59"/>
  <c r="AF65" i="59"/>
  <c r="AB65" i="59"/>
  <c r="X65" i="59"/>
  <c r="CN65" i="59"/>
  <c r="CJ65" i="59"/>
  <c r="CF65" i="59"/>
  <c r="CB65" i="59"/>
  <c r="BX65" i="59"/>
  <c r="BT65" i="59"/>
  <c r="BP65" i="59"/>
  <c r="BL65" i="59"/>
  <c r="BH65" i="59"/>
  <c r="BD65" i="59"/>
  <c r="AZ65" i="59"/>
  <c r="AV65" i="59"/>
  <c r="AR65" i="59"/>
  <c r="AN65" i="59"/>
  <c r="AI65" i="59"/>
  <c r="AE65" i="59"/>
  <c r="AA65" i="59"/>
  <c r="W65" i="59"/>
  <c r="CQ65" i="59"/>
  <c r="CM65" i="59"/>
  <c r="CI65" i="59"/>
  <c r="CE65" i="59"/>
  <c r="CA65" i="59"/>
  <c r="BW65" i="59"/>
  <c r="BS65" i="59"/>
  <c r="BO65" i="59"/>
  <c r="BK65" i="59"/>
  <c r="BG65" i="59"/>
  <c r="BC65" i="59"/>
  <c r="AY65" i="59"/>
  <c r="AU65" i="59"/>
  <c r="AQ65" i="59"/>
  <c r="AM65" i="59"/>
  <c r="AH65" i="59"/>
  <c r="AD65" i="59"/>
  <c r="Z65" i="59"/>
  <c r="V65" i="59"/>
  <c r="AG65" i="59"/>
  <c r="AX65" i="59"/>
  <c r="BN65" i="59"/>
  <c r="CD65" i="59"/>
  <c r="X67" i="59"/>
  <c r="AN67" i="59"/>
  <c r="BD67" i="59"/>
  <c r="BT67" i="59"/>
  <c r="CJ67" i="59"/>
  <c r="CO68" i="59"/>
  <c r="CK68" i="59"/>
  <c r="CG68" i="59"/>
  <c r="CC68" i="59"/>
  <c r="BY68" i="59"/>
  <c r="BU68" i="59"/>
  <c r="BQ68" i="59"/>
  <c r="BM68" i="59"/>
  <c r="BI68" i="59"/>
  <c r="BE68" i="59"/>
  <c r="BA68" i="59"/>
  <c r="AW68" i="59"/>
  <c r="AS68" i="59"/>
  <c r="AO68" i="59"/>
  <c r="AK68" i="59"/>
  <c r="AB68" i="59"/>
  <c r="X68" i="59"/>
  <c r="CN68" i="59"/>
  <c r="CJ68" i="59"/>
  <c r="CF68" i="59"/>
  <c r="CB68" i="59"/>
  <c r="BX68" i="59"/>
  <c r="BT68" i="59"/>
  <c r="BP68" i="59"/>
  <c r="BL68" i="59"/>
  <c r="BH68" i="59"/>
  <c r="BD68" i="59"/>
  <c r="AZ68" i="59"/>
  <c r="AV68" i="59"/>
  <c r="AR68" i="59"/>
  <c r="AN68" i="59"/>
  <c r="AJ68" i="59"/>
  <c r="AA68" i="59"/>
  <c r="W68" i="59"/>
  <c r="CQ68" i="59"/>
  <c r="CM68" i="59"/>
  <c r="CI68" i="59"/>
  <c r="CE68" i="59"/>
  <c r="CA68" i="59"/>
  <c r="BW68" i="59"/>
  <c r="BS68" i="59"/>
  <c r="BO68" i="59"/>
  <c r="BK68" i="59"/>
  <c r="BG68" i="59"/>
  <c r="BC68" i="59"/>
  <c r="AY68" i="59"/>
  <c r="AU68" i="59"/>
  <c r="AQ68" i="59"/>
  <c r="AM68" i="59"/>
  <c r="AI68" i="59"/>
  <c r="Z68" i="59"/>
  <c r="V68" i="59"/>
  <c r="AL68" i="59"/>
  <c r="BB68" i="59"/>
  <c r="BR68" i="59"/>
  <c r="CH68" i="59"/>
  <c r="CN69" i="59"/>
  <c r="CJ69" i="59"/>
  <c r="CF69" i="59"/>
  <c r="CB69" i="59"/>
  <c r="BX69" i="59"/>
  <c r="BT69" i="59"/>
  <c r="BP69" i="59"/>
  <c r="BL69" i="59"/>
  <c r="BH69" i="59"/>
  <c r="BD69" i="59"/>
  <c r="AZ69" i="59"/>
  <c r="AV69" i="59"/>
  <c r="AR69" i="59"/>
  <c r="AD69" i="59"/>
  <c r="Z69" i="59"/>
  <c r="V69" i="59"/>
  <c r="CQ69" i="59"/>
  <c r="CM69" i="59"/>
  <c r="CI69" i="59"/>
  <c r="CE69" i="59"/>
  <c r="CA69" i="59"/>
  <c r="BW69" i="59"/>
  <c r="BS69" i="59"/>
  <c r="BO69" i="59"/>
  <c r="BK69" i="59"/>
  <c r="BG69" i="59"/>
  <c r="BC69" i="59"/>
  <c r="AY69" i="59"/>
  <c r="AU69" i="59"/>
  <c r="AQ69" i="59"/>
  <c r="AC69" i="59"/>
  <c r="Y69" i="59"/>
  <c r="U69" i="59"/>
  <c r="CP69" i="59"/>
  <c r="CL69" i="59"/>
  <c r="CH69" i="59"/>
  <c r="CD69" i="59"/>
  <c r="BZ69" i="59"/>
  <c r="BV69" i="59"/>
  <c r="BR69" i="59"/>
  <c r="BN69" i="59"/>
  <c r="BJ69" i="59"/>
  <c r="BF69" i="59"/>
  <c r="BB69" i="59"/>
  <c r="AX69" i="59"/>
  <c r="AT69" i="59"/>
  <c r="AF69" i="59"/>
  <c r="AB69" i="59"/>
  <c r="X69" i="59"/>
  <c r="AS69" i="59"/>
  <c r="BI69" i="59"/>
  <c r="BY69" i="59"/>
  <c r="CO69" i="59"/>
  <c r="CP71" i="59"/>
  <c r="CL71" i="59"/>
  <c r="CH71" i="59"/>
  <c r="CD71" i="59"/>
  <c r="BZ71" i="59"/>
  <c r="BV71" i="59"/>
  <c r="BR71" i="59"/>
  <c r="BN71" i="59"/>
  <c r="BJ71" i="59"/>
  <c r="BF71" i="59"/>
  <c r="BB71" i="59"/>
  <c r="AX71" i="59"/>
  <c r="AT71" i="59"/>
  <c r="AD71" i="59"/>
  <c r="Z71" i="59"/>
  <c r="V71" i="59"/>
  <c r="CO71" i="59"/>
  <c r="CK71" i="59"/>
  <c r="CG71" i="59"/>
  <c r="CC71" i="59"/>
  <c r="BY71" i="59"/>
  <c r="BU71" i="59"/>
  <c r="BQ71" i="59"/>
  <c r="BM71" i="59"/>
  <c r="BI71" i="59"/>
  <c r="BE71" i="59"/>
  <c r="BA71" i="59"/>
  <c r="AW71" i="59"/>
  <c r="AG71" i="59"/>
  <c r="AC71" i="59"/>
  <c r="Y71" i="59"/>
  <c r="U71" i="59"/>
  <c r="CN71" i="59"/>
  <c r="CJ71" i="59"/>
  <c r="CF71" i="59"/>
  <c r="CB71" i="59"/>
  <c r="BX71" i="59"/>
  <c r="BT71" i="59"/>
  <c r="BP71" i="59"/>
  <c r="BL71" i="59"/>
  <c r="BH71" i="59"/>
  <c r="BD71" i="59"/>
  <c r="AZ71" i="59"/>
  <c r="AV71" i="59"/>
  <c r="AF71" i="59"/>
  <c r="AB71" i="59"/>
  <c r="X71" i="59"/>
  <c r="AU71" i="59"/>
  <c r="BK71" i="59"/>
  <c r="CA71" i="59"/>
  <c r="CQ71" i="59"/>
  <c r="X72" i="59"/>
  <c r="AZ72" i="59"/>
  <c r="BP72" i="59"/>
  <c r="CF72" i="59"/>
  <c r="AA74" i="59"/>
  <c r="AX74" i="59"/>
  <c r="BN74" i="59"/>
  <c r="CD74" i="59"/>
  <c r="AJ76" i="59"/>
  <c r="AZ76" i="59"/>
  <c r="BQ76" i="59"/>
  <c r="CL76" i="59"/>
  <c r="AM78" i="59"/>
  <c r="BH78" i="59"/>
  <c r="CD78" i="59"/>
  <c r="AP80" i="59"/>
  <c r="BK80" i="59"/>
  <c r="CF80" i="59"/>
  <c r="AB82" i="59"/>
  <c r="BH82" i="59"/>
  <c r="CN82" i="59"/>
  <c r="AI83" i="59"/>
  <c r="BO83" i="59"/>
  <c r="AD90" i="59"/>
  <c r="BJ90" i="59"/>
  <c r="CP90" i="59"/>
  <c r="CN93" i="59"/>
  <c r="CQ93" i="59"/>
  <c r="CM93" i="59"/>
  <c r="CI93" i="59"/>
  <c r="CE93" i="59"/>
  <c r="CA93" i="59"/>
  <c r="BW93" i="59"/>
  <c r="BS93" i="59"/>
  <c r="BO93" i="59"/>
  <c r="BK93" i="59"/>
  <c r="BG93" i="59"/>
  <c r="BC93" i="59"/>
  <c r="CK93" i="59"/>
  <c r="CF93" i="59"/>
  <c r="BZ93" i="59"/>
  <c r="BU93" i="59"/>
  <c r="BP93" i="59"/>
  <c r="BJ93" i="59"/>
  <c r="BE93" i="59"/>
  <c r="AZ93" i="59"/>
  <c r="AV93" i="59"/>
  <c r="AR93" i="59"/>
  <c r="AN93" i="59"/>
  <c r="AJ93" i="59"/>
  <c r="AF93" i="59"/>
  <c r="AB93" i="59"/>
  <c r="X93" i="59"/>
  <c r="CO93" i="59"/>
  <c r="CH93" i="59"/>
  <c r="CC93" i="59"/>
  <c r="BX93" i="59"/>
  <c r="BR93" i="59"/>
  <c r="BM93" i="59"/>
  <c r="BH93" i="59"/>
  <c r="BB93" i="59"/>
  <c r="AX93" i="59"/>
  <c r="AT93" i="59"/>
  <c r="AP93" i="59"/>
  <c r="AL93" i="59"/>
  <c r="AH93" i="59"/>
  <c r="AD93" i="59"/>
  <c r="Z93" i="59"/>
  <c r="CG93" i="59"/>
  <c r="BV93" i="59"/>
  <c r="BL93" i="59"/>
  <c r="BA93" i="59"/>
  <c r="AS93" i="59"/>
  <c r="AK93" i="59"/>
  <c r="AC93" i="59"/>
  <c r="CP93" i="59"/>
  <c r="CD93" i="59"/>
  <c r="BT93" i="59"/>
  <c r="BI93" i="59"/>
  <c r="AY93" i="59"/>
  <c r="AQ93" i="59"/>
  <c r="AI93" i="59"/>
  <c r="AA93" i="59"/>
  <c r="CL93" i="59"/>
  <c r="CB93" i="59"/>
  <c r="BQ93" i="59"/>
  <c r="BF93" i="59"/>
  <c r="AW93" i="59"/>
  <c r="AO93" i="59"/>
  <c r="AG93" i="59"/>
  <c r="Y93" i="59"/>
  <c r="BD93" i="59"/>
  <c r="CO98" i="59"/>
  <c r="CK98" i="59"/>
  <c r="CG98" i="59"/>
  <c r="CC98" i="59"/>
  <c r="BY98" i="59"/>
  <c r="BU98" i="59"/>
  <c r="BQ98" i="59"/>
  <c r="BM98" i="59"/>
  <c r="BI98" i="59"/>
  <c r="BE98" i="59"/>
  <c r="BA98" i="59"/>
  <c r="AW98" i="59"/>
  <c r="AS98" i="59"/>
  <c r="AO98" i="59"/>
  <c r="AK98" i="59"/>
  <c r="AG98" i="59"/>
  <c r="AC98" i="59"/>
  <c r="Y98" i="59"/>
  <c r="CN98" i="59"/>
  <c r="CJ98" i="59"/>
  <c r="CF98" i="59"/>
  <c r="CB98" i="59"/>
  <c r="BX98" i="59"/>
  <c r="BT98" i="59"/>
  <c r="BP98" i="59"/>
  <c r="BL98" i="59"/>
  <c r="BH98" i="59"/>
  <c r="BD98" i="59"/>
  <c r="AZ98" i="59"/>
  <c r="AV98" i="59"/>
  <c r="AR98" i="59"/>
  <c r="AN98" i="59"/>
  <c r="AJ98" i="59"/>
  <c r="AF98" i="59"/>
  <c r="AB98" i="59"/>
  <c r="X98" i="59"/>
  <c r="CQ98" i="59"/>
  <c r="CM98" i="59"/>
  <c r="CI98" i="59"/>
  <c r="CE98" i="59"/>
  <c r="CA98" i="59"/>
  <c r="BW98" i="59"/>
  <c r="BS98" i="59"/>
  <c r="BO98" i="59"/>
  <c r="BK98" i="59"/>
  <c r="BG98" i="59"/>
  <c r="CD98" i="59"/>
  <c r="BN98" i="59"/>
  <c r="BB98" i="59"/>
  <c r="AT98" i="59"/>
  <c r="AL98" i="59"/>
  <c r="AD98" i="59"/>
  <c r="CL98" i="59"/>
  <c r="BV98" i="59"/>
  <c r="BF98" i="59"/>
  <c r="AX98" i="59"/>
  <c r="AP98" i="59"/>
  <c r="AH98" i="59"/>
  <c r="Z98" i="59"/>
  <c r="BZ98" i="59"/>
  <c r="AY98" i="59"/>
  <c r="AI98" i="59"/>
  <c r="BR98" i="59"/>
  <c r="AU98" i="59"/>
  <c r="AE98" i="59"/>
  <c r="CP98" i="59"/>
  <c r="BJ98" i="59"/>
  <c r="AQ98" i="59"/>
  <c r="AA98" i="59"/>
  <c r="CN102" i="59"/>
  <c r="CJ102" i="59"/>
  <c r="CF102" i="59"/>
  <c r="CB102" i="59"/>
  <c r="BX102" i="59"/>
  <c r="BT102" i="59"/>
  <c r="BP102" i="59"/>
  <c r="BL102" i="59"/>
  <c r="BH102" i="59"/>
  <c r="BD102" i="59"/>
  <c r="AZ102" i="59"/>
  <c r="AV102" i="59"/>
  <c r="AR102" i="59"/>
  <c r="AN102" i="59"/>
  <c r="AJ102" i="59"/>
  <c r="AF102" i="59"/>
  <c r="AB102" i="59"/>
  <c r="CP102" i="59"/>
  <c r="CK102" i="59"/>
  <c r="CE102" i="59"/>
  <c r="BZ102" i="59"/>
  <c r="BU102" i="59"/>
  <c r="BO102" i="59"/>
  <c r="BJ102" i="59"/>
  <c r="BE102" i="59"/>
  <c r="AY102" i="59"/>
  <c r="AT102" i="59"/>
  <c r="AO102" i="59"/>
  <c r="AI102" i="59"/>
  <c r="AD102" i="59"/>
  <c r="CO102" i="59"/>
  <c r="CI102" i="59"/>
  <c r="CD102" i="59"/>
  <c r="BY102" i="59"/>
  <c r="BS102" i="59"/>
  <c r="BN102" i="59"/>
  <c r="BI102" i="59"/>
  <c r="BC102" i="59"/>
  <c r="AX102" i="59"/>
  <c r="AS102" i="59"/>
  <c r="AM102" i="59"/>
  <c r="AH102" i="59"/>
  <c r="AC102" i="59"/>
  <c r="CM102" i="59"/>
  <c r="CH102" i="59"/>
  <c r="CC102" i="59"/>
  <c r="BW102" i="59"/>
  <c r="BR102" i="59"/>
  <c r="BM102" i="59"/>
  <c r="BG102" i="59"/>
  <c r="BB102" i="59"/>
  <c r="AW102" i="59"/>
  <c r="AQ102" i="59"/>
  <c r="AL102" i="59"/>
  <c r="AG102" i="59"/>
  <c r="AA102" i="59"/>
  <c r="CG102" i="59"/>
  <c r="BK102" i="59"/>
  <c r="AP102" i="59"/>
  <c r="CQ102" i="59"/>
  <c r="BV102" i="59"/>
  <c r="BA102" i="59"/>
  <c r="AE102" i="59"/>
  <c r="BF102" i="59"/>
  <c r="CL102" i="59"/>
  <c r="AU102" i="59"/>
  <c r="CA102" i="59"/>
  <c r="AK102" i="59"/>
  <c r="BG109" i="59"/>
  <c r="AK109" i="59"/>
  <c r="AQ109" i="59"/>
  <c r="BW109" i="59"/>
  <c r="AF109" i="59"/>
  <c r="BL109" i="59"/>
  <c r="W59" i="59"/>
  <c r="AA59" i="59"/>
  <c r="AE59" i="59"/>
  <c r="AI59" i="59"/>
  <c r="AM59" i="59"/>
  <c r="AQ59" i="59"/>
  <c r="AU59" i="59"/>
  <c r="AY59" i="59"/>
  <c r="BC59" i="59"/>
  <c r="BG59" i="59"/>
  <c r="BK59" i="59"/>
  <c r="BO59" i="59"/>
  <c r="BS59" i="59"/>
  <c r="BW59" i="59"/>
  <c r="CA59" i="59"/>
  <c r="CE59" i="59"/>
  <c r="CI59" i="59"/>
  <c r="CM59" i="59"/>
  <c r="CQ59" i="59"/>
  <c r="W70" i="59"/>
  <c r="AA70" i="59"/>
  <c r="AE70" i="59"/>
  <c r="AI70" i="59"/>
  <c r="AM70" i="59"/>
  <c r="AQ70" i="59"/>
  <c r="AU70" i="59"/>
  <c r="AY70" i="59"/>
  <c r="BC70" i="59"/>
  <c r="BG70" i="59"/>
  <c r="BK70" i="59"/>
  <c r="BO70" i="59"/>
  <c r="BS70" i="59"/>
  <c r="BW70" i="59"/>
  <c r="CA70" i="59"/>
  <c r="CE70" i="59"/>
  <c r="CI70" i="59"/>
  <c r="CM70" i="59"/>
  <c r="CQ70" i="59"/>
  <c r="U77" i="59"/>
  <c r="AA77" i="59"/>
  <c r="AF77" i="59"/>
  <c r="AK77" i="59"/>
  <c r="AQ77" i="59"/>
  <c r="AV77" i="59"/>
  <c r="BA77" i="59"/>
  <c r="BG77" i="59"/>
  <c r="BL77" i="59"/>
  <c r="BQ77" i="59"/>
  <c r="BW77" i="59"/>
  <c r="CB77" i="59"/>
  <c r="CG77" i="59"/>
  <c r="W79" i="59"/>
  <c r="AB79" i="59"/>
  <c r="AH79" i="59"/>
  <c r="AM79" i="59"/>
  <c r="AR79" i="59"/>
  <c r="AX79" i="59"/>
  <c r="BC79" i="59"/>
  <c r="BH79" i="59"/>
  <c r="BN79" i="59"/>
  <c r="BS79" i="59"/>
  <c r="BX79" i="59"/>
  <c r="CD79" i="59"/>
  <c r="CI79" i="59"/>
  <c r="CP87" i="59"/>
  <c r="CL87" i="59"/>
  <c r="CH87" i="59"/>
  <c r="CD87" i="59"/>
  <c r="BZ87" i="59"/>
  <c r="BV87" i="59"/>
  <c r="BR87" i="59"/>
  <c r="BN87" i="59"/>
  <c r="BJ87" i="59"/>
  <c r="BF87" i="59"/>
  <c r="BB87" i="59"/>
  <c r="AX87" i="59"/>
  <c r="AT87" i="59"/>
  <c r="AP87" i="59"/>
  <c r="AL87" i="59"/>
  <c r="AH87" i="59"/>
  <c r="AD87" i="59"/>
  <c r="Z87" i="59"/>
  <c r="CN87" i="59"/>
  <c r="CJ87" i="59"/>
  <c r="CF87" i="59"/>
  <c r="CB87" i="59"/>
  <c r="BX87" i="59"/>
  <c r="BT87" i="59"/>
  <c r="BP87" i="59"/>
  <c r="BL87" i="59"/>
  <c r="BH87" i="59"/>
  <c r="BD87" i="59"/>
  <c r="AZ87" i="59"/>
  <c r="AV87" i="59"/>
  <c r="AR87" i="59"/>
  <c r="AN87" i="59"/>
  <c r="AJ87" i="59"/>
  <c r="AF87" i="59"/>
  <c r="AB87" i="59"/>
  <c r="X87" i="59"/>
  <c r="AE87" i="59"/>
  <c r="AM87" i="59"/>
  <c r="AU87" i="59"/>
  <c r="BC87" i="59"/>
  <c r="BK87" i="59"/>
  <c r="BS87" i="59"/>
  <c r="CA87" i="59"/>
  <c r="CI87" i="59"/>
  <c r="CQ87" i="59"/>
  <c r="AC89" i="59"/>
  <c r="AK89" i="59"/>
  <c r="AS89" i="59"/>
  <c r="BA89" i="59"/>
  <c r="BI89" i="59"/>
  <c r="BQ89" i="59"/>
  <c r="BY89" i="59"/>
  <c r="CG89" i="59"/>
  <c r="AA91" i="59"/>
  <c r="AI91" i="59"/>
  <c r="AQ91" i="59"/>
  <c r="AY91" i="59"/>
  <c r="BO91" i="59"/>
  <c r="BW91" i="59"/>
  <c r="CE91" i="59"/>
  <c r="CQ92" i="59"/>
  <c r="CM92" i="59"/>
  <c r="CI92" i="59"/>
  <c r="CE92" i="59"/>
  <c r="CA92" i="59"/>
  <c r="BW92" i="59"/>
  <c r="BS92" i="59"/>
  <c r="BO92" i="59"/>
  <c r="BK92" i="59"/>
  <c r="BG92" i="59"/>
  <c r="BC92" i="59"/>
  <c r="AY92" i="59"/>
  <c r="AU92" i="59"/>
  <c r="AQ92" i="59"/>
  <c r="AM92" i="59"/>
  <c r="AI92" i="59"/>
  <c r="AE92" i="59"/>
  <c r="AA92" i="59"/>
  <c r="CO92" i="59"/>
  <c r="CK92" i="59"/>
  <c r="CG92" i="59"/>
  <c r="CC92" i="59"/>
  <c r="BY92" i="59"/>
  <c r="BU92" i="59"/>
  <c r="BQ92" i="59"/>
  <c r="BM92" i="59"/>
  <c r="BI92" i="59"/>
  <c r="BE92" i="59"/>
  <c r="BA92" i="59"/>
  <c r="AW92" i="59"/>
  <c r="AS92" i="59"/>
  <c r="AO92" i="59"/>
  <c r="AK92" i="59"/>
  <c r="AG92" i="59"/>
  <c r="AC92" i="59"/>
  <c r="Y92" i="59"/>
  <c r="AD92" i="59"/>
  <c r="AL92" i="59"/>
  <c r="AT92" i="59"/>
  <c r="BB92" i="59"/>
  <c r="BJ92" i="59"/>
  <c r="BR92" i="59"/>
  <c r="BZ92" i="59"/>
  <c r="CH92" i="59"/>
  <c r="CP92" i="59"/>
  <c r="CP95" i="59"/>
  <c r="CL95" i="59"/>
  <c r="CH95" i="59"/>
  <c r="CD95" i="59"/>
  <c r="BZ95" i="59"/>
  <c r="BV95" i="59"/>
  <c r="BR95" i="59"/>
  <c r="BN95" i="59"/>
  <c r="BJ95" i="59"/>
  <c r="BF95" i="59"/>
  <c r="BB95" i="59"/>
  <c r="AX95" i="59"/>
  <c r="AT95" i="59"/>
  <c r="AP95" i="59"/>
  <c r="AL95" i="59"/>
  <c r="AH95" i="59"/>
  <c r="AD95" i="59"/>
  <c r="Z95" i="59"/>
  <c r="CO95" i="59"/>
  <c r="CK95" i="59"/>
  <c r="CG95" i="59"/>
  <c r="CC95" i="59"/>
  <c r="BY95" i="59"/>
  <c r="BU95" i="59"/>
  <c r="BQ95" i="59"/>
  <c r="BM95" i="59"/>
  <c r="BI95" i="59"/>
  <c r="BE95" i="59"/>
  <c r="BA95" i="59"/>
  <c r="AW95" i="59"/>
  <c r="AS95" i="59"/>
  <c r="AO95" i="59"/>
  <c r="AK95" i="59"/>
  <c r="AG95" i="59"/>
  <c r="AC95" i="59"/>
  <c r="Y95" i="59"/>
  <c r="CN95" i="59"/>
  <c r="CF95" i="59"/>
  <c r="BX95" i="59"/>
  <c r="BP95" i="59"/>
  <c r="BH95" i="59"/>
  <c r="AZ95" i="59"/>
  <c r="AR95" i="59"/>
  <c r="AJ95" i="59"/>
  <c r="AB95" i="59"/>
  <c r="CJ95" i="59"/>
  <c r="CB95" i="59"/>
  <c r="BT95" i="59"/>
  <c r="BL95" i="59"/>
  <c r="BD95" i="59"/>
  <c r="AV95" i="59"/>
  <c r="AN95" i="59"/>
  <c r="AF95" i="59"/>
  <c r="X95" i="59"/>
  <c r="AM95" i="59"/>
  <c r="BC95" i="59"/>
  <c r="BS95" i="59"/>
  <c r="CI95" i="59"/>
  <c r="AC97" i="59"/>
  <c r="AT101" i="59"/>
  <c r="CN104" i="59"/>
  <c r="CJ104" i="59"/>
  <c r="CF104" i="59"/>
  <c r="CB104" i="59"/>
  <c r="BX104" i="59"/>
  <c r="BT104" i="59"/>
  <c r="BP104" i="59"/>
  <c r="BL104" i="59"/>
  <c r="BH104" i="59"/>
  <c r="BD104" i="59"/>
  <c r="AZ104" i="59"/>
  <c r="AV104" i="59"/>
  <c r="AR104" i="59"/>
  <c r="AN104" i="59"/>
  <c r="AJ104" i="59"/>
  <c r="AF104" i="59"/>
  <c r="AB104" i="59"/>
  <c r="CM104" i="59"/>
  <c r="CH104" i="59"/>
  <c r="CC104" i="59"/>
  <c r="BW104" i="59"/>
  <c r="BR104" i="59"/>
  <c r="BM104" i="59"/>
  <c r="BG104" i="59"/>
  <c r="BB104" i="59"/>
  <c r="AW104" i="59"/>
  <c r="AQ104" i="59"/>
  <c r="AL104" i="59"/>
  <c r="AG104" i="59"/>
  <c r="AA104" i="59"/>
  <c r="CQ104" i="59"/>
  <c r="CL104" i="59"/>
  <c r="CG104" i="59"/>
  <c r="CA104" i="59"/>
  <c r="BV104" i="59"/>
  <c r="BQ104" i="59"/>
  <c r="BK104" i="59"/>
  <c r="BF104" i="59"/>
  <c r="BA104" i="59"/>
  <c r="AU104" i="59"/>
  <c r="AP104" i="59"/>
  <c r="AK104" i="59"/>
  <c r="AE104" i="59"/>
  <c r="CP104" i="59"/>
  <c r="CK104" i="59"/>
  <c r="CE104" i="59"/>
  <c r="BZ104" i="59"/>
  <c r="BU104" i="59"/>
  <c r="BO104" i="59"/>
  <c r="BJ104" i="59"/>
  <c r="BE104" i="59"/>
  <c r="AY104" i="59"/>
  <c r="AT104" i="59"/>
  <c r="AO104" i="59"/>
  <c r="AI104" i="59"/>
  <c r="AD104" i="59"/>
  <c r="CD104" i="59"/>
  <c r="BI104" i="59"/>
  <c r="AM104" i="59"/>
  <c r="CO104" i="59"/>
  <c r="BS104" i="59"/>
  <c r="AX104" i="59"/>
  <c r="AC104" i="59"/>
  <c r="BN104" i="59"/>
  <c r="CJ110" i="59"/>
  <c r="BD110" i="59"/>
  <c r="BT110" i="59"/>
  <c r="AN110" i="59"/>
  <c r="BL110" i="59"/>
  <c r="X59" i="59"/>
  <c r="AB59" i="59"/>
  <c r="AF59" i="59"/>
  <c r="AJ59" i="59"/>
  <c r="AN59" i="59"/>
  <c r="AR59" i="59"/>
  <c r="AV59" i="59"/>
  <c r="AZ59" i="59"/>
  <c r="BD59" i="59"/>
  <c r="BH59" i="59"/>
  <c r="BL59" i="59"/>
  <c r="BP59" i="59"/>
  <c r="BT59" i="59"/>
  <c r="BX59" i="59"/>
  <c r="CB59" i="59"/>
  <c r="CF59" i="59"/>
  <c r="CJ59" i="59"/>
  <c r="CN59" i="59"/>
  <c r="X70" i="59"/>
  <c r="AB70" i="59"/>
  <c r="AF70" i="59"/>
  <c r="AJ70" i="59"/>
  <c r="AN70" i="59"/>
  <c r="AR70" i="59"/>
  <c r="AV70" i="59"/>
  <c r="AZ70" i="59"/>
  <c r="BD70" i="59"/>
  <c r="BH70" i="59"/>
  <c r="BL70" i="59"/>
  <c r="BP70" i="59"/>
  <c r="BT70" i="59"/>
  <c r="BX70" i="59"/>
  <c r="CB70" i="59"/>
  <c r="CF70" i="59"/>
  <c r="CJ70" i="59"/>
  <c r="CN70" i="59"/>
  <c r="CP77" i="59"/>
  <c r="CL77" i="59"/>
  <c r="CH77" i="59"/>
  <c r="CD77" i="59"/>
  <c r="BZ77" i="59"/>
  <c r="BV77" i="59"/>
  <c r="BR77" i="59"/>
  <c r="BN77" i="59"/>
  <c r="BJ77" i="59"/>
  <c r="BF77" i="59"/>
  <c r="BB77" i="59"/>
  <c r="AX77" i="59"/>
  <c r="AT77" i="59"/>
  <c r="AP77" i="59"/>
  <c r="AL77" i="59"/>
  <c r="AH77" i="59"/>
  <c r="AD77" i="59"/>
  <c r="Z77" i="59"/>
  <c r="V77" i="59"/>
  <c r="W77" i="59"/>
  <c r="AB77" i="59"/>
  <c r="AG77" i="59"/>
  <c r="AM77" i="59"/>
  <c r="AR77" i="59"/>
  <c r="AW77" i="59"/>
  <c r="BC77" i="59"/>
  <c r="BH77" i="59"/>
  <c r="BM77" i="59"/>
  <c r="BS77" i="59"/>
  <c r="BX77" i="59"/>
  <c r="CC77" i="59"/>
  <c r="CI77" i="59"/>
  <c r="CN77" i="59"/>
  <c r="CO79" i="59"/>
  <c r="CK79" i="59"/>
  <c r="CG79" i="59"/>
  <c r="CC79" i="59"/>
  <c r="BY79" i="59"/>
  <c r="BU79" i="59"/>
  <c r="BQ79" i="59"/>
  <c r="BM79" i="59"/>
  <c r="BI79" i="59"/>
  <c r="BE79" i="59"/>
  <c r="BA79" i="59"/>
  <c r="AW79" i="59"/>
  <c r="AS79" i="59"/>
  <c r="AO79" i="59"/>
  <c r="AK79" i="59"/>
  <c r="AG79" i="59"/>
  <c r="AC79" i="59"/>
  <c r="Y79" i="59"/>
  <c r="U79" i="59"/>
  <c r="X79" i="59"/>
  <c r="AD79" i="59"/>
  <c r="AI79" i="59"/>
  <c r="AN79" i="59"/>
  <c r="AT79" i="59"/>
  <c r="AY79" i="59"/>
  <c r="BD79" i="59"/>
  <c r="BJ79" i="59"/>
  <c r="BO79" i="59"/>
  <c r="BT79" i="59"/>
  <c r="BZ79" i="59"/>
  <c r="CE79" i="59"/>
  <c r="CJ79" i="59"/>
  <c r="CP79" i="59"/>
  <c r="CN89" i="59"/>
  <c r="CJ89" i="59"/>
  <c r="CF89" i="59"/>
  <c r="CB89" i="59"/>
  <c r="BX89" i="59"/>
  <c r="BT89" i="59"/>
  <c r="BP89" i="59"/>
  <c r="BL89" i="59"/>
  <c r="BH89" i="59"/>
  <c r="BD89" i="59"/>
  <c r="AZ89" i="59"/>
  <c r="AV89" i="59"/>
  <c r="AR89" i="59"/>
  <c r="AN89" i="59"/>
  <c r="AJ89" i="59"/>
  <c r="AF89" i="59"/>
  <c r="AB89" i="59"/>
  <c r="X89" i="59"/>
  <c r="CP89" i="59"/>
  <c r="CL89" i="59"/>
  <c r="CH89" i="59"/>
  <c r="CD89" i="59"/>
  <c r="BZ89" i="59"/>
  <c r="BV89" i="59"/>
  <c r="BR89" i="59"/>
  <c r="BN89" i="59"/>
  <c r="BJ89" i="59"/>
  <c r="BF89" i="59"/>
  <c r="BB89" i="59"/>
  <c r="AX89" i="59"/>
  <c r="AT89" i="59"/>
  <c r="AP89" i="59"/>
  <c r="AL89" i="59"/>
  <c r="AH89" i="59"/>
  <c r="AD89" i="59"/>
  <c r="Z89" i="59"/>
  <c r="AE89" i="59"/>
  <c r="AM89" i="59"/>
  <c r="AU89" i="59"/>
  <c r="BC89" i="59"/>
  <c r="BK89" i="59"/>
  <c r="BS89" i="59"/>
  <c r="CA89" i="59"/>
  <c r="CI89" i="59"/>
  <c r="CQ89" i="59"/>
  <c r="BF97" i="59"/>
  <c r="AX97" i="59"/>
  <c r="AP97" i="59"/>
  <c r="AH97" i="59"/>
  <c r="Z97" i="59"/>
  <c r="AG97" i="59"/>
  <c r="AW97" i="59"/>
  <c r="U59" i="59"/>
  <c r="Y59" i="59"/>
  <c r="AC59" i="59"/>
  <c r="AG59" i="59"/>
  <c r="AK59" i="59"/>
  <c r="AO59" i="59"/>
  <c r="AS59" i="59"/>
  <c r="AW59" i="59"/>
  <c r="BA59" i="59"/>
  <c r="BE59" i="59"/>
  <c r="BI59" i="59"/>
  <c r="BM59" i="59"/>
  <c r="BQ59" i="59"/>
  <c r="BU59" i="59"/>
  <c r="BY59" i="59"/>
  <c r="CC59" i="59"/>
  <c r="CG59" i="59"/>
  <c r="CK59" i="59"/>
  <c r="U70" i="59"/>
  <c r="Y70" i="59"/>
  <c r="AC70" i="59"/>
  <c r="AG70" i="59"/>
  <c r="AK70" i="59"/>
  <c r="AO70" i="59"/>
  <c r="AS70" i="59"/>
  <c r="AW70" i="59"/>
  <c r="BA70" i="59"/>
  <c r="BE70" i="59"/>
  <c r="BI70" i="59"/>
  <c r="BM70" i="59"/>
  <c r="BQ70" i="59"/>
  <c r="BU70" i="59"/>
  <c r="BY70" i="59"/>
  <c r="CC70" i="59"/>
  <c r="CG70" i="59"/>
  <c r="CK70" i="59"/>
  <c r="X77" i="59"/>
  <c r="AC77" i="59"/>
  <c r="AI77" i="59"/>
  <c r="AN77" i="59"/>
  <c r="AS77" i="59"/>
  <c r="AY77" i="59"/>
  <c r="BD77" i="59"/>
  <c r="BI77" i="59"/>
  <c r="BO77" i="59"/>
  <c r="BT77" i="59"/>
  <c r="BY77" i="59"/>
  <c r="CE77" i="59"/>
  <c r="CJ77" i="59"/>
  <c r="CO77" i="59"/>
  <c r="Z79" i="59"/>
  <c r="AE79" i="59"/>
  <c r="AJ79" i="59"/>
  <c r="AP79" i="59"/>
  <c r="AU79" i="59"/>
  <c r="AZ79" i="59"/>
  <c r="BF79" i="59"/>
  <c r="BK79" i="59"/>
  <c r="BP79" i="59"/>
  <c r="BV79" i="59"/>
  <c r="CA79" i="59"/>
  <c r="CF79" i="59"/>
  <c r="CL79" i="59"/>
  <c r="CQ79" i="59"/>
  <c r="AA87" i="59"/>
  <c r="AI87" i="59"/>
  <c r="AQ87" i="59"/>
  <c r="AY87" i="59"/>
  <c r="BG87" i="59"/>
  <c r="BO87" i="59"/>
  <c r="BW87" i="59"/>
  <c r="CE87" i="59"/>
  <c r="CM87" i="59"/>
  <c r="CQ88" i="59"/>
  <c r="CM88" i="59"/>
  <c r="CI88" i="59"/>
  <c r="CE88" i="59"/>
  <c r="CA88" i="59"/>
  <c r="BW88" i="59"/>
  <c r="BS88" i="59"/>
  <c r="BO88" i="59"/>
  <c r="BK88" i="59"/>
  <c r="BG88" i="59"/>
  <c r="BC88" i="59"/>
  <c r="AY88" i="59"/>
  <c r="AU88" i="59"/>
  <c r="AQ88" i="59"/>
  <c r="AM88" i="59"/>
  <c r="AI88" i="59"/>
  <c r="AE88" i="59"/>
  <c r="AA88" i="59"/>
  <c r="CO88" i="59"/>
  <c r="CK88" i="59"/>
  <c r="CG88" i="59"/>
  <c r="CC88" i="59"/>
  <c r="BY88" i="59"/>
  <c r="BU88" i="59"/>
  <c r="BQ88" i="59"/>
  <c r="BM88" i="59"/>
  <c r="BI88" i="59"/>
  <c r="BE88" i="59"/>
  <c r="BA88" i="59"/>
  <c r="AW88" i="59"/>
  <c r="AS88" i="59"/>
  <c r="AO88" i="59"/>
  <c r="AK88" i="59"/>
  <c r="AG88" i="59"/>
  <c r="AC88" i="59"/>
  <c r="Y88" i="59"/>
  <c r="AD88" i="59"/>
  <c r="AL88" i="59"/>
  <c r="AT88" i="59"/>
  <c r="BB88" i="59"/>
  <c r="BJ88" i="59"/>
  <c r="BR88" i="59"/>
  <c r="BZ88" i="59"/>
  <c r="CH88" i="59"/>
  <c r="CP88" i="59"/>
  <c r="Y89" i="59"/>
  <c r="AG89" i="59"/>
  <c r="AO89" i="59"/>
  <c r="AW89" i="59"/>
  <c r="BE89" i="59"/>
  <c r="BM89" i="59"/>
  <c r="BU89" i="59"/>
  <c r="CC89" i="59"/>
  <c r="CK89" i="59"/>
  <c r="CP91" i="59"/>
  <c r="CL91" i="59"/>
  <c r="CH91" i="59"/>
  <c r="CD91" i="59"/>
  <c r="BZ91" i="59"/>
  <c r="BV91" i="59"/>
  <c r="BR91" i="59"/>
  <c r="BN91" i="59"/>
  <c r="BJ91" i="59"/>
  <c r="BF91" i="59"/>
  <c r="BB91" i="59"/>
  <c r="AX91" i="59"/>
  <c r="AT91" i="59"/>
  <c r="AP91" i="59"/>
  <c r="AL91" i="59"/>
  <c r="AH91" i="59"/>
  <c r="AD91" i="59"/>
  <c r="Z91" i="59"/>
  <c r="CN91" i="59"/>
  <c r="CJ91" i="59"/>
  <c r="CF91" i="59"/>
  <c r="CB91" i="59"/>
  <c r="BX91" i="59"/>
  <c r="BT91" i="59"/>
  <c r="BP91" i="59"/>
  <c r="BL91" i="59"/>
  <c r="BH91" i="59"/>
  <c r="BD91" i="59"/>
  <c r="AZ91" i="59"/>
  <c r="AV91" i="59"/>
  <c r="AR91" i="59"/>
  <c r="AN91" i="59"/>
  <c r="AJ91" i="59"/>
  <c r="AF91" i="59"/>
  <c r="AB91" i="59"/>
  <c r="X91" i="59"/>
  <c r="AE91" i="59"/>
  <c r="AM91" i="59"/>
  <c r="AU91" i="59"/>
  <c r="BC91" i="59"/>
  <c r="BK91" i="59"/>
  <c r="BS91" i="59"/>
  <c r="CA91" i="59"/>
  <c r="CI91" i="59"/>
  <c r="CQ91" i="59"/>
  <c r="Z92" i="59"/>
  <c r="AH92" i="59"/>
  <c r="AP92" i="59"/>
  <c r="AX92" i="59"/>
  <c r="BF92" i="59"/>
  <c r="BN92" i="59"/>
  <c r="BV92" i="59"/>
  <c r="CD92" i="59"/>
  <c r="CL92" i="59"/>
  <c r="AE95" i="59"/>
  <c r="AU95" i="59"/>
  <c r="BK95" i="59"/>
  <c r="CA95" i="59"/>
  <c r="CQ95" i="59"/>
  <c r="AK97" i="59"/>
  <c r="BA97" i="59"/>
  <c r="AS104" i="59"/>
  <c r="CI104" i="59"/>
  <c r="AF110" i="59"/>
  <c r="BK111" i="59"/>
  <c r="BB111" i="59"/>
  <c r="AT111" i="59"/>
  <c r="AL111" i="59"/>
  <c r="AD111" i="59"/>
  <c r="BG111" i="59"/>
  <c r="AY111" i="59"/>
  <c r="AQ111" i="59"/>
  <c r="AI111" i="59"/>
  <c r="BF111" i="59"/>
  <c r="AX111" i="59"/>
  <c r="AP111" i="59"/>
  <c r="AH111" i="59"/>
  <c r="BM111" i="59"/>
  <c r="AE111" i="59"/>
  <c r="AU111" i="59"/>
  <c r="BC111" i="59"/>
  <c r="Y96" i="59"/>
  <c r="AG96" i="59"/>
  <c r="AO96" i="59"/>
  <c r="AW96" i="59"/>
  <c r="CN97" i="59"/>
  <c r="CJ97" i="59"/>
  <c r="CF97" i="59"/>
  <c r="CB97" i="59"/>
  <c r="BX97" i="59"/>
  <c r="BT97" i="59"/>
  <c r="BP97" i="59"/>
  <c r="BL97" i="59"/>
  <c r="BH97" i="59"/>
  <c r="BD97" i="59"/>
  <c r="AZ97" i="59"/>
  <c r="AV97" i="59"/>
  <c r="AR97" i="59"/>
  <c r="AN97" i="59"/>
  <c r="AJ97" i="59"/>
  <c r="AF97" i="59"/>
  <c r="AB97" i="59"/>
  <c r="X97" i="59"/>
  <c r="CQ97" i="59"/>
  <c r="CM97" i="59"/>
  <c r="CI97" i="59"/>
  <c r="CE97" i="59"/>
  <c r="CA97" i="59"/>
  <c r="BW97" i="59"/>
  <c r="BS97" i="59"/>
  <c r="BO97" i="59"/>
  <c r="BK97" i="59"/>
  <c r="BG97" i="59"/>
  <c r="BC97" i="59"/>
  <c r="AY97" i="59"/>
  <c r="AU97" i="59"/>
  <c r="AQ97" i="59"/>
  <c r="AM97" i="59"/>
  <c r="AI97" i="59"/>
  <c r="AE97" i="59"/>
  <c r="AA97" i="59"/>
  <c r="AD97" i="59"/>
  <c r="AL97" i="59"/>
  <c r="AT97" i="59"/>
  <c r="BB97" i="59"/>
  <c r="BJ97" i="59"/>
  <c r="BR97" i="59"/>
  <c r="BZ97" i="59"/>
  <c r="CH97" i="59"/>
  <c r="CP97" i="59"/>
  <c r="CP99" i="59"/>
  <c r="CL99" i="59"/>
  <c r="CH99" i="59"/>
  <c r="CD99" i="59"/>
  <c r="BZ99" i="59"/>
  <c r="BV99" i="59"/>
  <c r="BR99" i="59"/>
  <c r="BN99" i="59"/>
  <c r="BJ99" i="59"/>
  <c r="BF99" i="59"/>
  <c r="BB99" i="59"/>
  <c r="AX99" i="59"/>
  <c r="AT99" i="59"/>
  <c r="AP99" i="59"/>
  <c r="AL99" i="59"/>
  <c r="AH99" i="59"/>
  <c r="AD99" i="59"/>
  <c r="Z99" i="59"/>
  <c r="CO99" i="59"/>
  <c r="CK99" i="59"/>
  <c r="CG99" i="59"/>
  <c r="CC99" i="59"/>
  <c r="BY99" i="59"/>
  <c r="BU99" i="59"/>
  <c r="BQ99" i="59"/>
  <c r="BM99" i="59"/>
  <c r="BI99" i="59"/>
  <c r="BE99" i="59"/>
  <c r="BA99" i="59"/>
  <c r="AW99" i="59"/>
  <c r="AS99" i="59"/>
  <c r="AO99" i="59"/>
  <c r="AK99" i="59"/>
  <c r="AG99" i="59"/>
  <c r="AC99" i="59"/>
  <c r="Y99" i="59"/>
  <c r="CN99" i="59"/>
  <c r="CJ99" i="59"/>
  <c r="CF99" i="59"/>
  <c r="CB99" i="59"/>
  <c r="BX99" i="59"/>
  <c r="BT99" i="59"/>
  <c r="BP99" i="59"/>
  <c r="BL99" i="59"/>
  <c r="BH99" i="59"/>
  <c r="BD99" i="59"/>
  <c r="AZ99" i="59"/>
  <c r="AV99" i="59"/>
  <c r="AR99" i="59"/>
  <c r="AN99" i="59"/>
  <c r="AJ99" i="59"/>
  <c r="AF99" i="59"/>
  <c r="AB99" i="59"/>
  <c r="X99" i="59"/>
  <c r="AM99" i="59"/>
  <c r="BC99" i="59"/>
  <c r="BS99" i="59"/>
  <c r="CI99" i="59"/>
  <c r="AD101" i="59"/>
  <c r="AY101" i="59"/>
  <c r="BU101" i="59"/>
  <c r="AI105" i="59"/>
  <c r="BE105" i="59"/>
  <c r="AK106" i="59"/>
  <c r="BF106" i="59"/>
  <c r="AK108" i="59"/>
  <c r="BF108" i="59"/>
  <c r="CP109" i="59"/>
  <c r="CL109" i="59"/>
  <c r="CH109" i="59"/>
  <c r="CD109" i="59"/>
  <c r="BZ109" i="59"/>
  <c r="BV109" i="59"/>
  <c r="BR109" i="59"/>
  <c r="BN109" i="59"/>
  <c r="BJ109" i="59"/>
  <c r="BF109" i="59"/>
  <c r="BB109" i="59"/>
  <c r="AX109" i="59"/>
  <c r="AT109" i="59"/>
  <c r="AP109" i="59"/>
  <c r="AL109" i="59"/>
  <c r="AH109" i="59"/>
  <c r="AD109" i="59"/>
  <c r="CQ109" i="59"/>
  <c r="CK109" i="59"/>
  <c r="CF109" i="59"/>
  <c r="CA109" i="59"/>
  <c r="BU109" i="59"/>
  <c r="BP109" i="59"/>
  <c r="BK109" i="59"/>
  <c r="BE109" i="59"/>
  <c r="AZ109" i="59"/>
  <c r="AU109" i="59"/>
  <c r="AO109" i="59"/>
  <c r="AJ109" i="59"/>
  <c r="AE109" i="59"/>
  <c r="CO109" i="59"/>
  <c r="CJ109" i="59"/>
  <c r="CE109" i="59"/>
  <c r="BY109" i="59"/>
  <c r="BT109" i="59"/>
  <c r="BO109" i="59"/>
  <c r="BI109" i="59"/>
  <c r="BD109" i="59"/>
  <c r="AY109" i="59"/>
  <c r="AS109" i="59"/>
  <c r="AN109" i="59"/>
  <c r="AI109" i="59"/>
  <c r="CN109" i="59"/>
  <c r="CI109" i="59"/>
  <c r="CC109" i="59"/>
  <c r="BX109" i="59"/>
  <c r="BS109" i="59"/>
  <c r="BM109" i="59"/>
  <c r="BH109" i="59"/>
  <c r="BC109" i="59"/>
  <c r="AW109" i="59"/>
  <c r="AR109" i="59"/>
  <c r="AM109" i="59"/>
  <c r="AG109" i="59"/>
  <c r="AV109" i="59"/>
  <c r="BQ109" i="59"/>
  <c r="CM109" i="59"/>
  <c r="CN125" i="59"/>
  <c r="CJ125" i="59"/>
  <c r="CF125" i="59"/>
  <c r="CB125" i="59"/>
  <c r="BX125" i="59"/>
  <c r="BT125" i="59"/>
  <c r="BP125" i="59"/>
  <c r="BL125" i="59"/>
  <c r="BH125" i="59"/>
  <c r="BD125" i="59"/>
  <c r="AZ125" i="59"/>
  <c r="AV125" i="59"/>
  <c r="AR125" i="59"/>
  <c r="AN125" i="59"/>
  <c r="AJ125" i="59"/>
  <c r="CQ125" i="59"/>
  <c r="CM125" i="59"/>
  <c r="CI125" i="59"/>
  <c r="CE125" i="59"/>
  <c r="CA125" i="59"/>
  <c r="BW125" i="59"/>
  <c r="BS125" i="59"/>
  <c r="BO125" i="59"/>
  <c r="BK125" i="59"/>
  <c r="BG125" i="59"/>
  <c r="BC125" i="59"/>
  <c r="AY125" i="59"/>
  <c r="AU125" i="59"/>
  <c r="AQ125" i="59"/>
  <c r="AM125" i="59"/>
  <c r="CK125" i="59"/>
  <c r="CC125" i="59"/>
  <c r="BU125" i="59"/>
  <c r="BM125" i="59"/>
  <c r="BE125" i="59"/>
  <c r="AW125" i="59"/>
  <c r="AO125" i="59"/>
  <c r="CP125" i="59"/>
  <c r="CH125" i="59"/>
  <c r="BZ125" i="59"/>
  <c r="BR125" i="59"/>
  <c r="BJ125" i="59"/>
  <c r="BB125" i="59"/>
  <c r="AT125" i="59"/>
  <c r="AL125" i="59"/>
  <c r="CO125" i="59"/>
  <c r="BY125" i="59"/>
  <c r="BI125" i="59"/>
  <c r="AS125" i="59"/>
  <c r="CL125" i="59"/>
  <c r="BV125" i="59"/>
  <c r="BF125" i="59"/>
  <c r="AP125" i="59"/>
  <c r="CG125" i="59"/>
  <c r="BQ125" i="59"/>
  <c r="BA125" i="59"/>
  <c r="AK125" i="59"/>
  <c r="CO136" i="59"/>
  <c r="CK136" i="59"/>
  <c r="CG136" i="59"/>
  <c r="CC136" i="59"/>
  <c r="BY136" i="59"/>
  <c r="BU136" i="59"/>
  <c r="BQ136" i="59"/>
  <c r="BM136" i="59"/>
  <c r="BI136" i="59"/>
  <c r="BE136" i="59"/>
  <c r="BA136" i="59"/>
  <c r="AW136" i="59"/>
  <c r="CM136" i="59"/>
  <c r="CH136" i="59"/>
  <c r="CB136" i="59"/>
  <c r="BW136" i="59"/>
  <c r="BR136" i="59"/>
  <c r="BL136" i="59"/>
  <c r="BG136" i="59"/>
  <c r="BB136" i="59"/>
  <c r="AV136" i="59"/>
  <c r="CQ136" i="59"/>
  <c r="CL136" i="59"/>
  <c r="CF136" i="59"/>
  <c r="CA136" i="59"/>
  <c r="BV136" i="59"/>
  <c r="BP136" i="59"/>
  <c r="BK136" i="59"/>
  <c r="BF136" i="59"/>
  <c r="AZ136" i="59"/>
  <c r="CI136" i="59"/>
  <c r="BX136" i="59"/>
  <c r="BN136" i="59"/>
  <c r="BC136" i="59"/>
  <c r="CP136" i="59"/>
  <c r="CE136" i="59"/>
  <c r="BT136" i="59"/>
  <c r="BJ136" i="59"/>
  <c r="AY136" i="59"/>
  <c r="CD136" i="59"/>
  <c r="BH136" i="59"/>
  <c r="BZ136" i="59"/>
  <c r="BD136" i="59"/>
  <c r="CN136" i="59"/>
  <c r="BS136" i="59"/>
  <c r="AX136" i="59"/>
  <c r="CN101" i="59"/>
  <c r="CJ101" i="59"/>
  <c r="CF101" i="59"/>
  <c r="CB101" i="59"/>
  <c r="BX101" i="59"/>
  <c r="BT101" i="59"/>
  <c r="BP101" i="59"/>
  <c r="BL101" i="59"/>
  <c r="BH101" i="59"/>
  <c r="BD101" i="59"/>
  <c r="AZ101" i="59"/>
  <c r="AV101" i="59"/>
  <c r="AR101" i="59"/>
  <c r="AN101" i="59"/>
  <c r="AJ101" i="59"/>
  <c r="AF101" i="59"/>
  <c r="AB101" i="59"/>
  <c r="CO101" i="59"/>
  <c r="CI101" i="59"/>
  <c r="CD101" i="59"/>
  <c r="BY101" i="59"/>
  <c r="BS101" i="59"/>
  <c r="BN101" i="59"/>
  <c r="BI101" i="59"/>
  <c r="BC101" i="59"/>
  <c r="AX101" i="59"/>
  <c r="AS101" i="59"/>
  <c r="AM101" i="59"/>
  <c r="AH101" i="59"/>
  <c r="AC101" i="59"/>
  <c r="X101" i="59"/>
  <c r="CM101" i="59"/>
  <c r="CH101" i="59"/>
  <c r="CC101" i="59"/>
  <c r="BW101" i="59"/>
  <c r="BR101" i="59"/>
  <c r="BM101" i="59"/>
  <c r="BG101" i="59"/>
  <c r="BB101" i="59"/>
  <c r="AW101" i="59"/>
  <c r="AQ101" i="59"/>
  <c r="AL101" i="59"/>
  <c r="AG101" i="59"/>
  <c r="AA101" i="59"/>
  <c r="CQ101" i="59"/>
  <c r="CL101" i="59"/>
  <c r="CG101" i="59"/>
  <c r="CA101" i="59"/>
  <c r="BV101" i="59"/>
  <c r="BQ101" i="59"/>
  <c r="BK101" i="59"/>
  <c r="BF101" i="59"/>
  <c r="BA101" i="59"/>
  <c r="AU101" i="59"/>
  <c r="AP101" i="59"/>
  <c r="AK101" i="59"/>
  <c r="AE101" i="59"/>
  <c r="Z101" i="59"/>
  <c r="AO101" i="59"/>
  <c r="BJ101" i="59"/>
  <c r="CE101" i="59"/>
  <c r="CN105" i="59"/>
  <c r="CJ105" i="59"/>
  <c r="CF105" i="59"/>
  <c r="CB105" i="59"/>
  <c r="BX105" i="59"/>
  <c r="BT105" i="59"/>
  <c r="BP105" i="59"/>
  <c r="BL105" i="59"/>
  <c r="BH105" i="59"/>
  <c r="BD105" i="59"/>
  <c r="AZ105" i="59"/>
  <c r="AV105" i="59"/>
  <c r="AR105" i="59"/>
  <c r="AN105" i="59"/>
  <c r="AJ105" i="59"/>
  <c r="AF105" i="59"/>
  <c r="AB105" i="59"/>
  <c r="CO105" i="59"/>
  <c r="CI105" i="59"/>
  <c r="CD105" i="59"/>
  <c r="BY105" i="59"/>
  <c r="BS105" i="59"/>
  <c r="BN105" i="59"/>
  <c r="BI105" i="59"/>
  <c r="BC105" i="59"/>
  <c r="AX105" i="59"/>
  <c r="AS105" i="59"/>
  <c r="AM105" i="59"/>
  <c r="AH105" i="59"/>
  <c r="AC105" i="59"/>
  <c r="CM105" i="59"/>
  <c r="CH105" i="59"/>
  <c r="CC105" i="59"/>
  <c r="BW105" i="59"/>
  <c r="BR105" i="59"/>
  <c r="BM105" i="59"/>
  <c r="BG105" i="59"/>
  <c r="BB105" i="59"/>
  <c r="AW105" i="59"/>
  <c r="AQ105" i="59"/>
  <c r="AL105" i="59"/>
  <c r="AG105" i="59"/>
  <c r="AA105" i="59"/>
  <c r="CQ105" i="59"/>
  <c r="CL105" i="59"/>
  <c r="CG105" i="59"/>
  <c r="CA105" i="59"/>
  <c r="BV105" i="59"/>
  <c r="BQ105" i="59"/>
  <c r="BK105" i="59"/>
  <c r="BF105" i="59"/>
  <c r="BA105" i="59"/>
  <c r="AU105" i="59"/>
  <c r="AP105" i="59"/>
  <c r="AK105" i="59"/>
  <c r="AE105" i="59"/>
  <c r="AT105" i="59"/>
  <c r="BO105" i="59"/>
  <c r="CK105" i="59"/>
  <c r="CN106" i="59"/>
  <c r="CJ106" i="59"/>
  <c r="CF106" i="59"/>
  <c r="CB106" i="59"/>
  <c r="BX106" i="59"/>
  <c r="BT106" i="59"/>
  <c r="BP106" i="59"/>
  <c r="BL106" i="59"/>
  <c r="BH106" i="59"/>
  <c r="BD106" i="59"/>
  <c r="AZ106" i="59"/>
  <c r="AV106" i="59"/>
  <c r="AR106" i="59"/>
  <c r="AN106" i="59"/>
  <c r="AJ106" i="59"/>
  <c r="AF106" i="59"/>
  <c r="AB106" i="59"/>
  <c r="CP106" i="59"/>
  <c r="CK106" i="59"/>
  <c r="CE106" i="59"/>
  <c r="BZ106" i="59"/>
  <c r="BU106" i="59"/>
  <c r="BO106" i="59"/>
  <c r="BJ106" i="59"/>
  <c r="BE106" i="59"/>
  <c r="AY106" i="59"/>
  <c r="AT106" i="59"/>
  <c r="AO106" i="59"/>
  <c r="AI106" i="59"/>
  <c r="AD106" i="59"/>
  <c r="CO106" i="59"/>
  <c r="CI106" i="59"/>
  <c r="CD106" i="59"/>
  <c r="BY106" i="59"/>
  <c r="BS106" i="59"/>
  <c r="BN106" i="59"/>
  <c r="BI106" i="59"/>
  <c r="BC106" i="59"/>
  <c r="AX106" i="59"/>
  <c r="AS106" i="59"/>
  <c r="AM106" i="59"/>
  <c r="AH106" i="59"/>
  <c r="AC106" i="59"/>
  <c r="CM106" i="59"/>
  <c r="CH106" i="59"/>
  <c r="CC106" i="59"/>
  <c r="BW106" i="59"/>
  <c r="BR106" i="59"/>
  <c r="BM106" i="59"/>
  <c r="BG106" i="59"/>
  <c r="BB106" i="59"/>
  <c r="AW106" i="59"/>
  <c r="AQ106" i="59"/>
  <c r="AL106" i="59"/>
  <c r="AG106" i="59"/>
  <c r="AA106" i="59"/>
  <c r="AU106" i="59"/>
  <c r="BQ106" i="59"/>
  <c r="CL106" i="59"/>
  <c r="CQ108" i="59"/>
  <c r="CM108" i="59"/>
  <c r="CI108" i="59"/>
  <c r="CE108" i="59"/>
  <c r="CA108" i="59"/>
  <c r="BW108" i="59"/>
  <c r="BS108" i="59"/>
  <c r="BO108" i="59"/>
  <c r="BK108" i="59"/>
  <c r="BG108" i="59"/>
  <c r="BC108" i="59"/>
  <c r="AY108" i="59"/>
  <c r="AU108" i="59"/>
  <c r="AQ108" i="59"/>
  <c r="AM108" i="59"/>
  <c r="AI108" i="59"/>
  <c r="AE108" i="59"/>
  <c r="CP108" i="59"/>
  <c r="CK108" i="59"/>
  <c r="CF108" i="59"/>
  <c r="BZ108" i="59"/>
  <c r="BU108" i="59"/>
  <c r="BP108" i="59"/>
  <c r="BJ108" i="59"/>
  <c r="BE108" i="59"/>
  <c r="AZ108" i="59"/>
  <c r="AT108" i="59"/>
  <c r="AO108" i="59"/>
  <c r="AJ108" i="59"/>
  <c r="AD108" i="59"/>
  <c r="CO108" i="59"/>
  <c r="CJ108" i="59"/>
  <c r="CD108" i="59"/>
  <c r="BY108" i="59"/>
  <c r="BT108" i="59"/>
  <c r="BN108" i="59"/>
  <c r="BI108" i="59"/>
  <c r="BD108" i="59"/>
  <c r="AX108" i="59"/>
  <c r="AS108" i="59"/>
  <c r="AN108" i="59"/>
  <c r="AH108" i="59"/>
  <c r="CN108" i="59"/>
  <c r="CH108" i="59"/>
  <c r="CC108" i="59"/>
  <c r="BX108" i="59"/>
  <c r="BR108" i="59"/>
  <c r="BM108" i="59"/>
  <c r="BH108" i="59"/>
  <c r="BB108" i="59"/>
  <c r="AW108" i="59"/>
  <c r="AR108" i="59"/>
  <c r="AL108" i="59"/>
  <c r="AG108" i="59"/>
  <c r="AV108" i="59"/>
  <c r="BQ108" i="59"/>
  <c r="CL108" i="59"/>
  <c r="BO136" i="59"/>
  <c r="CP137" i="59"/>
  <c r="CL137" i="59"/>
  <c r="CH137" i="59"/>
  <c r="CD137" i="59"/>
  <c r="BZ137" i="59"/>
  <c r="BV137" i="59"/>
  <c r="BR137" i="59"/>
  <c r="BN137" i="59"/>
  <c r="BJ137" i="59"/>
  <c r="BF137" i="59"/>
  <c r="BB137" i="59"/>
  <c r="AX137" i="59"/>
  <c r="CN137" i="59"/>
  <c r="CI137" i="59"/>
  <c r="CC137" i="59"/>
  <c r="BX137" i="59"/>
  <c r="BS137" i="59"/>
  <c r="BM137" i="59"/>
  <c r="BH137" i="59"/>
  <c r="BC137" i="59"/>
  <c r="AW137" i="59"/>
  <c r="CM137" i="59"/>
  <c r="CG137" i="59"/>
  <c r="CB137" i="59"/>
  <c r="BW137" i="59"/>
  <c r="BQ137" i="59"/>
  <c r="BL137" i="59"/>
  <c r="BG137" i="59"/>
  <c r="BA137" i="59"/>
  <c r="AV137" i="59"/>
  <c r="CQ137" i="59"/>
  <c r="CF137" i="59"/>
  <c r="BU137" i="59"/>
  <c r="BK137" i="59"/>
  <c r="AZ137" i="59"/>
  <c r="CO137" i="59"/>
  <c r="CE137" i="59"/>
  <c r="BT137" i="59"/>
  <c r="BI137" i="59"/>
  <c r="AY137" i="59"/>
  <c r="CJ137" i="59"/>
  <c r="BO137" i="59"/>
  <c r="CA137" i="59"/>
  <c r="BE137" i="59"/>
  <c r="BY137" i="59"/>
  <c r="BD137" i="59"/>
  <c r="Y100" i="59"/>
  <c r="AC100" i="59"/>
  <c r="AG100" i="59"/>
  <c r="AK100" i="59"/>
  <c r="AO100" i="59"/>
  <c r="AS100" i="59"/>
  <c r="AW100" i="59"/>
  <c r="BA100" i="59"/>
  <c r="CP110" i="59"/>
  <c r="CL110" i="59"/>
  <c r="CH110" i="59"/>
  <c r="CD110" i="59"/>
  <c r="BZ110" i="59"/>
  <c r="BV110" i="59"/>
  <c r="BR110" i="59"/>
  <c r="BN110" i="59"/>
  <c r="BJ110" i="59"/>
  <c r="BF110" i="59"/>
  <c r="BB110" i="59"/>
  <c r="AX110" i="59"/>
  <c r="AT110" i="59"/>
  <c r="AP110" i="59"/>
  <c r="AL110" i="59"/>
  <c r="AH110" i="59"/>
  <c r="CO110" i="59"/>
  <c r="CK110" i="59"/>
  <c r="CG110" i="59"/>
  <c r="CC110" i="59"/>
  <c r="BY110" i="59"/>
  <c r="BU110" i="59"/>
  <c r="BQ110" i="59"/>
  <c r="BM110" i="59"/>
  <c r="BI110" i="59"/>
  <c r="BE110" i="59"/>
  <c r="BA110" i="59"/>
  <c r="AW110" i="59"/>
  <c r="AS110" i="59"/>
  <c r="AO110" i="59"/>
  <c r="AK110" i="59"/>
  <c r="AG110" i="59"/>
  <c r="AI110" i="59"/>
  <c r="AQ110" i="59"/>
  <c r="AY110" i="59"/>
  <c r="BG110" i="59"/>
  <c r="BO110" i="59"/>
  <c r="BW110" i="59"/>
  <c r="CE110" i="59"/>
  <c r="CM110" i="59"/>
  <c r="CO118" i="59"/>
  <c r="CK118" i="59"/>
  <c r="CG118" i="59"/>
  <c r="CC118" i="59"/>
  <c r="BY118" i="59"/>
  <c r="BU118" i="59"/>
  <c r="BQ118" i="59"/>
  <c r="BM118" i="59"/>
  <c r="BI118" i="59"/>
  <c r="BE118" i="59"/>
  <c r="BA118" i="59"/>
  <c r="AW118" i="59"/>
  <c r="AS118" i="59"/>
  <c r="AO118" i="59"/>
  <c r="AK118" i="59"/>
  <c r="CN118" i="59"/>
  <c r="CJ118" i="59"/>
  <c r="CF118" i="59"/>
  <c r="CB118" i="59"/>
  <c r="BX118" i="59"/>
  <c r="BT118" i="59"/>
  <c r="BP118" i="59"/>
  <c r="BL118" i="59"/>
  <c r="BH118" i="59"/>
  <c r="BD118" i="59"/>
  <c r="AZ118" i="59"/>
  <c r="AV118" i="59"/>
  <c r="AR118" i="59"/>
  <c r="AN118" i="59"/>
  <c r="AJ118" i="59"/>
  <c r="CL118" i="59"/>
  <c r="CD118" i="59"/>
  <c r="BV118" i="59"/>
  <c r="BN118" i="59"/>
  <c r="BF118" i="59"/>
  <c r="AX118" i="59"/>
  <c r="AP118" i="59"/>
  <c r="CQ118" i="59"/>
  <c r="CI118" i="59"/>
  <c r="CA118" i="59"/>
  <c r="BS118" i="59"/>
  <c r="BK118" i="59"/>
  <c r="BC118" i="59"/>
  <c r="AU118" i="59"/>
  <c r="AM118" i="59"/>
  <c r="AY118" i="59"/>
  <c r="BO118" i="59"/>
  <c r="CE118" i="59"/>
  <c r="CP130" i="59"/>
  <c r="CL130" i="59"/>
  <c r="CH130" i="59"/>
  <c r="CD130" i="59"/>
  <c r="BZ130" i="59"/>
  <c r="BV130" i="59"/>
  <c r="BR130" i="59"/>
  <c r="BN130" i="59"/>
  <c r="BJ130" i="59"/>
  <c r="BF130" i="59"/>
  <c r="BB130" i="59"/>
  <c r="AX130" i="59"/>
  <c r="CO130" i="59"/>
  <c r="CK130" i="59"/>
  <c r="CG130" i="59"/>
  <c r="CC130" i="59"/>
  <c r="BY130" i="59"/>
  <c r="BU130" i="59"/>
  <c r="BQ130" i="59"/>
  <c r="BM130" i="59"/>
  <c r="BI130" i="59"/>
  <c r="BE130" i="59"/>
  <c r="BA130" i="59"/>
  <c r="AW130" i="59"/>
  <c r="CN130" i="59"/>
  <c r="CF130" i="59"/>
  <c r="BX130" i="59"/>
  <c r="BP130" i="59"/>
  <c r="BH130" i="59"/>
  <c r="AZ130" i="59"/>
  <c r="CM130" i="59"/>
  <c r="CE130" i="59"/>
  <c r="BW130" i="59"/>
  <c r="BO130" i="59"/>
  <c r="BG130" i="59"/>
  <c r="AY130" i="59"/>
  <c r="BK130" i="59"/>
  <c r="CA130" i="59"/>
  <c r="CQ130" i="59"/>
  <c r="BI133" i="59"/>
  <c r="BY133" i="59"/>
  <c r="CP139" i="59"/>
  <c r="CL139" i="59"/>
  <c r="CH139" i="59"/>
  <c r="CD139" i="59"/>
  <c r="BZ139" i="59"/>
  <c r="BV139" i="59"/>
  <c r="BR139" i="59"/>
  <c r="BN139" i="59"/>
  <c r="BJ139" i="59"/>
  <c r="BF139" i="59"/>
  <c r="BB139" i="59"/>
  <c r="AX139" i="59"/>
  <c r="CN139" i="59"/>
  <c r="CI139" i="59"/>
  <c r="CC139" i="59"/>
  <c r="BX139" i="59"/>
  <c r="BS139" i="59"/>
  <c r="BM139" i="59"/>
  <c r="BH139" i="59"/>
  <c r="BC139" i="59"/>
  <c r="AW139" i="59"/>
  <c r="CQ139" i="59"/>
  <c r="CJ139" i="59"/>
  <c r="CB139" i="59"/>
  <c r="BU139" i="59"/>
  <c r="BO139" i="59"/>
  <c r="BG139" i="59"/>
  <c r="AZ139" i="59"/>
  <c r="CO139" i="59"/>
  <c r="CG139" i="59"/>
  <c r="CA139" i="59"/>
  <c r="BT139" i="59"/>
  <c r="BL139" i="59"/>
  <c r="BE139" i="59"/>
  <c r="AY139" i="59"/>
  <c r="CF139" i="59"/>
  <c r="BQ139" i="59"/>
  <c r="BD139" i="59"/>
  <c r="CE139" i="59"/>
  <c r="BP139" i="59"/>
  <c r="BA139" i="59"/>
  <c r="BW139" i="59"/>
  <c r="CN141" i="59"/>
  <c r="CJ141" i="59"/>
  <c r="CF141" i="59"/>
  <c r="CB141" i="59"/>
  <c r="BX141" i="59"/>
  <c r="BT141" i="59"/>
  <c r="BP141" i="59"/>
  <c r="BL141" i="59"/>
  <c r="BH141" i="59"/>
  <c r="BD141" i="59"/>
  <c r="AZ141" i="59"/>
  <c r="AV141" i="59"/>
  <c r="CO141" i="59"/>
  <c r="CI141" i="59"/>
  <c r="CD141" i="59"/>
  <c r="BY141" i="59"/>
  <c r="BS141" i="59"/>
  <c r="BN141" i="59"/>
  <c r="BI141" i="59"/>
  <c r="BC141" i="59"/>
  <c r="AX141" i="59"/>
  <c r="CM141" i="59"/>
  <c r="CH141" i="59"/>
  <c r="CC141" i="59"/>
  <c r="BW141" i="59"/>
  <c r="BR141" i="59"/>
  <c r="BM141" i="59"/>
  <c r="BG141" i="59"/>
  <c r="BB141" i="59"/>
  <c r="AW141" i="59"/>
  <c r="CK141" i="59"/>
  <c r="BZ141" i="59"/>
  <c r="BO141" i="59"/>
  <c r="BE141" i="59"/>
  <c r="CQ141" i="59"/>
  <c r="CG141" i="59"/>
  <c r="BV141" i="59"/>
  <c r="BK141" i="59"/>
  <c r="BA141" i="59"/>
  <c r="CE141" i="59"/>
  <c r="BJ141" i="59"/>
  <c r="CA141" i="59"/>
  <c r="BF141" i="59"/>
  <c r="CL141" i="59"/>
  <c r="CO142" i="59"/>
  <c r="CK142" i="59"/>
  <c r="CG142" i="59"/>
  <c r="CC142" i="59"/>
  <c r="BY142" i="59"/>
  <c r="BU142" i="59"/>
  <c r="BQ142" i="59"/>
  <c r="BM142" i="59"/>
  <c r="BI142" i="59"/>
  <c r="BE142" i="59"/>
  <c r="BA142" i="59"/>
  <c r="AW142" i="59"/>
  <c r="CP142" i="59"/>
  <c r="CJ142" i="59"/>
  <c r="CE142" i="59"/>
  <c r="BZ142" i="59"/>
  <c r="BT142" i="59"/>
  <c r="BO142" i="59"/>
  <c r="BJ142" i="59"/>
  <c r="BD142" i="59"/>
  <c r="AY142" i="59"/>
  <c r="CN142" i="59"/>
  <c r="CI142" i="59"/>
  <c r="CD142" i="59"/>
  <c r="BX142" i="59"/>
  <c r="BS142" i="59"/>
  <c r="BN142" i="59"/>
  <c r="BH142" i="59"/>
  <c r="BC142" i="59"/>
  <c r="AX142" i="59"/>
  <c r="CQ142" i="59"/>
  <c r="CF142" i="59"/>
  <c r="BV142" i="59"/>
  <c r="BK142" i="59"/>
  <c r="AZ142" i="59"/>
  <c r="CM142" i="59"/>
  <c r="CB142" i="59"/>
  <c r="BR142" i="59"/>
  <c r="BG142" i="59"/>
  <c r="AV142" i="59"/>
  <c r="CH142" i="59"/>
  <c r="BL142" i="59"/>
  <c r="CA142" i="59"/>
  <c r="BF142" i="59"/>
  <c r="CL142" i="59"/>
  <c r="Z96" i="59"/>
  <c r="AD96" i="59"/>
  <c r="AH96" i="59"/>
  <c r="AL96" i="59"/>
  <c r="AP96" i="59"/>
  <c r="AT96" i="59"/>
  <c r="AX96" i="59"/>
  <c r="BB96" i="59"/>
  <c r="BF96" i="59"/>
  <c r="BJ96" i="59"/>
  <c r="BN96" i="59"/>
  <c r="BR96" i="59"/>
  <c r="BV96" i="59"/>
  <c r="BZ96" i="59"/>
  <c r="CD96" i="59"/>
  <c r="CH96" i="59"/>
  <c r="CL96" i="59"/>
  <c r="CP96" i="59"/>
  <c r="Z100" i="59"/>
  <c r="AD100" i="59"/>
  <c r="AH100" i="59"/>
  <c r="AL100" i="59"/>
  <c r="AP100" i="59"/>
  <c r="AT100" i="59"/>
  <c r="AX100" i="59"/>
  <c r="BB100" i="59"/>
  <c r="BF100" i="59"/>
  <c r="BJ100" i="59"/>
  <c r="BN100" i="59"/>
  <c r="BR100" i="59"/>
  <c r="BV100" i="59"/>
  <c r="BZ100" i="59"/>
  <c r="CD100" i="59"/>
  <c r="CH100" i="59"/>
  <c r="CL100" i="59"/>
  <c r="CP100" i="59"/>
  <c r="AD103" i="59"/>
  <c r="AI103" i="59"/>
  <c r="AO103" i="59"/>
  <c r="AT103" i="59"/>
  <c r="AY103" i="59"/>
  <c r="BE103" i="59"/>
  <c r="BJ103" i="59"/>
  <c r="BO103" i="59"/>
  <c r="BU103" i="59"/>
  <c r="BZ103" i="59"/>
  <c r="CE103" i="59"/>
  <c r="CK103" i="59"/>
  <c r="AD107" i="59"/>
  <c r="AI107" i="59"/>
  <c r="AO107" i="59"/>
  <c r="AT107" i="59"/>
  <c r="AY107" i="59"/>
  <c r="BE107" i="59"/>
  <c r="BJ107" i="59"/>
  <c r="BO107" i="59"/>
  <c r="BU107" i="59"/>
  <c r="BZ107" i="59"/>
  <c r="CE107" i="59"/>
  <c r="CK107" i="59"/>
  <c r="AD110" i="59"/>
  <c r="AJ110" i="59"/>
  <c r="AR110" i="59"/>
  <c r="AZ110" i="59"/>
  <c r="BH110" i="59"/>
  <c r="BP110" i="59"/>
  <c r="BX110" i="59"/>
  <c r="CF110" i="59"/>
  <c r="CN110" i="59"/>
  <c r="AL118" i="59"/>
  <c r="BB118" i="59"/>
  <c r="BR118" i="59"/>
  <c r="CH118" i="59"/>
  <c r="AV120" i="59"/>
  <c r="BL120" i="59"/>
  <c r="AW121" i="59"/>
  <c r="BM121" i="59"/>
  <c r="AV130" i="59"/>
  <c r="BL130" i="59"/>
  <c r="CB130" i="59"/>
  <c r="CO131" i="59"/>
  <c r="CG131" i="59"/>
  <c r="BY131" i="59"/>
  <c r="BQ131" i="59"/>
  <c r="BI131" i="59"/>
  <c r="BA131" i="59"/>
  <c r="CN131" i="59"/>
  <c r="CF131" i="59"/>
  <c r="BX131" i="59"/>
  <c r="BP131" i="59"/>
  <c r="BH131" i="59"/>
  <c r="AZ131" i="59"/>
  <c r="AW131" i="59"/>
  <c r="BM131" i="59"/>
  <c r="CC131" i="59"/>
  <c r="CN133" i="59"/>
  <c r="CJ133" i="59"/>
  <c r="CF133" i="59"/>
  <c r="CB133" i="59"/>
  <c r="BX133" i="59"/>
  <c r="BT133" i="59"/>
  <c r="BP133" i="59"/>
  <c r="BL133" i="59"/>
  <c r="BH133" i="59"/>
  <c r="BD133" i="59"/>
  <c r="AZ133" i="59"/>
  <c r="AV133" i="59"/>
  <c r="CQ133" i="59"/>
  <c r="CM133" i="59"/>
  <c r="CI133" i="59"/>
  <c r="CE133" i="59"/>
  <c r="CA133" i="59"/>
  <c r="BW133" i="59"/>
  <c r="BS133" i="59"/>
  <c r="BO133" i="59"/>
  <c r="BK133" i="59"/>
  <c r="BG133" i="59"/>
  <c r="BC133" i="59"/>
  <c r="AY133" i="59"/>
  <c r="CL133" i="59"/>
  <c r="CD133" i="59"/>
  <c r="BV133" i="59"/>
  <c r="BN133" i="59"/>
  <c r="BF133" i="59"/>
  <c r="AX133" i="59"/>
  <c r="CK133" i="59"/>
  <c r="CC133" i="59"/>
  <c r="BU133" i="59"/>
  <c r="BM133" i="59"/>
  <c r="BE133" i="59"/>
  <c r="AW133" i="59"/>
  <c r="BJ133" i="59"/>
  <c r="BZ133" i="59"/>
  <c r="CP133" i="59"/>
  <c r="AV139" i="59"/>
  <c r="BY139" i="59"/>
  <c r="AY141" i="59"/>
  <c r="CP141" i="59"/>
  <c r="BB142" i="59"/>
  <c r="CM143" i="59"/>
  <c r="CB143" i="59"/>
  <c r="BQ143" i="59"/>
  <c r="BG143" i="59"/>
  <c r="AV143" i="59"/>
  <c r="CI143" i="59"/>
  <c r="BX143" i="59"/>
  <c r="BM143" i="59"/>
  <c r="BC143" i="59"/>
  <c r="CG143" i="59"/>
  <c r="BL143" i="59"/>
  <c r="CC143" i="59"/>
  <c r="BH143" i="59"/>
  <c r="BA143" i="59"/>
  <c r="CO144" i="59"/>
  <c r="CD144" i="59"/>
  <c r="BT144" i="59"/>
  <c r="BI144" i="59"/>
  <c r="AX144" i="59"/>
  <c r="CP144" i="59"/>
  <c r="BU144" i="59"/>
  <c r="AZ144" i="59"/>
  <c r="CJ144" i="59"/>
  <c r="BN144" i="59"/>
  <c r="BY144" i="59"/>
  <c r="CO153" i="59"/>
  <c r="CK153" i="59"/>
  <c r="CG153" i="59"/>
  <c r="CC153" i="59"/>
  <c r="BY153" i="59"/>
  <c r="BU153" i="59"/>
  <c r="BQ153" i="59"/>
  <c r="BM153" i="59"/>
  <c r="BI153" i="59"/>
  <c r="CN153" i="59"/>
  <c r="CL153" i="59"/>
  <c r="CF153" i="59"/>
  <c r="CA153" i="59"/>
  <c r="BV153" i="59"/>
  <c r="BP153" i="59"/>
  <c r="BK153" i="59"/>
  <c r="CQ153" i="59"/>
  <c r="CJ153" i="59"/>
  <c r="CE153" i="59"/>
  <c r="BZ153" i="59"/>
  <c r="BT153" i="59"/>
  <c r="BO153" i="59"/>
  <c r="BJ153" i="59"/>
  <c r="CH153" i="59"/>
  <c r="BW153" i="59"/>
  <c r="BL153" i="59"/>
  <c r="CP153" i="59"/>
  <c r="CD153" i="59"/>
  <c r="BS153" i="59"/>
  <c r="BH153" i="59"/>
  <c r="BX153" i="59"/>
  <c r="CM153" i="59"/>
  <c r="BR153" i="59"/>
  <c r="AA96" i="59"/>
  <c r="AE96" i="59"/>
  <c r="AI96" i="59"/>
  <c r="AM96" i="59"/>
  <c r="AQ96" i="59"/>
  <c r="AU96" i="59"/>
  <c r="AY96" i="59"/>
  <c r="BC96" i="59"/>
  <c r="BG96" i="59"/>
  <c r="BK96" i="59"/>
  <c r="BO96" i="59"/>
  <c r="BS96" i="59"/>
  <c r="BW96" i="59"/>
  <c r="CA96" i="59"/>
  <c r="CE96" i="59"/>
  <c r="CI96" i="59"/>
  <c r="CM96" i="59"/>
  <c r="AA100" i="59"/>
  <c r="AE100" i="59"/>
  <c r="AI100" i="59"/>
  <c r="AM100" i="59"/>
  <c r="AQ100" i="59"/>
  <c r="AU100" i="59"/>
  <c r="AY100" i="59"/>
  <c r="BC100" i="59"/>
  <c r="BG100" i="59"/>
  <c r="BK100" i="59"/>
  <c r="BO100" i="59"/>
  <c r="BS100" i="59"/>
  <c r="BW100" i="59"/>
  <c r="CA100" i="59"/>
  <c r="CE100" i="59"/>
  <c r="CI100" i="59"/>
  <c r="CM100" i="59"/>
  <c r="CN103" i="59"/>
  <c r="CJ103" i="59"/>
  <c r="CF103" i="59"/>
  <c r="CB103" i="59"/>
  <c r="BX103" i="59"/>
  <c r="BT103" i="59"/>
  <c r="BP103" i="59"/>
  <c r="BL103" i="59"/>
  <c r="BH103" i="59"/>
  <c r="BD103" i="59"/>
  <c r="AZ103" i="59"/>
  <c r="AV103" i="59"/>
  <c r="AR103" i="59"/>
  <c r="AN103" i="59"/>
  <c r="AJ103" i="59"/>
  <c r="AF103" i="59"/>
  <c r="AB103" i="59"/>
  <c r="AE103" i="59"/>
  <c r="AK103" i="59"/>
  <c r="AP103" i="59"/>
  <c r="AU103" i="59"/>
  <c r="BA103" i="59"/>
  <c r="BF103" i="59"/>
  <c r="BK103" i="59"/>
  <c r="BQ103" i="59"/>
  <c r="BV103" i="59"/>
  <c r="CA103" i="59"/>
  <c r="CG103" i="59"/>
  <c r="CL103" i="59"/>
  <c r="CQ103" i="59"/>
  <c r="CN107" i="59"/>
  <c r="CJ107" i="59"/>
  <c r="CF107" i="59"/>
  <c r="CB107" i="59"/>
  <c r="BX107" i="59"/>
  <c r="BT107" i="59"/>
  <c r="BP107" i="59"/>
  <c r="BL107" i="59"/>
  <c r="BH107" i="59"/>
  <c r="BD107" i="59"/>
  <c r="AZ107" i="59"/>
  <c r="AV107" i="59"/>
  <c r="AR107" i="59"/>
  <c r="AN107" i="59"/>
  <c r="AJ107" i="59"/>
  <c r="AF107" i="59"/>
  <c r="AB107" i="59"/>
  <c r="AE107" i="59"/>
  <c r="AK107" i="59"/>
  <c r="AP107" i="59"/>
  <c r="AU107" i="59"/>
  <c r="BA107" i="59"/>
  <c r="BF107" i="59"/>
  <c r="BK107" i="59"/>
  <c r="BQ107" i="59"/>
  <c r="BV107" i="59"/>
  <c r="CA107" i="59"/>
  <c r="CG107" i="59"/>
  <c r="CL107" i="59"/>
  <c r="CQ107" i="59"/>
  <c r="AE110" i="59"/>
  <c r="AM110" i="59"/>
  <c r="AU110" i="59"/>
  <c r="BC110" i="59"/>
  <c r="BK110" i="59"/>
  <c r="BS110" i="59"/>
  <c r="CA110" i="59"/>
  <c r="CI110" i="59"/>
  <c r="CQ110" i="59"/>
  <c r="AQ118" i="59"/>
  <c r="BG118" i="59"/>
  <c r="BW118" i="59"/>
  <c r="CM118" i="59"/>
  <c r="CP119" i="59"/>
  <c r="CL119" i="59"/>
  <c r="CH119" i="59"/>
  <c r="CD119" i="59"/>
  <c r="BZ119" i="59"/>
  <c r="BV119" i="59"/>
  <c r="BR119" i="59"/>
  <c r="BN119" i="59"/>
  <c r="BJ119" i="59"/>
  <c r="BF119" i="59"/>
  <c r="BB119" i="59"/>
  <c r="AX119" i="59"/>
  <c r="AT119" i="59"/>
  <c r="AP119" i="59"/>
  <c r="AL119" i="59"/>
  <c r="CO119" i="59"/>
  <c r="CK119" i="59"/>
  <c r="CG119" i="59"/>
  <c r="CC119" i="59"/>
  <c r="BY119" i="59"/>
  <c r="BU119" i="59"/>
  <c r="BQ119" i="59"/>
  <c r="BM119" i="59"/>
  <c r="BI119" i="59"/>
  <c r="BE119" i="59"/>
  <c r="BA119" i="59"/>
  <c r="AW119" i="59"/>
  <c r="AS119" i="59"/>
  <c r="AO119" i="59"/>
  <c r="AK119" i="59"/>
  <c r="CQ119" i="59"/>
  <c r="CI119" i="59"/>
  <c r="CA119" i="59"/>
  <c r="BS119" i="59"/>
  <c r="BK119" i="59"/>
  <c r="BC119" i="59"/>
  <c r="AU119" i="59"/>
  <c r="AM119" i="59"/>
  <c r="CN119" i="59"/>
  <c r="CF119" i="59"/>
  <c r="BX119" i="59"/>
  <c r="BP119" i="59"/>
  <c r="BH119" i="59"/>
  <c r="AZ119" i="59"/>
  <c r="AR119" i="59"/>
  <c r="AJ119" i="59"/>
  <c r="AY119" i="59"/>
  <c r="BO119" i="59"/>
  <c r="CE119" i="59"/>
  <c r="CQ120" i="59"/>
  <c r="CM120" i="59"/>
  <c r="CI120" i="59"/>
  <c r="CE120" i="59"/>
  <c r="CA120" i="59"/>
  <c r="BW120" i="59"/>
  <c r="BS120" i="59"/>
  <c r="BO120" i="59"/>
  <c r="BK120" i="59"/>
  <c r="BG120" i="59"/>
  <c r="BC120" i="59"/>
  <c r="AY120" i="59"/>
  <c r="AU120" i="59"/>
  <c r="AQ120" i="59"/>
  <c r="AM120" i="59"/>
  <c r="CP120" i="59"/>
  <c r="CL120" i="59"/>
  <c r="CH120" i="59"/>
  <c r="CD120" i="59"/>
  <c r="BZ120" i="59"/>
  <c r="BV120" i="59"/>
  <c r="BR120" i="59"/>
  <c r="BN120" i="59"/>
  <c r="BJ120" i="59"/>
  <c r="BF120" i="59"/>
  <c r="BB120" i="59"/>
  <c r="AX120" i="59"/>
  <c r="AT120" i="59"/>
  <c r="AP120" i="59"/>
  <c r="AL120" i="59"/>
  <c r="CO120" i="59"/>
  <c r="CG120" i="59"/>
  <c r="BY120" i="59"/>
  <c r="BQ120" i="59"/>
  <c r="BI120" i="59"/>
  <c r="BA120" i="59"/>
  <c r="AS120" i="59"/>
  <c r="AK120" i="59"/>
  <c r="CN120" i="59"/>
  <c r="CF120" i="59"/>
  <c r="BX120" i="59"/>
  <c r="BP120" i="59"/>
  <c r="BH120" i="59"/>
  <c r="AZ120" i="59"/>
  <c r="AR120" i="59"/>
  <c r="AJ120" i="59"/>
  <c r="AW120" i="59"/>
  <c r="BM120" i="59"/>
  <c r="CC120" i="59"/>
  <c r="CN121" i="59"/>
  <c r="CJ121" i="59"/>
  <c r="CF121" i="59"/>
  <c r="CB121" i="59"/>
  <c r="BX121" i="59"/>
  <c r="BT121" i="59"/>
  <c r="BP121" i="59"/>
  <c r="BL121" i="59"/>
  <c r="BH121" i="59"/>
  <c r="BD121" i="59"/>
  <c r="AZ121" i="59"/>
  <c r="AV121" i="59"/>
  <c r="AR121" i="59"/>
  <c r="AN121" i="59"/>
  <c r="AJ121" i="59"/>
  <c r="CQ121" i="59"/>
  <c r="CM121" i="59"/>
  <c r="CI121" i="59"/>
  <c r="CE121" i="59"/>
  <c r="CA121" i="59"/>
  <c r="BW121" i="59"/>
  <c r="BS121" i="59"/>
  <c r="BO121" i="59"/>
  <c r="BK121" i="59"/>
  <c r="BG121" i="59"/>
  <c r="BC121" i="59"/>
  <c r="AY121" i="59"/>
  <c r="AU121" i="59"/>
  <c r="AQ121" i="59"/>
  <c r="AM121" i="59"/>
  <c r="CP121" i="59"/>
  <c r="CH121" i="59"/>
  <c r="BZ121" i="59"/>
  <c r="BR121" i="59"/>
  <c r="BJ121" i="59"/>
  <c r="BB121" i="59"/>
  <c r="AT121" i="59"/>
  <c r="AL121" i="59"/>
  <c r="CO121" i="59"/>
  <c r="CG121" i="59"/>
  <c r="BY121" i="59"/>
  <c r="BQ121" i="59"/>
  <c r="BI121" i="59"/>
  <c r="BA121" i="59"/>
  <c r="AS121" i="59"/>
  <c r="AK121" i="59"/>
  <c r="AX121" i="59"/>
  <c r="BN121" i="59"/>
  <c r="CD121" i="59"/>
  <c r="CO122" i="59"/>
  <c r="CK122" i="59"/>
  <c r="CG122" i="59"/>
  <c r="CC122" i="59"/>
  <c r="BY122" i="59"/>
  <c r="BU122" i="59"/>
  <c r="BQ122" i="59"/>
  <c r="BM122" i="59"/>
  <c r="BI122" i="59"/>
  <c r="BE122" i="59"/>
  <c r="BA122" i="59"/>
  <c r="AW122" i="59"/>
  <c r="AS122" i="59"/>
  <c r="AO122" i="59"/>
  <c r="AK122" i="59"/>
  <c r="CN122" i="59"/>
  <c r="CJ122" i="59"/>
  <c r="CF122" i="59"/>
  <c r="CB122" i="59"/>
  <c r="BX122" i="59"/>
  <c r="BT122" i="59"/>
  <c r="BP122" i="59"/>
  <c r="BL122" i="59"/>
  <c r="BH122" i="59"/>
  <c r="BD122" i="59"/>
  <c r="AZ122" i="59"/>
  <c r="AV122" i="59"/>
  <c r="AR122" i="59"/>
  <c r="AN122" i="59"/>
  <c r="AJ122" i="59"/>
  <c r="CP122" i="59"/>
  <c r="CH122" i="59"/>
  <c r="BZ122" i="59"/>
  <c r="BR122" i="59"/>
  <c r="BJ122" i="59"/>
  <c r="BB122" i="59"/>
  <c r="AT122" i="59"/>
  <c r="AL122" i="59"/>
  <c r="CM122" i="59"/>
  <c r="CE122" i="59"/>
  <c r="BW122" i="59"/>
  <c r="BO122" i="59"/>
  <c r="BG122" i="59"/>
  <c r="AY122" i="59"/>
  <c r="AQ122" i="59"/>
  <c r="AX122" i="59"/>
  <c r="BN122" i="59"/>
  <c r="CD122" i="59"/>
  <c r="BC130" i="59"/>
  <c r="BS130" i="59"/>
  <c r="CI130" i="59"/>
  <c r="BD131" i="59"/>
  <c r="BT131" i="59"/>
  <c r="CJ131" i="59"/>
  <c r="BA133" i="59"/>
  <c r="BQ133" i="59"/>
  <c r="CG133" i="59"/>
  <c r="BI139" i="59"/>
  <c r="CK139" i="59"/>
  <c r="BQ141" i="59"/>
  <c r="BP142" i="59"/>
  <c r="BN153" i="59"/>
  <c r="AF111" i="59"/>
  <c r="AJ111" i="59"/>
  <c r="AN111" i="59"/>
  <c r="AR111" i="59"/>
  <c r="AV111" i="59"/>
  <c r="AZ111" i="59"/>
  <c r="BD111" i="59"/>
  <c r="BI111" i="59"/>
  <c r="BN111" i="59"/>
  <c r="BS111" i="59"/>
  <c r="BY111" i="59"/>
  <c r="CD111" i="59"/>
  <c r="CI111" i="59"/>
  <c r="AM112" i="59"/>
  <c r="AR112" i="59"/>
  <c r="AY112" i="59"/>
  <c r="BG112" i="59"/>
  <c r="BO112" i="59"/>
  <c r="BW112" i="59"/>
  <c r="CE112" i="59"/>
  <c r="AN113" i="59"/>
  <c r="AV113" i="59"/>
  <c r="BD113" i="59"/>
  <c r="BL113" i="59"/>
  <c r="BT113" i="59"/>
  <c r="CB113" i="59"/>
  <c r="AN116" i="59"/>
  <c r="AV116" i="59"/>
  <c r="BD116" i="59"/>
  <c r="BL116" i="59"/>
  <c r="BT116" i="59"/>
  <c r="CB116" i="59"/>
  <c r="AO117" i="59"/>
  <c r="AW117" i="59"/>
  <c r="BE117" i="59"/>
  <c r="BM117" i="59"/>
  <c r="BU117" i="59"/>
  <c r="CC117" i="59"/>
  <c r="AN123" i="59"/>
  <c r="AV123" i="59"/>
  <c r="BD123" i="59"/>
  <c r="BL123" i="59"/>
  <c r="BT123" i="59"/>
  <c r="CB123" i="59"/>
  <c r="AK124" i="59"/>
  <c r="AS124" i="59"/>
  <c r="BA124" i="59"/>
  <c r="BI124" i="59"/>
  <c r="BQ124" i="59"/>
  <c r="BY124" i="59"/>
  <c r="CG124" i="59"/>
  <c r="CL140" i="59"/>
  <c r="CG140" i="59"/>
  <c r="CB140" i="59"/>
  <c r="BV140" i="59"/>
  <c r="BQ140" i="59"/>
  <c r="BL140" i="59"/>
  <c r="BF140" i="59"/>
  <c r="CJ140" i="59"/>
  <c r="BY140" i="59"/>
  <c r="BN140" i="59"/>
  <c r="BD140" i="59"/>
  <c r="AW140" i="59"/>
  <c r="CH140" i="59"/>
  <c r="BX140" i="59"/>
  <c r="BM140" i="59"/>
  <c r="BB140" i="59"/>
  <c r="AV140" i="59"/>
  <c r="BH140" i="59"/>
  <c r="CC140" i="59"/>
  <c r="CN151" i="59"/>
  <c r="CJ151" i="59"/>
  <c r="CF151" i="59"/>
  <c r="CB151" i="59"/>
  <c r="BX151" i="59"/>
  <c r="BT151" i="59"/>
  <c r="BP151" i="59"/>
  <c r="BL151" i="59"/>
  <c r="BH151" i="59"/>
  <c r="CO151" i="59"/>
  <c r="CI151" i="59"/>
  <c r="CD151" i="59"/>
  <c r="BY151" i="59"/>
  <c r="BS151" i="59"/>
  <c r="BN151" i="59"/>
  <c r="BI151" i="59"/>
  <c r="CM151" i="59"/>
  <c r="CH151" i="59"/>
  <c r="CC151" i="59"/>
  <c r="BW151" i="59"/>
  <c r="BR151" i="59"/>
  <c r="BM151" i="59"/>
  <c r="CK151" i="59"/>
  <c r="BZ151" i="59"/>
  <c r="BO151" i="59"/>
  <c r="CQ151" i="59"/>
  <c r="CG151" i="59"/>
  <c r="BV151" i="59"/>
  <c r="BK151" i="59"/>
  <c r="CA151" i="59"/>
  <c r="CN157" i="59"/>
  <c r="CJ157" i="59"/>
  <c r="CF157" i="59"/>
  <c r="CB157" i="59"/>
  <c r="BX157" i="59"/>
  <c r="BT157" i="59"/>
  <c r="BP157" i="59"/>
  <c r="BL157" i="59"/>
  <c r="BH157" i="59"/>
  <c r="CP157" i="59"/>
  <c r="CK157" i="59"/>
  <c r="CE157" i="59"/>
  <c r="BZ157" i="59"/>
  <c r="BU157" i="59"/>
  <c r="BO157" i="59"/>
  <c r="BJ157" i="59"/>
  <c r="CO157" i="59"/>
  <c r="CI157" i="59"/>
  <c r="CD157" i="59"/>
  <c r="BY157" i="59"/>
  <c r="BS157" i="59"/>
  <c r="BN157" i="59"/>
  <c r="BI157" i="59"/>
  <c r="CM157" i="59"/>
  <c r="CH157" i="59"/>
  <c r="CC157" i="59"/>
  <c r="BW157" i="59"/>
  <c r="BR157" i="59"/>
  <c r="BM157" i="59"/>
  <c r="CQ157" i="59"/>
  <c r="BV157" i="59"/>
  <c r="CL157" i="59"/>
  <c r="BQ157" i="59"/>
  <c r="CA157" i="59"/>
  <c r="BK157" i="59"/>
  <c r="CN164" i="59"/>
  <c r="CJ164" i="59"/>
  <c r="CF164" i="59"/>
  <c r="CB164" i="59"/>
  <c r="BX164" i="59"/>
  <c r="BT164" i="59"/>
  <c r="BP164" i="59"/>
  <c r="BL164" i="59"/>
  <c r="BH164" i="59"/>
  <c r="CO164" i="59"/>
  <c r="CI164" i="59"/>
  <c r="CD164" i="59"/>
  <c r="BY164" i="59"/>
  <c r="BS164" i="59"/>
  <c r="BN164" i="59"/>
  <c r="BI164" i="59"/>
  <c r="CM164" i="59"/>
  <c r="CG164" i="59"/>
  <c r="BZ164" i="59"/>
  <c r="BR164" i="59"/>
  <c r="BK164" i="59"/>
  <c r="CL164" i="59"/>
  <c r="CE164" i="59"/>
  <c r="BW164" i="59"/>
  <c r="BQ164" i="59"/>
  <c r="BJ164" i="59"/>
  <c r="CQ164" i="59"/>
  <c r="CK164" i="59"/>
  <c r="CC164" i="59"/>
  <c r="BV164" i="59"/>
  <c r="BO164" i="59"/>
  <c r="CA164" i="59"/>
  <c r="BU164" i="59"/>
  <c r="CP164" i="59"/>
  <c r="CH164" i="59"/>
  <c r="CN111" i="59"/>
  <c r="CJ111" i="59"/>
  <c r="CF111" i="59"/>
  <c r="CB111" i="59"/>
  <c r="BX111" i="59"/>
  <c r="BT111" i="59"/>
  <c r="BP111" i="59"/>
  <c r="BL111" i="59"/>
  <c r="BH111" i="59"/>
  <c r="AG111" i="59"/>
  <c r="AK111" i="59"/>
  <c r="AO111" i="59"/>
  <c r="AS111" i="59"/>
  <c r="AW111" i="59"/>
  <c r="BA111" i="59"/>
  <c r="BE111" i="59"/>
  <c r="BJ111" i="59"/>
  <c r="BO111" i="59"/>
  <c r="BU111" i="59"/>
  <c r="BZ111" i="59"/>
  <c r="CE111" i="59"/>
  <c r="CK111" i="59"/>
  <c r="CP111" i="59"/>
  <c r="CO112" i="59"/>
  <c r="CK112" i="59"/>
  <c r="CG112" i="59"/>
  <c r="CC112" i="59"/>
  <c r="BY112" i="59"/>
  <c r="BU112" i="59"/>
  <c r="BQ112" i="59"/>
  <c r="BM112" i="59"/>
  <c r="BI112" i="59"/>
  <c r="BE112" i="59"/>
  <c r="BA112" i="59"/>
  <c r="AW112" i="59"/>
  <c r="AS112" i="59"/>
  <c r="AO112" i="59"/>
  <c r="AK112" i="59"/>
  <c r="CN112" i="59"/>
  <c r="CJ112" i="59"/>
  <c r="CF112" i="59"/>
  <c r="CB112" i="59"/>
  <c r="BX112" i="59"/>
  <c r="BT112" i="59"/>
  <c r="BP112" i="59"/>
  <c r="BL112" i="59"/>
  <c r="BH112" i="59"/>
  <c r="BD112" i="59"/>
  <c r="AZ112" i="59"/>
  <c r="AV112" i="59"/>
  <c r="AN112" i="59"/>
  <c r="AT112" i="59"/>
  <c r="BB112" i="59"/>
  <c r="BJ112" i="59"/>
  <c r="BR112" i="59"/>
  <c r="BZ112" i="59"/>
  <c r="CH112" i="59"/>
  <c r="CP112" i="59"/>
  <c r="CP113" i="59"/>
  <c r="CL113" i="59"/>
  <c r="CH113" i="59"/>
  <c r="CD113" i="59"/>
  <c r="BZ113" i="59"/>
  <c r="BV113" i="59"/>
  <c r="BR113" i="59"/>
  <c r="BN113" i="59"/>
  <c r="BJ113" i="59"/>
  <c r="BF113" i="59"/>
  <c r="BB113" i="59"/>
  <c r="AX113" i="59"/>
  <c r="AT113" i="59"/>
  <c r="AP113" i="59"/>
  <c r="AL113" i="59"/>
  <c r="CO113" i="59"/>
  <c r="CK113" i="59"/>
  <c r="CG113" i="59"/>
  <c r="CC113" i="59"/>
  <c r="BY113" i="59"/>
  <c r="BU113" i="59"/>
  <c r="BQ113" i="59"/>
  <c r="BM113" i="59"/>
  <c r="BI113" i="59"/>
  <c r="BE113" i="59"/>
  <c r="BA113" i="59"/>
  <c r="AW113" i="59"/>
  <c r="AS113" i="59"/>
  <c r="AO113" i="59"/>
  <c r="AK113" i="59"/>
  <c r="AQ113" i="59"/>
  <c r="AY113" i="59"/>
  <c r="BG113" i="59"/>
  <c r="BO113" i="59"/>
  <c r="BW113" i="59"/>
  <c r="CE113" i="59"/>
  <c r="CM113" i="59"/>
  <c r="CQ116" i="59"/>
  <c r="CM116" i="59"/>
  <c r="CI116" i="59"/>
  <c r="CE116" i="59"/>
  <c r="CA116" i="59"/>
  <c r="BW116" i="59"/>
  <c r="BS116" i="59"/>
  <c r="BO116" i="59"/>
  <c r="BK116" i="59"/>
  <c r="BG116" i="59"/>
  <c r="BC116" i="59"/>
  <c r="AY116" i="59"/>
  <c r="AU116" i="59"/>
  <c r="AQ116" i="59"/>
  <c r="AM116" i="59"/>
  <c r="CP116" i="59"/>
  <c r="CL116" i="59"/>
  <c r="CH116" i="59"/>
  <c r="CD116" i="59"/>
  <c r="BZ116" i="59"/>
  <c r="BV116" i="59"/>
  <c r="BR116" i="59"/>
  <c r="BN116" i="59"/>
  <c r="BJ116" i="59"/>
  <c r="BF116" i="59"/>
  <c r="BB116" i="59"/>
  <c r="AX116" i="59"/>
  <c r="AT116" i="59"/>
  <c r="AP116" i="59"/>
  <c r="AL116" i="59"/>
  <c r="AO116" i="59"/>
  <c r="AW116" i="59"/>
  <c r="BE116" i="59"/>
  <c r="BM116" i="59"/>
  <c r="BU116" i="59"/>
  <c r="CC116" i="59"/>
  <c r="CK116" i="59"/>
  <c r="CN117" i="59"/>
  <c r="CJ117" i="59"/>
  <c r="CF117" i="59"/>
  <c r="CB117" i="59"/>
  <c r="BX117" i="59"/>
  <c r="BT117" i="59"/>
  <c r="BP117" i="59"/>
  <c r="BL117" i="59"/>
  <c r="BH117" i="59"/>
  <c r="BD117" i="59"/>
  <c r="AZ117" i="59"/>
  <c r="AV117" i="59"/>
  <c r="AR117" i="59"/>
  <c r="AN117" i="59"/>
  <c r="AJ117" i="59"/>
  <c r="CQ117" i="59"/>
  <c r="CM117" i="59"/>
  <c r="CI117" i="59"/>
  <c r="CE117" i="59"/>
  <c r="CA117" i="59"/>
  <c r="BW117" i="59"/>
  <c r="BS117" i="59"/>
  <c r="BO117" i="59"/>
  <c r="BK117" i="59"/>
  <c r="BG117" i="59"/>
  <c r="BC117" i="59"/>
  <c r="AY117" i="59"/>
  <c r="AU117" i="59"/>
  <c r="AQ117" i="59"/>
  <c r="AM117" i="59"/>
  <c r="AP117" i="59"/>
  <c r="AX117" i="59"/>
  <c r="BF117" i="59"/>
  <c r="BN117" i="59"/>
  <c r="BV117" i="59"/>
  <c r="CD117" i="59"/>
  <c r="CL117" i="59"/>
  <c r="CP123" i="59"/>
  <c r="CL123" i="59"/>
  <c r="CH123" i="59"/>
  <c r="CD123" i="59"/>
  <c r="BZ123" i="59"/>
  <c r="BV123" i="59"/>
  <c r="BR123" i="59"/>
  <c r="BN123" i="59"/>
  <c r="BJ123" i="59"/>
  <c r="BF123" i="59"/>
  <c r="BB123" i="59"/>
  <c r="AX123" i="59"/>
  <c r="AT123" i="59"/>
  <c r="AP123" i="59"/>
  <c r="AL123" i="59"/>
  <c r="CO123" i="59"/>
  <c r="CK123" i="59"/>
  <c r="CG123" i="59"/>
  <c r="CC123" i="59"/>
  <c r="BY123" i="59"/>
  <c r="BU123" i="59"/>
  <c r="BQ123" i="59"/>
  <c r="BM123" i="59"/>
  <c r="BI123" i="59"/>
  <c r="BE123" i="59"/>
  <c r="BA123" i="59"/>
  <c r="AW123" i="59"/>
  <c r="AS123" i="59"/>
  <c r="AO123" i="59"/>
  <c r="AK123" i="59"/>
  <c r="AQ123" i="59"/>
  <c r="AY123" i="59"/>
  <c r="BG123" i="59"/>
  <c r="BO123" i="59"/>
  <c r="BW123" i="59"/>
  <c r="CE123" i="59"/>
  <c r="CM123" i="59"/>
  <c r="CQ131" i="59"/>
  <c r="BM164" i="59"/>
  <c r="AL124" i="59"/>
  <c r="AP124" i="59"/>
  <c r="AT124" i="59"/>
  <c r="AX124" i="59"/>
  <c r="BB124" i="59"/>
  <c r="BF124" i="59"/>
  <c r="BJ124" i="59"/>
  <c r="BN124" i="59"/>
  <c r="BR124" i="59"/>
  <c r="BV124" i="59"/>
  <c r="BZ124" i="59"/>
  <c r="CD124" i="59"/>
  <c r="CH124" i="59"/>
  <c r="CL124" i="59"/>
  <c r="CP124" i="59"/>
  <c r="AX131" i="59"/>
  <c r="BB131" i="59"/>
  <c r="BF131" i="59"/>
  <c r="BJ131" i="59"/>
  <c r="BN131" i="59"/>
  <c r="BR131" i="59"/>
  <c r="BV131" i="59"/>
  <c r="BZ131" i="59"/>
  <c r="CD131" i="59"/>
  <c r="CH131" i="59"/>
  <c r="CL131" i="59"/>
  <c r="CP131" i="59"/>
  <c r="AX138" i="59"/>
  <c r="BD138" i="59"/>
  <c r="BJ138" i="59"/>
  <c r="BP138" i="59"/>
  <c r="BX138" i="59"/>
  <c r="CE138" i="59"/>
  <c r="CO143" i="59"/>
  <c r="CQ144" i="59"/>
  <c r="CM144" i="59"/>
  <c r="CI144" i="59"/>
  <c r="CE144" i="59"/>
  <c r="CA144" i="59"/>
  <c r="BW144" i="59"/>
  <c r="BS144" i="59"/>
  <c r="BO144" i="59"/>
  <c r="BK144" i="59"/>
  <c r="BG144" i="59"/>
  <c r="BC144" i="59"/>
  <c r="AY144" i="59"/>
  <c r="CN144" i="59"/>
  <c r="CH144" i="59"/>
  <c r="CC144" i="59"/>
  <c r="BX144" i="59"/>
  <c r="BR144" i="59"/>
  <c r="BM144" i="59"/>
  <c r="BH144" i="59"/>
  <c r="BB144" i="59"/>
  <c r="AW144" i="59"/>
  <c r="CL144" i="59"/>
  <c r="CG144" i="59"/>
  <c r="CB144" i="59"/>
  <c r="BV144" i="59"/>
  <c r="BQ144" i="59"/>
  <c r="BL144" i="59"/>
  <c r="BF144" i="59"/>
  <c r="BA144" i="59"/>
  <c r="AV144" i="59"/>
  <c r="BE144" i="59"/>
  <c r="BP144" i="59"/>
  <c r="BZ144" i="59"/>
  <c r="CK144" i="59"/>
  <c r="BB145" i="59"/>
  <c r="BM145" i="59"/>
  <c r="BW145" i="59"/>
  <c r="AW147" i="59"/>
  <c r="BH147" i="59"/>
  <c r="BS147" i="59"/>
  <c r="CC147" i="59"/>
  <c r="BX156" i="59"/>
  <c r="BI156" i="59"/>
  <c r="CC156" i="59"/>
  <c r="CO165" i="59"/>
  <c r="CK165" i="59"/>
  <c r="CG165" i="59"/>
  <c r="CC165" i="59"/>
  <c r="BY165" i="59"/>
  <c r="BU165" i="59"/>
  <c r="BQ165" i="59"/>
  <c r="BM165" i="59"/>
  <c r="BI165" i="59"/>
  <c r="CQ165" i="59"/>
  <c r="CL165" i="59"/>
  <c r="CF165" i="59"/>
  <c r="CA165" i="59"/>
  <c r="BV165" i="59"/>
  <c r="BP165" i="59"/>
  <c r="BK165" i="59"/>
  <c r="CN165" i="59"/>
  <c r="CH165" i="59"/>
  <c r="BZ165" i="59"/>
  <c r="BS165" i="59"/>
  <c r="BL165" i="59"/>
  <c r="CM165" i="59"/>
  <c r="CE165" i="59"/>
  <c r="BX165" i="59"/>
  <c r="BR165" i="59"/>
  <c r="BJ165" i="59"/>
  <c r="CJ165" i="59"/>
  <c r="CD165" i="59"/>
  <c r="BW165" i="59"/>
  <c r="BO165" i="59"/>
  <c r="BH165" i="59"/>
  <c r="CB165" i="59"/>
  <c r="BT165" i="59"/>
  <c r="AM124" i="59"/>
  <c r="AQ124" i="59"/>
  <c r="AU124" i="59"/>
  <c r="AY124" i="59"/>
  <c r="BC124" i="59"/>
  <c r="BG124" i="59"/>
  <c r="BK124" i="59"/>
  <c r="BO124" i="59"/>
  <c r="BS124" i="59"/>
  <c r="BW124" i="59"/>
  <c r="CA124" i="59"/>
  <c r="CE124" i="59"/>
  <c r="CI124" i="59"/>
  <c r="CM124" i="59"/>
  <c r="AY131" i="59"/>
  <c r="BC131" i="59"/>
  <c r="BG131" i="59"/>
  <c r="BK131" i="59"/>
  <c r="BO131" i="59"/>
  <c r="BS131" i="59"/>
  <c r="BW131" i="59"/>
  <c r="CA131" i="59"/>
  <c r="CE131" i="59"/>
  <c r="CI131" i="59"/>
  <c r="CM131" i="59"/>
  <c r="CO138" i="59"/>
  <c r="CK138" i="59"/>
  <c r="CG138" i="59"/>
  <c r="CC138" i="59"/>
  <c r="BY138" i="59"/>
  <c r="BU138" i="59"/>
  <c r="BQ138" i="59"/>
  <c r="BM138" i="59"/>
  <c r="BI138" i="59"/>
  <c r="CM138" i="59"/>
  <c r="CH138" i="59"/>
  <c r="CB138" i="59"/>
  <c r="BW138" i="59"/>
  <c r="BR138" i="59"/>
  <c r="BL138" i="59"/>
  <c r="BG138" i="59"/>
  <c r="BC138" i="59"/>
  <c r="AY138" i="59"/>
  <c r="AZ138" i="59"/>
  <c r="BE138" i="59"/>
  <c r="BK138" i="59"/>
  <c r="BS138" i="59"/>
  <c r="BZ138" i="59"/>
  <c r="CF138" i="59"/>
  <c r="CN138" i="59"/>
  <c r="CN145" i="59"/>
  <c r="CJ145" i="59"/>
  <c r="CF145" i="59"/>
  <c r="CB145" i="59"/>
  <c r="BX145" i="59"/>
  <c r="BT145" i="59"/>
  <c r="BP145" i="59"/>
  <c r="BL145" i="59"/>
  <c r="BH145" i="59"/>
  <c r="BD145" i="59"/>
  <c r="AZ145" i="59"/>
  <c r="AV145" i="59"/>
  <c r="CP145" i="59"/>
  <c r="CK145" i="59"/>
  <c r="CE145" i="59"/>
  <c r="BZ145" i="59"/>
  <c r="BU145" i="59"/>
  <c r="BO145" i="59"/>
  <c r="BJ145" i="59"/>
  <c r="BE145" i="59"/>
  <c r="AY145" i="59"/>
  <c r="CO145" i="59"/>
  <c r="CI145" i="59"/>
  <c r="CD145" i="59"/>
  <c r="BY145" i="59"/>
  <c r="BS145" i="59"/>
  <c r="BN145" i="59"/>
  <c r="BI145" i="59"/>
  <c r="BC145" i="59"/>
  <c r="AX145" i="59"/>
  <c r="BF145" i="59"/>
  <c r="BQ145" i="59"/>
  <c r="CA145" i="59"/>
  <c r="CL145" i="59"/>
  <c r="CM147" i="59"/>
  <c r="CG147" i="59"/>
  <c r="CB147" i="59"/>
  <c r="BW147" i="59"/>
  <c r="BQ147" i="59"/>
  <c r="BL147" i="59"/>
  <c r="BG147" i="59"/>
  <c r="BA147" i="59"/>
  <c r="AV147" i="59"/>
  <c r="AY147" i="59"/>
  <c r="BI147" i="59"/>
  <c r="BT147" i="59"/>
  <c r="CE147" i="59"/>
  <c r="CO147" i="59"/>
  <c r="CQ163" i="59"/>
  <c r="CP163" i="59"/>
  <c r="CL163" i="59"/>
  <c r="CH163" i="59"/>
  <c r="CD163" i="59"/>
  <c r="BZ163" i="59"/>
  <c r="BV163" i="59"/>
  <c r="BR163" i="59"/>
  <c r="BN163" i="59"/>
  <c r="BJ163" i="59"/>
  <c r="CK163" i="59"/>
  <c r="CF163" i="59"/>
  <c r="CA163" i="59"/>
  <c r="BU163" i="59"/>
  <c r="BP163" i="59"/>
  <c r="BK163" i="59"/>
  <c r="CO163" i="59"/>
  <c r="CJ163" i="59"/>
  <c r="CE163" i="59"/>
  <c r="BY163" i="59"/>
  <c r="BT163" i="59"/>
  <c r="BO163" i="59"/>
  <c r="BI163" i="59"/>
  <c r="CN163" i="59"/>
  <c r="CI163" i="59"/>
  <c r="CC163" i="59"/>
  <c r="BX163" i="59"/>
  <c r="BS163" i="59"/>
  <c r="BM163" i="59"/>
  <c r="BH163" i="59"/>
  <c r="BW163" i="59"/>
  <c r="CM163" i="59"/>
  <c r="BQ163" i="59"/>
  <c r="CQ140" i="59"/>
  <c r="CM140" i="59"/>
  <c r="CI140" i="59"/>
  <c r="CE140" i="59"/>
  <c r="CA140" i="59"/>
  <c r="BW140" i="59"/>
  <c r="BS140" i="59"/>
  <c r="BO140" i="59"/>
  <c r="BK140" i="59"/>
  <c r="BG140" i="59"/>
  <c r="BC140" i="59"/>
  <c r="AY140" i="59"/>
  <c r="AZ140" i="59"/>
  <c r="BE140" i="59"/>
  <c r="BJ140" i="59"/>
  <c r="BP140" i="59"/>
  <c r="BU140" i="59"/>
  <c r="BZ140" i="59"/>
  <c r="CF140" i="59"/>
  <c r="CK140" i="59"/>
  <c r="CP140" i="59"/>
  <c r="AY143" i="59"/>
  <c r="BD143" i="59"/>
  <c r="BI143" i="59"/>
  <c r="BO143" i="59"/>
  <c r="BT143" i="59"/>
  <c r="BY143" i="59"/>
  <c r="CE143" i="59"/>
  <c r="CJ143" i="59"/>
  <c r="AY146" i="59"/>
  <c r="BD146" i="59"/>
  <c r="BJ146" i="59"/>
  <c r="BO146" i="59"/>
  <c r="BT146" i="59"/>
  <c r="BZ146" i="59"/>
  <c r="CE146" i="59"/>
  <c r="CJ146" i="59"/>
  <c r="CP147" i="59"/>
  <c r="CL147" i="59"/>
  <c r="CH147" i="59"/>
  <c r="CD147" i="59"/>
  <c r="BZ147" i="59"/>
  <c r="BV147" i="59"/>
  <c r="BR147" i="59"/>
  <c r="BN147" i="59"/>
  <c r="BJ147" i="59"/>
  <c r="BF147" i="59"/>
  <c r="BB147" i="59"/>
  <c r="AX147" i="59"/>
  <c r="AZ147" i="59"/>
  <c r="BE147" i="59"/>
  <c r="BK147" i="59"/>
  <c r="BP147" i="59"/>
  <c r="BU147" i="59"/>
  <c r="CA147" i="59"/>
  <c r="CF147" i="59"/>
  <c r="CK147" i="59"/>
  <c r="CQ147" i="59"/>
  <c r="CQ156" i="59"/>
  <c r="CM156" i="59"/>
  <c r="CI156" i="59"/>
  <c r="CE156" i="59"/>
  <c r="CA156" i="59"/>
  <c r="BW156" i="59"/>
  <c r="BS156" i="59"/>
  <c r="BO156" i="59"/>
  <c r="CL156" i="59"/>
  <c r="CG156" i="59"/>
  <c r="CB156" i="59"/>
  <c r="BV156" i="59"/>
  <c r="BQ156" i="59"/>
  <c r="BL156" i="59"/>
  <c r="BH156" i="59"/>
  <c r="CP156" i="59"/>
  <c r="CK156" i="59"/>
  <c r="CF156" i="59"/>
  <c r="BZ156" i="59"/>
  <c r="BU156" i="59"/>
  <c r="BP156" i="59"/>
  <c r="BK156" i="59"/>
  <c r="CO156" i="59"/>
  <c r="CJ156" i="59"/>
  <c r="CD156" i="59"/>
  <c r="BY156" i="59"/>
  <c r="BT156" i="59"/>
  <c r="BN156" i="59"/>
  <c r="BR156" i="59"/>
  <c r="CN156" i="59"/>
  <c r="CN161" i="59"/>
  <c r="CJ161" i="59"/>
  <c r="CF161" i="59"/>
  <c r="CB161" i="59"/>
  <c r="BX161" i="59"/>
  <c r="BT161" i="59"/>
  <c r="BP161" i="59"/>
  <c r="BL161" i="59"/>
  <c r="BH161" i="59"/>
  <c r="CQ161" i="59"/>
  <c r="CL161" i="59"/>
  <c r="CG161" i="59"/>
  <c r="CA161" i="59"/>
  <c r="BV161" i="59"/>
  <c r="BQ161" i="59"/>
  <c r="BK161" i="59"/>
  <c r="CP161" i="59"/>
  <c r="CK161" i="59"/>
  <c r="CE161" i="59"/>
  <c r="BZ161" i="59"/>
  <c r="BU161" i="59"/>
  <c r="BO161" i="59"/>
  <c r="BJ161" i="59"/>
  <c r="CO161" i="59"/>
  <c r="CI161" i="59"/>
  <c r="CD161" i="59"/>
  <c r="BY161" i="59"/>
  <c r="BS161" i="59"/>
  <c r="BN161" i="59"/>
  <c r="BI161" i="59"/>
  <c r="CC161" i="59"/>
  <c r="CO162" i="59"/>
  <c r="CK162" i="59"/>
  <c r="CG162" i="59"/>
  <c r="CC162" i="59"/>
  <c r="BY162" i="59"/>
  <c r="BU162" i="59"/>
  <c r="BQ162" i="59"/>
  <c r="BM162" i="59"/>
  <c r="BI162" i="59"/>
  <c r="CN162" i="59"/>
  <c r="CI162" i="59"/>
  <c r="CD162" i="59"/>
  <c r="BX162" i="59"/>
  <c r="BS162" i="59"/>
  <c r="BN162" i="59"/>
  <c r="BH162" i="59"/>
  <c r="CM162" i="59"/>
  <c r="CH162" i="59"/>
  <c r="CB162" i="59"/>
  <c r="BW162" i="59"/>
  <c r="BR162" i="59"/>
  <c r="BL162" i="59"/>
  <c r="CQ162" i="59"/>
  <c r="CL162" i="59"/>
  <c r="CF162" i="59"/>
  <c r="CA162" i="59"/>
  <c r="BV162" i="59"/>
  <c r="BP162" i="59"/>
  <c r="BK162" i="59"/>
  <c r="BZ162" i="59"/>
  <c r="CK167" i="59"/>
  <c r="CD167" i="59"/>
  <c r="BX167" i="59"/>
  <c r="BP167" i="59"/>
  <c r="BI167" i="59"/>
  <c r="CP167" i="59"/>
  <c r="CJ167" i="59"/>
  <c r="CC167" i="59"/>
  <c r="BU167" i="59"/>
  <c r="BN167" i="59"/>
  <c r="BH167" i="59"/>
  <c r="CO167" i="59"/>
  <c r="CH167" i="59"/>
  <c r="BZ167" i="59"/>
  <c r="BT167" i="59"/>
  <c r="BM167" i="59"/>
  <c r="BY167" i="59"/>
  <c r="CN168" i="59"/>
  <c r="CJ168" i="59"/>
  <c r="CF168" i="59"/>
  <c r="CB168" i="59"/>
  <c r="BX168" i="59"/>
  <c r="BT168" i="59"/>
  <c r="BP168" i="59"/>
  <c r="BL168" i="59"/>
  <c r="BH168" i="59"/>
  <c r="CP168" i="59"/>
  <c r="CK168" i="59"/>
  <c r="CE168" i="59"/>
  <c r="BZ168" i="59"/>
  <c r="BU168" i="59"/>
  <c r="BO168" i="59"/>
  <c r="BJ168" i="59"/>
  <c r="CM168" i="59"/>
  <c r="CG168" i="59"/>
  <c r="BY168" i="59"/>
  <c r="BR168" i="59"/>
  <c r="BK168" i="59"/>
  <c r="CL168" i="59"/>
  <c r="CD168" i="59"/>
  <c r="BW168" i="59"/>
  <c r="BQ168" i="59"/>
  <c r="BI168" i="59"/>
  <c r="CQ168" i="59"/>
  <c r="CI168" i="59"/>
  <c r="CC168" i="59"/>
  <c r="BV168" i="59"/>
  <c r="BN168" i="59"/>
  <c r="CH168" i="59"/>
  <c r="CP143" i="59"/>
  <c r="CL143" i="59"/>
  <c r="CH143" i="59"/>
  <c r="CD143" i="59"/>
  <c r="BZ143" i="59"/>
  <c r="BV143" i="59"/>
  <c r="BR143" i="59"/>
  <c r="BN143" i="59"/>
  <c r="BJ143" i="59"/>
  <c r="BF143" i="59"/>
  <c r="BB143" i="59"/>
  <c r="AX143" i="59"/>
  <c r="AZ143" i="59"/>
  <c r="BE143" i="59"/>
  <c r="BK143" i="59"/>
  <c r="BP143" i="59"/>
  <c r="BU143" i="59"/>
  <c r="CA143" i="59"/>
  <c r="CF143" i="59"/>
  <c r="CK143" i="59"/>
  <c r="CQ143" i="59"/>
  <c r="CO146" i="59"/>
  <c r="CK146" i="59"/>
  <c r="CG146" i="59"/>
  <c r="CC146" i="59"/>
  <c r="BY146" i="59"/>
  <c r="BU146" i="59"/>
  <c r="BQ146" i="59"/>
  <c r="BM146" i="59"/>
  <c r="BI146" i="59"/>
  <c r="BE146" i="59"/>
  <c r="BA146" i="59"/>
  <c r="AW146" i="59"/>
  <c r="AZ146" i="59"/>
  <c r="BF146" i="59"/>
  <c r="BK146" i="59"/>
  <c r="BP146" i="59"/>
  <c r="BV146" i="59"/>
  <c r="CA146" i="59"/>
  <c r="CF146" i="59"/>
  <c r="CL146" i="59"/>
  <c r="CQ146" i="59"/>
  <c r="CP159" i="59"/>
  <c r="CL159" i="59"/>
  <c r="CH159" i="59"/>
  <c r="CD159" i="59"/>
  <c r="BZ159" i="59"/>
  <c r="BV159" i="59"/>
  <c r="BR159" i="59"/>
  <c r="BN159" i="59"/>
  <c r="BJ159" i="59"/>
  <c r="BL159" i="59"/>
  <c r="BQ159" i="59"/>
  <c r="BW159" i="59"/>
  <c r="CB159" i="59"/>
  <c r="CG159" i="59"/>
  <c r="CM159" i="59"/>
  <c r="BJ160" i="59"/>
  <c r="BP160" i="59"/>
  <c r="BU160" i="59"/>
  <c r="BZ160" i="59"/>
  <c r="CF160" i="59"/>
  <c r="CK160" i="59"/>
  <c r="CP160" i="59"/>
  <c r="BK166" i="59"/>
  <c r="BQ166" i="59"/>
  <c r="BY166" i="59"/>
  <c r="CF166" i="59"/>
  <c r="BZ178" i="59"/>
  <c r="CK178" i="59"/>
  <c r="CN179" i="59"/>
  <c r="CJ179" i="59"/>
  <c r="CF179" i="59"/>
  <c r="CB179" i="59"/>
  <c r="BX179" i="59"/>
  <c r="BT179" i="59"/>
  <c r="CO179" i="59"/>
  <c r="CI179" i="59"/>
  <c r="CD179" i="59"/>
  <c r="BY179" i="59"/>
  <c r="CM179" i="59"/>
  <c r="CH179" i="59"/>
  <c r="CC179" i="59"/>
  <c r="BW179" i="59"/>
  <c r="CA179" i="59"/>
  <c r="CL179" i="59"/>
  <c r="BK158" i="59"/>
  <c r="BP158" i="59"/>
  <c r="BV158" i="59"/>
  <c r="CA158" i="59"/>
  <c r="CF158" i="59"/>
  <c r="CL158" i="59"/>
  <c r="BH159" i="59"/>
  <c r="BM159" i="59"/>
  <c r="BS159" i="59"/>
  <c r="BX159" i="59"/>
  <c r="CC159" i="59"/>
  <c r="CI159" i="59"/>
  <c r="CN159" i="59"/>
  <c r="CQ160" i="59"/>
  <c r="CM160" i="59"/>
  <c r="CI160" i="59"/>
  <c r="CE160" i="59"/>
  <c r="CA160" i="59"/>
  <c r="BW160" i="59"/>
  <c r="BS160" i="59"/>
  <c r="BO160" i="59"/>
  <c r="BK160" i="59"/>
  <c r="BL160" i="59"/>
  <c r="BQ160" i="59"/>
  <c r="BV160" i="59"/>
  <c r="CB160" i="59"/>
  <c r="CG160" i="59"/>
  <c r="CL160" i="59"/>
  <c r="BL166" i="59"/>
  <c r="BT166" i="59"/>
  <c r="CA166" i="59"/>
  <c r="CG166" i="59"/>
  <c r="BK169" i="59"/>
  <c r="BT169" i="59"/>
  <c r="CE169" i="59"/>
  <c r="CB173" i="59"/>
  <c r="CB178" i="59"/>
  <c r="CL178" i="59"/>
  <c r="BU179" i="59"/>
  <c r="CE179" i="59"/>
  <c r="CP179" i="59"/>
  <c r="CO180" i="59"/>
  <c r="CK180" i="59"/>
  <c r="CG180" i="59"/>
  <c r="CC180" i="59"/>
  <c r="BY180" i="59"/>
  <c r="BU180" i="59"/>
  <c r="CM180" i="59"/>
  <c r="CH180" i="59"/>
  <c r="CB180" i="59"/>
  <c r="BW180" i="59"/>
  <c r="CQ180" i="59"/>
  <c r="CL180" i="59"/>
  <c r="CF180" i="59"/>
  <c r="CA180" i="59"/>
  <c r="BV180" i="59"/>
  <c r="CD180" i="59"/>
  <c r="CN180" i="59"/>
  <c r="CD182" i="59"/>
  <c r="CO183" i="59"/>
  <c r="CK183" i="59"/>
  <c r="CG183" i="59"/>
  <c r="CC183" i="59"/>
  <c r="BY183" i="59"/>
  <c r="BU183" i="59"/>
  <c r="CQ183" i="59"/>
  <c r="CL183" i="59"/>
  <c r="CF183" i="59"/>
  <c r="CA183" i="59"/>
  <c r="BV183" i="59"/>
  <c r="CN183" i="59"/>
  <c r="CH183" i="59"/>
  <c r="BZ183" i="59"/>
  <c r="CM183" i="59"/>
  <c r="CE183" i="59"/>
  <c r="BX183" i="59"/>
  <c r="CJ183" i="59"/>
  <c r="CD183" i="59"/>
  <c r="BW183" i="59"/>
  <c r="CP183" i="59"/>
  <c r="CE186" i="59"/>
  <c r="CO158" i="59"/>
  <c r="CK158" i="59"/>
  <c r="CG158" i="59"/>
  <c r="CC158" i="59"/>
  <c r="BY158" i="59"/>
  <c r="BU158" i="59"/>
  <c r="BQ158" i="59"/>
  <c r="BM158" i="59"/>
  <c r="BI158" i="59"/>
  <c r="BL158" i="59"/>
  <c r="BR158" i="59"/>
  <c r="BW158" i="59"/>
  <c r="CB158" i="59"/>
  <c r="CH158" i="59"/>
  <c r="CM158" i="59"/>
  <c r="BI159" i="59"/>
  <c r="BO159" i="59"/>
  <c r="BT159" i="59"/>
  <c r="BY159" i="59"/>
  <c r="CE159" i="59"/>
  <c r="CJ159" i="59"/>
  <c r="CO159" i="59"/>
  <c r="BH160" i="59"/>
  <c r="BM160" i="59"/>
  <c r="BR160" i="59"/>
  <c r="BX160" i="59"/>
  <c r="CC160" i="59"/>
  <c r="CH160" i="59"/>
  <c r="CP166" i="59"/>
  <c r="CL166" i="59"/>
  <c r="CH166" i="59"/>
  <c r="CD166" i="59"/>
  <c r="BZ166" i="59"/>
  <c r="BV166" i="59"/>
  <c r="BR166" i="59"/>
  <c r="BN166" i="59"/>
  <c r="BJ166" i="59"/>
  <c r="CN166" i="59"/>
  <c r="CI166" i="59"/>
  <c r="CC166" i="59"/>
  <c r="BX166" i="59"/>
  <c r="BS166" i="59"/>
  <c r="BM166" i="59"/>
  <c r="BH166" i="59"/>
  <c r="BO166" i="59"/>
  <c r="BU166" i="59"/>
  <c r="CB166" i="59"/>
  <c r="CJ166" i="59"/>
  <c r="CQ166" i="59"/>
  <c r="CO169" i="59"/>
  <c r="CK169" i="59"/>
  <c r="CG169" i="59"/>
  <c r="CC169" i="59"/>
  <c r="BY169" i="59"/>
  <c r="BU169" i="59"/>
  <c r="BQ169" i="59"/>
  <c r="BM169" i="59"/>
  <c r="BI169" i="59"/>
  <c r="CM169" i="59"/>
  <c r="CH169" i="59"/>
  <c r="CB169" i="59"/>
  <c r="BW169" i="59"/>
  <c r="BR169" i="59"/>
  <c r="BL169" i="59"/>
  <c r="CQ169" i="59"/>
  <c r="CL169" i="59"/>
  <c r="CF169" i="59"/>
  <c r="CA169" i="59"/>
  <c r="BV169" i="59"/>
  <c r="BP169" i="59"/>
  <c r="BN169" i="59"/>
  <c r="BX169" i="59"/>
  <c r="CI169" i="59"/>
  <c r="CQ173" i="59"/>
  <c r="CM173" i="59"/>
  <c r="CI173" i="59"/>
  <c r="CE173" i="59"/>
  <c r="CA173" i="59"/>
  <c r="BW173" i="59"/>
  <c r="CP173" i="59"/>
  <c r="CK173" i="59"/>
  <c r="CF173" i="59"/>
  <c r="BZ173" i="59"/>
  <c r="BU173" i="59"/>
  <c r="CO173" i="59"/>
  <c r="CJ173" i="59"/>
  <c r="CD173" i="59"/>
  <c r="BY173" i="59"/>
  <c r="BT173" i="59"/>
  <c r="CC173" i="59"/>
  <c r="CN173" i="59"/>
  <c r="BU178" i="59"/>
  <c r="CF178" i="59"/>
  <c r="BV179" i="59"/>
  <c r="CG179" i="59"/>
  <c r="CQ179" i="59"/>
  <c r="CH204" i="59"/>
  <c r="CG204" i="59"/>
  <c r="CN204" i="59"/>
  <c r="CP181" i="59"/>
  <c r="CL181" i="59"/>
  <c r="CH181" i="59"/>
  <c r="CD181" i="59"/>
  <c r="BZ181" i="59"/>
  <c r="BV181" i="59"/>
  <c r="BX181" i="59"/>
  <c r="CC181" i="59"/>
  <c r="CI181" i="59"/>
  <c r="CN181" i="59"/>
  <c r="CN182" i="59"/>
  <c r="CJ182" i="59"/>
  <c r="CF182" i="59"/>
  <c r="CB182" i="59"/>
  <c r="BX182" i="59"/>
  <c r="CM182" i="59"/>
  <c r="CH182" i="59"/>
  <c r="CC182" i="59"/>
  <c r="BW182" i="59"/>
  <c r="BY182" i="59"/>
  <c r="CE182" i="59"/>
  <c r="CL182" i="59"/>
  <c r="BW184" i="59"/>
  <c r="CC184" i="59"/>
  <c r="CK184" i="59"/>
  <c r="BX185" i="59"/>
  <c r="CF185" i="59"/>
  <c r="CN186" i="59"/>
  <c r="CJ186" i="59"/>
  <c r="CF186" i="59"/>
  <c r="CB186" i="59"/>
  <c r="BX186" i="59"/>
  <c r="BT186" i="59"/>
  <c r="CO186" i="59"/>
  <c r="CI186" i="59"/>
  <c r="CD186" i="59"/>
  <c r="BY186" i="59"/>
  <c r="BZ186" i="59"/>
  <c r="CG186" i="59"/>
  <c r="CM186" i="59"/>
  <c r="CQ196" i="59"/>
  <c r="CM196" i="59"/>
  <c r="CI196" i="59"/>
  <c r="CN196" i="59"/>
  <c r="CH196" i="59"/>
  <c r="CK196" i="59"/>
  <c r="CH197" i="59"/>
  <c r="CP197" i="59"/>
  <c r="CO198" i="59"/>
  <c r="CK198" i="59"/>
  <c r="CG198" i="59"/>
  <c r="CN198" i="59"/>
  <c r="CI198" i="59"/>
  <c r="CL198" i="59"/>
  <c r="CG199" i="59"/>
  <c r="CO199" i="59"/>
  <c r="CN201" i="59"/>
  <c r="CJ201" i="59"/>
  <c r="CF201" i="59"/>
  <c r="CP201" i="59"/>
  <c r="CK201" i="59"/>
  <c r="CL201" i="59"/>
  <c r="CQ178" i="59"/>
  <c r="CM178" i="59"/>
  <c r="CI178" i="59"/>
  <c r="CE178" i="59"/>
  <c r="CA178" i="59"/>
  <c r="BW178" i="59"/>
  <c r="BX178" i="59"/>
  <c r="CC178" i="59"/>
  <c r="CH178" i="59"/>
  <c r="CN178" i="59"/>
  <c r="BT181" i="59"/>
  <c r="BY181" i="59"/>
  <c r="CE181" i="59"/>
  <c r="CJ181" i="59"/>
  <c r="CO181" i="59"/>
  <c r="BT182" i="59"/>
  <c r="BZ182" i="59"/>
  <c r="CG182" i="59"/>
  <c r="CO182" i="59"/>
  <c r="BX184" i="59"/>
  <c r="CF184" i="59"/>
  <c r="CQ185" i="59"/>
  <c r="CM185" i="59"/>
  <c r="CI185" i="59"/>
  <c r="CE185" i="59"/>
  <c r="CA185" i="59"/>
  <c r="BW185" i="59"/>
  <c r="CO185" i="59"/>
  <c r="CJ185" i="59"/>
  <c r="CD185" i="59"/>
  <c r="BY185" i="59"/>
  <c r="BT185" i="59"/>
  <c r="BZ185" i="59"/>
  <c r="CG185" i="59"/>
  <c r="CN185" i="59"/>
  <c r="BU186" i="59"/>
  <c r="CA186" i="59"/>
  <c r="CH186" i="59"/>
  <c r="CP186" i="59"/>
  <c r="CQ191" i="59"/>
  <c r="CM191" i="59"/>
  <c r="CI191" i="59"/>
  <c r="CP191" i="59"/>
  <c r="CK191" i="59"/>
  <c r="CF191" i="59"/>
  <c r="CL191" i="59"/>
  <c r="CF196" i="59"/>
  <c r="CL196" i="59"/>
  <c r="CK197" i="59"/>
  <c r="CF198" i="59"/>
  <c r="CM198" i="59"/>
  <c r="CJ199" i="59"/>
  <c r="CG201" i="59"/>
  <c r="CM201" i="59"/>
  <c r="CO202" i="59"/>
  <c r="CK202" i="59"/>
  <c r="CG202" i="59"/>
  <c r="CP202" i="59"/>
  <c r="CJ202" i="59"/>
  <c r="CL202" i="59"/>
  <c r="CG203" i="59"/>
  <c r="CN203" i="59"/>
  <c r="CQ167" i="59"/>
  <c r="CM167" i="59"/>
  <c r="CI167" i="59"/>
  <c r="CE167" i="59"/>
  <c r="CA167" i="59"/>
  <c r="BW167" i="59"/>
  <c r="BS167" i="59"/>
  <c r="BO167" i="59"/>
  <c r="BK167" i="59"/>
  <c r="BL167" i="59"/>
  <c r="BQ167" i="59"/>
  <c r="BV167" i="59"/>
  <c r="CB167" i="59"/>
  <c r="CG167" i="59"/>
  <c r="CL167" i="59"/>
  <c r="BT178" i="59"/>
  <c r="BY178" i="59"/>
  <c r="CD178" i="59"/>
  <c r="CJ178" i="59"/>
  <c r="CO178" i="59"/>
  <c r="BU181" i="59"/>
  <c r="CA181" i="59"/>
  <c r="CF181" i="59"/>
  <c r="CK181" i="59"/>
  <c r="CQ181" i="59"/>
  <c r="BU182" i="59"/>
  <c r="CA182" i="59"/>
  <c r="CI182" i="59"/>
  <c r="CP182" i="59"/>
  <c r="CP184" i="59"/>
  <c r="CL184" i="59"/>
  <c r="CH184" i="59"/>
  <c r="CD184" i="59"/>
  <c r="BZ184" i="59"/>
  <c r="BV184" i="59"/>
  <c r="CO184" i="59"/>
  <c r="CJ184" i="59"/>
  <c r="CE184" i="59"/>
  <c r="BY184" i="59"/>
  <c r="BT184" i="59"/>
  <c r="CA184" i="59"/>
  <c r="CG184" i="59"/>
  <c r="CN184" i="59"/>
  <c r="BU185" i="59"/>
  <c r="CB185" i="59"/>
  <c r="CH185" i="59"/>
  <c r="CP185" i="59"/>
  <c r="BV186" i="59"/>
  <c r="CC186" i="59"/>
  <c r="CK186" i="59"/>
  <c r="CQ186" i="59"/>
  <c r="CG191" i="59"/>
  <c r="CN191" i="59"/>
  <c r="CG196" i="59"/>
  <c r="CO196" i="59"/>
  <c r="CN197" i="59"/>
  <c r="CJ197" i="59"/>
  <c r="CF197" i="59"/>
  <c r="CO197" i="59"/>
  <c r="CI197" i="59"/>
  <c r="CL197" i="59"/>
  <c r="CH198" i="59"/>
  <c r="CP198" i="59"/>
  <c r="CP199" i="59"/>
  <c r="CL199" i="59"/>
  <c r="CH199" i="59"/>
  <c r="CN199" i="59"/>
  <c r="CI199" i="59"/>
  <c r="CK199" i="59"/>
  <c r="CH200" i="59"/>
  <c r="CH201" i="59"/>
  <c r="CO201" i="59"/>
  <c r="CF202" i="59"/>
  <c r="CM202" i="59"/>
  <c r="CI203" i="59"/>
  <c r="CN205" i="59"/>
  <c r="CJ205" i="59"/>
  <c r="CF205" i="59"/>
  <c r="CQ205" i="59"/>
  <c r="CL205" i="59"/>
  <c r="CG205" i="59"/>
  <c r="CP205" i="59"/>
  <c r="CK205" i="59"/>
  <c r="CO205" i="59"/>
  <c r="CQ204" i="59"/>
  <c r="CM204" i="59"/>
  <c r="CI204" i="59"/>
  <c r="CJ204" i="59"/>
  <c r="CO204" i="59"/>
  <c r="CQ200" i="59"/>
  <c r="CM200" i="59"/>
  <c r="CI200" i="59"/>
  <c r="CJ200" i="59"/>
  <c r="CO200" i="59"/>
  <c r="CP203" i="59"/>
  <c r="CL203" i="59"/>
  <c r="CH203" i="59"/>
  <c r="CJ203" i="59"/>
  <c r="CO203" i="59"/>
  <c r="CF204" i="59"/>
  <c r="CK204" i="59"/>
  <c r="CP204" i="59"/>
  <c r="O279" i="30"/>
  <c r="N279" i="30"/>
  <c r="M279" i="30"/>
  <c r="L279" i="30"/>
  <c r="K279" i="30"/>
  <c r="I13" i="68" l="1"/>
  <c r="I14" i="68"/>
  <c r="CR61" i="59"/>
  <c r="CR58" i="59"/>
  <c r="CR52" i="59"/>
  <c r="CR42" i="59"/>
  <c r="CR80" i="59"/>
  <c r="H27" i="62"/>
  <c r="CR48" i="59"/>
  <c r="CR28" i="59"/>
  <c r="CR73" i="59"/>
  <c r="CR15" i="59"/>
  <c r="CR63" i="59"/>
  <c r="CR68" i="59"/>
  <c r="CR51" i="59"/>
  <c r="CR53" i="59"/>
  <c r="CR26" i="59"/>
  <c r="CR78" i="59"/>
  <c r="CR77" i="59"/>
  <c r="CR65" i="59"/>
  <c r="CR54" i="59"/>
  <c r="CR47" i="59"/>
  <c r="CR59" i="59"/>
  <c r="CR71" i="59"/>
  <c r="CR69" i="59"/>
  <c r="CR46" i="59"/>
  <c r="CR40" i="59"/>
  <c r="CR50" i="59"/>
  <c r="CR75" i="59"/>
  <c r="CR33" i="59"/>
  <c r="CR18" i="59"/>
  <c r="CR14" i="59"/>
  <c r="E232" i="59"/>
  <c r="D7" i="60" s="1"/>
  <c r="CR66" i="59"/>
  <c r="CR25" i="59"/>
  <c r="CR45" i="59"/>
  <c r="CR34" i="59"/>
  <c r="CR56" i="59"/>
  <c r="CR41" i="59"/>
  <c r="CR76" i="59"/>
  <c r="CR74" i="59"/>
  <c r="CR44" i="59"/>
  <c r="CR39" i="59"/>
  <c r="CR36" i="59"/>
  <c r="CR22" i="59"/>
  <c r="CR21" i="59"/>
  <c r="CR20" i="59"/>
  <c r="CR16" i="59"/>
  <c r="CR19" i="59"/>
  <c r="CR27" i="59"/>
  <c r="CR12" i="59"/>
  <c r="CR24" i="59"/>
  <c r="CR70" i="59"/>
  <c r="CR57" i="59"/>
  <c r="CR43" i="59"/>
  <c r="CR31" i="59"/>
  <c r="CR82" i="59"/>
  <c r="CR64" i="59"/>
  <c r="CR83" i="59"/>
  <c r="CR9" i="59"/>
  <c r="CR38" i="59"/>
  <c r="CR35" i="59"/>
  <c r="CR10" i="59"/>
  <c r="CR79" i="59"/>
  <c r="CR29" i="59"/>
  <c r="CR72" i="59"/>
  <c r="CR67" i="59"/>
  <c r="CR60" i="59"/>
  <c r="CR55" i="59"/>
  <c r="CR30" i="59"/>
  <c r="CR23" i="59"/>
  <c r="D232" i="59"/>
  <c r="C7" i="60" s="1"/>
  <c r="CR17" i="59"/>
  <c r="CR13" i="59"/>
  <c r="CR62" i="59"/>
  <c r="CR81" i="59"/>
  <c r="CR37" i="59"/>
  <c r="CR32" i="59"/>
  <c r="C232" i="59"/>
  <c r="CR8" i="59"/>
  <c r="CR49" i="59"/>
  <c r="H66" i="57"/>
  <c r="G66" i="57"/>
  <c r="F66" i="57"/>
  <c r="E66" i="57"/>
  <c r="D66" i="57"/>
  <c r="I47" i="57"/>
  <c r="O71" i="55"/>
  <c r="N71" i="55"/>
  <c r="M71" i="55"/>
  <c r="L71" i="55"/>
  <c r="K71" i="55"/>
  <c r="J71" i="55"/>
  <c r="I71" i="55"/>
  <c r="H71" i="55"/>
  <c r="G71" i="55"/>
  <c r="F71" i="55"/>
  <c r="O63" i="55"/>
  <c r="N63" i="55"/>
  <c r="M63" i="55"/>
  <c r="L63" i="55"/>
  <c r="K63" i="55"/>
  <c r="J63" i="55"/>
  <c r="I63" i="55"/>
  <c r="H63" i="55"/>
  <c r="G63" i="55"/>
  <c r="F63" i="55"/>
  <c r="O37" i="55"/>
  <c r="N37" i="55"/>
  <c r="M37" i="55"/>
  <c r="L37" i="55"/>
  <c r="K37" i="55"/>
  <c r="J37" i="55"/>
  <c r="I37" i="55"/>
  <c r="H37" i="55"/>
  <c r="G37" i="55"/>
  <c r="F37" i="55"/>
  <c r="O26" i="55"/>
  <c r="N26" i="55"/>
  <c r="M26" i="55"/>
  <c r="M39" i="55" s="1"/>
  <c r="M65" i="55" s="1"/>
  <c r="M73" i="55" s="1"/>
  <c r="L26" i="55"/>
  <c r="K26" i="55"/>
  <c r="J26" i="55"/>
  <c r="I26" i="55"/>
  <c r="I39" i="55" s="1"/>
  <c r="I65" i="55" s="1"/>
  <c r="I73" i="55" s="1"/>
  <c r="H26" i="55"/>
  <c r="G26" i="55"/>
  <c r="F26" i="55"/>
  <c r="H39" i="55" l="1"/>
  <c r="H65" i="55" s="1"/>
  <c r="H73" i="55" s="1"/>
  <c r="L39" i="55"/>
  <c r="L65" i="55" s="1"/>
  <c r="L73" i="55" s="1"/>
  <c r="J39" i="55"/>
  <c r="J65" i="55" s="1"/>
  <c r="J73" i="55" s="1"/>
  <c r="C234" i="59"/>
  <c r="D228" i="59" s="1"/>
  <c r="B7" i="60"/>
  <c r="B8" i="60" s="1"/>
  <c r="F39" i="55"/>
  <c r="F65" i="55" s="1"/>
  <c r="F73" i="55" s="1"/>
  <c r="N39" i="55"/>
  <c r="N65" i="55" s="1"/>
  <c r="N73" i="55" s="1"/>
  <c r="G39" i="55"/>
  <c r="G65" i="55" s="1"/>
  <c r="G73" i="55" s="1"/>
  <c r="K39" i="55"/>
  <c r="K65" i="55" s="1"/>
  <c r="K73" i="55" s="1"/>
  <c r="O39" i="55"/>
  <c r="O65" i="55" s="1"/>
  <c r="O73" i="55" s="1"/>
  <c r="I66" i="57"/>
  <c r="D234" i="59" l="1"/>
  <c r="E228" i="59" s="1"/>
  <c r="D5" i="60" s="1"/>
  <c r="C5" i="60"/>
  <c r="C8" i="60" s="1"/>
  <c r="I11" i="13" l="1"/>
  <c r="H12" i="13" l="1"/>
  <c r="G12" i="13"/>
  <c r="F12" i="13"/>
  <c r="E12" i="13"/>
  <c r="D12" i="13"/>
  <c r="H37" i="13"/>
  <c r="G37" i="13"/>
  <c r="F37" i="13"/>
  <c r="E37" i="13"/>
  <c r="D37" i="13"/>
  <c r="I36" i="13"/>
  <c r="I32" i="13"/>
  <c r="I31" i="13"/>
  <c r="I30" i="13"/>
  <c r="I29" i="13"/>
  <c r="I28" i="13"/>
  <c r="I27" i="13"/>
  <c r="I26" i="13"/>
  <c r="I25" i="13"/>
  <c r="I24" i="13"/>
  <c r="I23" i="13"/>
  <c r="I22" i="13"/>
  <c r="I21" i="13"/>
  <c r="I20" i="13"/>
  <c r="I19" i="13"/>
  <c r="I18" i="13"/>
  <c r="I17" i="13"/>
  <c r="I16" i="13"/>
  <c r="I15" i="13"/>
  <c r="E5" i="65" l="1"/>
  <c r="E7" i="65" s="1"/>
  <c r="E12" i="57"/>
  <c r="F5" i="65"/>
  <c r="F7" i="65" s="1"/>
  <c r="F12" i="57"/>
  <c r="F31" i="65"/>
  <c r="F33" i="65" s="1"/>
  <c r="F14" i="57"/>
  <c r="G31" i="65"/>
  <c r="G33" i="65" s="1"/>
  <c r="G14" i="57"/>
  <c r="G36" i="65" s="1"/>
  <c r="D31" i="65"/>
  <c r="D14" i="57"/>
  <c r="H31" i="65"/>
  <c r="H33" i="65" s="1"/>
  <c r="H14" i="57"/>
  <c r="H36" i="65" s="1"/>
  <c r="G5" i="65"/>
  <c r="G7" i="65" s="1"/>
  <c r="G12" i="57"/>
  <c r="E31" i="65"/>
  <c r="E33" i="65" s="1"/>
  <c r="E14" i="57"/>
  <c r="E36" i="65" s="1"/>
  <c r="E40" i="65" s="1"/>
  <c r="T120" i="30" s="1"/>
  <c r="D5" i="65"/>
  <c r="D7" i="65" s="1"/>
  <c r="D12" i="57"/>
  <c r="H5" i="65"/>
  <c r="H7" i="65" s="1"/>
  <c r="H12" i="57"/>
  <c r="D33" i="65"/>
  <c r="F23" i="65"/>
  <c r="F27" i="65" s="1"/>
  <c r="U67" i="30" s="1"/>
  <c r="F133" i="62"/>
  <c r="F134" i="62" s="1"/>
  <c r="F135" i="62" s="1"/>
  <c r="F109" i="62"/>
  <c r="F110" i="62" s="1"/>
  <c r="F111" i="62" s="1"/>
  <c r="F97" i="62"/>
  <c r="F98" i="62" s="1"/>
  <c r="F99" i="62" s="1"/>
  <c r="F121" i="62"/>
  <c r="F122" i="62" s="1"/>
  <c r="F123" i="62" s="1"/>
  <c r="G23" i="65"/>
  <c r="G27" i="65" s="1"/>
  <c r="V67" i="30" s="1"/>
  <c r="G97" i="62"/>
  <c r="G98" i="62" s="1"/>
  <c r="G99" i="62" s="1"/>
  <c r="G121" i="62"/>
  <c r="G122" i="62" s="1"/>
  <c r="G123" i="62" s="1"/>
  <c r="G133" i="62"/>
  <c r="G134" i="62" s="1"/>
  <c r="G135" i="62" s="1"/>
  <c r="G109" i="62"/>
  <c r="F36" i="65"/>
  <c r="F40" i="65" s="1"/>
  <c r="U120" i="30" s="1"/>
  <c r="D23" i="65"/>
  <c r="D121" i="62"/>
  <c r="D122" i="62" s="1"/>
  <c r="D123" i="62" s="1"/>
  <c r="D133" i="62"/>
  <c r="D109" i="62"/>
  <c r="D110" i="62" s="1"/>
  <c r="D111" i="62" s="1"/>
  <c r="D97" i="62"/>
  <c r="D98" i="62" s="1"/>
  <c r="D99" i="62" s="1"/>
  <c r="H23" i="65"/>
  <c r="H27" i="65" s="1"/>
  <c r="W67" i="30" s="1"/>
  <c r="H121" i="62"/>
  <c r="H122" i="62" s="1"/>
  <c r="H123" i="62" s="1"/>
  <c r="H133" i="62"/>
  <c r="H134" i="62" s="1"/>
  <c r="H135" i="62" s="1"/>
  <c r="H109" i="62"/>
  <c r="H110" i="62" s="1"/>
  <c r="H111" i="62" s="1"/>
  <c r="H97" i="62"/>
  <c r="H98" i="62" s="1"/>
  <c r="H99" i="62" s="1"/>
  <c r="E23" i="65"/>
  <c r="E27" i="65" s="1"/>
  <c r="T67" i="30" s="1"/>
  <c r="E133" i="62"/>
  <c r="E134" i="62" s="1"/>
  <c r="E135" i="62" s="1"/>
  <c r="E109" i="62"/>
  <c r="E110" i="62" s="1"/>
  <c r="E111" i="62" s="1"/>
  <c r="E97" i="62"/>
  <c r="E98" i="62" s="1"/>
  <c r="E99" i="62" s="1"/>
  <c r="E121" i="62"/>
  <c r="E122" i="62" s="1"/>
  <c r="E123" i="62" s="1"/>
  <c r="D36" i="65"/>
  <c r="I12" i="13"/>
  <c r="I33" i="13"/>
  <c r="I37" i="13"/>
  <c r="H40" i="65" l="1"/>
  <c r="W120" i="30" s="1"/>
  <c r="I5" i="65"/>
  <c r="I7" i="65" s="1"/>
  <c r="G40" i="65"/>
  <c r="V120" i="30" s="1"/>
  <c r="I31" i="65"/>
  <c r="I33" i="65" s="1"/>
  <c r="G14" i="62"/>
  <c r="G21" i="62"/>
  <c r="G28" i="62"/>
  <c r="G7" i="62"/>
  <c r="F28" i="62"/>
  <c r="F21" i="62"/>
  <c r="F14" i="62"/>
  <c r="F7" i="62"/>
  <c r="E10" i="65"/>
  <c r="E14" i="65" s="1"/>
  <c r="E28" i="62"/>
  <c r="E21" i="62"/>
  <c r="E14" i="62"/>
  <c r="E7" i="62"/>
  <c r="H28" i="62"/>
  <c r="H21" i="62"/>
  <c r="H14" i="62"/>
  <c r="H7" i="62"/>
  <c r="D10" i="65"/>
  <c r="D14" i="65" s="1"/>
  <c r="D14" i="62"/>
  <c r="D7" i="62"/>
  <c r="D28" i="62"/>
  <c r="D21" i="62"/>
  <c r="I23" i="65"/>
  <c r="D27" i="65"/>
  <c r="D27" i="68"/>
  <c r="F27" i="68"/>
  <c r="F30" i="68" s="1"/>
  <c r="F10" i="65"/>
  <c r="G27" i="68"/>
  <c r="G30" i="68" s="1"/>
  <c r="G10" i="65"/>
  <c r="I36" i="65"/>
  <c r="D40" i="65"/>
  <c r="E27" i="68"/>
  <c r="E30" i="68" s="1"/>
  <c r="E10" i="58"/>
  <c r="E12" i="58" s="1"/>
  <c r="H27" i="68"/>
  <c r="H30" i="68" s="1"/>
  <c r="H10" i="65"/>
  <c r="I12" i="57"/>
  <c r="I14" i="57"/>
  <c r="I13" i="57"/>
  <c r="D124" i="62"/>
  <c r="D100" i="62"/>
  <c r="D112" i="62"/>
  <c r="D134" i="62"/>
  <c r="D135" i="62" s="1"/>
  <c r="G110" i="62"/>
  <c r="G111" i="62" s="1"/>
  <c r="G14" i="65" l="1"/>
  <c r="G10" i="58" s="1"/>
  <c r="G12" i="58" s="1"/>
  <c r="H14" i="65"/>
  <c r="H10" i="58" s="1"/>
  <c r="H12" i="58" s="1"/>
  <c r="F14" i="65"/>
  <c r="F10" i="58" s="1"/>
  <c r="F12" i="58" s="1"/>
  <c r="S120" i="30"/>
  <c r="I40" i="65"/>
  <c r="S67" i="30"/>
  <c r="I27" i="65"/>
  <c r="I10" i="65"/>
  <c r="I27" i="68"/>
  <c r="D30" i="68"/>
  <c r="I30" i="68" s="1"/>
  <c r="D136" i="62"/>
  <c r="E112" i="62"/>
  <c r="E100" i="62"/>
  <c r="E124" i="62"/>
  <c r="B11" i="28"/>
  <c r="E22" i="62" s="1"/>
  <c r="E23" i="62" s="1"/>
  <c r="B10" i="28"/>
  <c r="B9" i="28"/>
  <c r="B8" i="28"/>
  <c r="B6" i="28"/>
  <c r="B5" i="28"/>
  <c r="B4" i="28"/>
  <c r="I14" i="65" l="1"/>
  <c r="D10" i="58"/>
  <c r="F22" i="62"/>
  <c r="F23" i="62" s="1"/>
  <c r="H15" i="62"/>
  <c r="H16" i="62" s="1"/>
  <c r="D22" i="62"/>
  <c r="D23" i="62" s="1"/>
  <c r="F8" i="62"/>
  <c r="F9" i="62" s="1"/>
  <c r="D15" i="62"/>
  <c r="D16" i="62" s="1"/>
  <c r="E8" i="62"/>
  <c r="E9" i="62" s="1"/>
  <c r="G22" i="62"/>
  <c r="G23" i="62" s="1"/>
  <c r="F100" i="62"/>
  <c r="G29" i="62"/>
  <c r="G30" i="62" s="1"/>
  <c r="H22" i="62"/>
  <c r="H23" i="62" s="1"/>
  <c r="F124" i="62"/>
  <c r="G15" i="62"/>
  <c r="G16" i="62" s="1"/>
  <c r="F112" i="62"/>
  <c r="E29" i="62"/>
  <c r="E30" i="62" s="1"/>
  <c r="H8" i="62"/>
  <c r="H9" i="62" s="1"/>
  <c r="D8" i="62"/>
  <c r="D9" i="62" s="1"/>
  <c r="F15" i="62"/>
  <c r="F16" i="62" s="1"/>
  <c r="D29" i="62"/>
  <c r="D30" i="62" s="1"/>
  <c r="F29" i="62"/>
  <c r="F30" i="62" s="1"/>
  <c r="G8" i="62"/>
  <c r="G9" i="62" s="1"/>
  <c r="H29" i="62"/>
  <c r="H30" i="62" s="1"/>
  <c r="E15" i="62"/>
  <c r="E16" i="62" s="1"/>
  <c r="E136" i="62"/>
  <c r="J6" i="30"/>
  <c r="J9" i="30" s="1"/>
  <c r="J5" i="30"/>
  <c r="M12" i="30"/>
  <c r="J3" i="27"/>
  <c r="J9" i="27" s="1"/>
  <c r="J6" i="27"/>
  <c r="D12" i="58" l="1"/>
  <c r="I10" i="58"/>
  <c r="G112" i="62"/>
  <c r="G100" i="62"/>
  <c r="F136" i="62"/>
  <c r="G124" i="62"/>
  <c r="I12" i="58" l="1"/>
  <c r="H124" i="62"/>
  <c r="H100" i="62"/>
  <c r="G136" i="62"/>
  <c r="H112" i="62"/>
  <c r="J7" i="28"/>
  <c r="I7" i="28"/>
  <c r="H7" i="28"/>
  <c r="G7" i="28"/>
  <c r="F7" i="28"/>
  <c r="E7" i="28"/>
  <c r="D7" i="28"/>
  <c r="B7" i="28"/>
  <c r="H136" i="62" l="1"/>
  <c r="J14" i="28"/>
  <c r="J15" i="28" s="1"/>
  <c r="I14" i="28"/>
  <c r="I15" i="28" s="1"/>
  <c r="I18" i="28" s="1"/>
  <c r="H14" i="28"/>
  <c r="H15" i="28" s="1"/>
  <c r="H18" i="28" s="1"/>
  <c r="G14" i="28"/>
  <c r="G15" i="28" s="1"/>
  <c r="F14" i="28"/>
  <c r="F15" i="28" s="1"/>
  <c r="F18" i="28" s="1"/>
  <c r="E14" i="28"/>
  <c r="E15" i="28" s="1"/>
  <c r="D14" i="28"/>
  <c r="D15" i="28" s="1"/>
  <c r="D18" i="28" s="1"/>
  <c r="I16" i="28" l="1"/>
  <c r="I17" i="28" s="1"/>
  <c r="H16" i="28"/>
  <c r="H17" i="28" s="1"/>
  <c r="J16" i="28"/>
  <c r="J17" i="28" s="1"/>
  <c r="J18" i="28"/>
  <c r="G18" i="28"/>
  <c r="G16" i="28"/>
  <c r="G17" i="28" s="1"/>
  <c r="F16" i="28"/>
  <c r="F17" i="28" s="1"/>
  <c r="E18" i="28"/>
  <c r="E16" i="28"/>
  <c r="D16" i="28"/>
  <c r="D17" i="28" s="1"/>
  <c r="E17" i="28" l="1"/>
  <c r="M43" i="27" l="1"/>
  <c r="X43" i="27" s="1"/>
  <c r="L43" i="27"/>
  <c r="W43" i="27" s="1"/>
  <c r="K43" i="27"/>
  <c r="V43" i="27" s="1"/>
  <c r="J43" i="27"/>
  <c r="U43" i="27" s="1"/>
  <c r="I43" i="27"/>
  <c r="T43" i="27" s="1"/>
  <c r="H43" i="27"/>
  <c r="S43" i="27" s="1"/>
  <c r="G43" i="27"/>
  <c r="R43" i="27" s="1"/>
  <c r="F43" i="27"/>
  <c r="E43" i="27"/>
  <c r="D43" i="27"/>
  <c r="D236" i="30"/>
  <c r="H196" i="30"/>
  <c r="G196" i="30"/>
  <c r="F196" i="30"/>
  <c r="E196" i="30"/>
  <c r="D196" i="30"/>
  <c r="R162" i="30"/>
  <c r="M375" i="30" s="1"/>
  <c r="Q162" i="30"/>
  <c r="L375" i="30" s="1"/>
  <c r="Q161" i="30"/>
  <c r="L373" i="30" s="1"/>
  <c r="D201" i="30" l="1"/>
  <c r="D206" i="30" s="1"/>
  <c r="H201" i="30"/>
  <c r="H206" i="30" s="1"/>
  <c r="H211" i="30" s="1"/>
  <c r="E201" i="30"/>
  <c r="E206" i="30" s="1"/>
  <c r="E211" i="30" s="1"/>
  <c r="I196" i="30"/>
  <c r="F201" i="30"/>
  <c r="F206" i="30" s="1"/>
  <c r="F211" i="30" s="1"/>
  <c r="G201" i="30"/>
  <c r="G206" i="30" s="1"/>
  <c r="G211" i="30" s="1"/>
  <c r="I201" i="30" l="1"/>
  <c r="I206" i="30"/>
  <c r="D211" i="30"/>
  <c r="I211" i="30" s="1"/>
  <c r="E236" i="30" s="1"/>
  <c r="F236" i="30" s="1"/>
  <c r="I88" i="36" l="1"/>
  <c r="I87" i="36"/>
  <c r="I86" i="36"/>
  <c r="I113" i="36" l="1"/>
  <c r="I112" i="36"/>
  <c r="I96" i="36"/>
  <c r="I93" i="36"/>
  <c r="I92" i="36"/>
  <c r="I91" i="36"/>
  <c r="D18" i="45" l="1"/>
  <c r="G25" i="45" s="1"/>
  <c r="D17" i="45"/>
  <c r="G23" i="45" s="1"/>
  <c r="D16" i="45"/>
  <c r="G24" i="45" s="1"/>
  <c r="D15" i="45"/>
  <c r="G22" i="45" s="1"/>
  <c r="E18" i="45"/>
  <c r="C25" i="45" s="1"/>
  <c r="E17" i="45"/>
  <c r="C23" i="45" s="1"/>
  <c r="E16" i="45"/>
  <c r="C24" i="45" s="1"/>
  <c r="E15" i="45"/>
  <c r="C22" i="45" s="1"/>
  <c r="C18" i="45"/>
  <c r="F25" i="45" s="1"/>
  <c r="C17" i="45"/>
  <c r="F23" i="45" s="1"/>
  <c r="C16" i="45"/>
  <c r="F24" i="45" s="1"/>
  <c r="C15" i="45"/>
  <c r="F22" i="45" s="1"/>
  <c r="B18" i="45"/>
  <c r="B17" i="45"/>
  <c r="B16" i="45"/>
  <c r="B15" i="45"/>
  <c r="H13" i="1"/>
  <c r="K19" i="28" s="1"/>
  <c r="F15" i="45" l="1"/>
  <c r="D22" i="45" s="1"/>
  <c r="E22" i="45"/>
  <c r="F16" i="45"/>
  <c r="D24" i="45" s="1"/>
  <c r="E24" i="45"/>
  <c r="D19" i="28"/>
  <c r="F81" i="57"/>
  <c r="E81" i="57"/>
  <c r="H81" i="57"/>
  <c r="D81" i="57"/>
  <c r="G81" i="57"/>
  <c r="N7" i="30"/>
  <c r="O4" i="27"/>
  <c r="L4" i="27"/>
  <c r="M7" i="30"/>
  <c r="K4" i="27"/>
  <c r="N4" i="27"/>
  <c r="L7" i="30"/>
  <c r="M4" i="27"/>
  <c r="O7" i="30"/>
  <c r="K7" i="30"/>
  <c r="G19" i="28"/>
  <c r="E19" i="28"/>
  <c r="J19" i="28"/>
  <c r="H19" i="28"/>
  <c r="F19" i="28"/>
  <c r="I19" i="28"/>
  <c r="F17" i="45"/>
  <c r="D23" i="45" s="1"/>
  <c r="E23" i="45"/>
  <c r="F18" i="45"/>
  <c r="D25" i="45" s="1"/>
  <c r="E25" i="45"/>
  <c r="E65" i="57" l="1"/>
  <c r="E58" i="57"/>
  <c r="E18" i="68" s="1"/>
  <c r="G65" i="57"/>
  <c r="G58" i="57"/>
  <c r="G18" i="68" s="1"/>
  <c r="F65" i="57"/>
  <c r="F58" i="57"/>
  <c r="F18" i="68" s="1"/>
  <c r="H65" i="57"/>
  <c r="H58" i="57"/>
  <c r="H18" i="68" s="1"/>
  <c r="D65" i="57"/>
  <c r="D58" i="57"/>
  <c r="D62" i="57"/>
  <c r="G52" i="57"/>
  <c r="G35" i="68" s="1"/>
  <c r="D194" i="59"/>
  <c r="F52" i="57"/>
  <c r="F35" i="68" s="1"/>
  <c r="D176" i="59"/>
  <c r="E176" i="59" s="1"/>
  <c r="H52" i="57"/>
  <c r="H35" i="68" s="1"/>
  <c r="D212" i="59"/>
  <c r="E52" i="57"/>
  <c r="E35" i="68" s="1"/>
  <c r="D154" i="59"/>
  <c r="E154" i="59" s="1"/>
  <c r="D49" i="68"/>
  <c r="D52" i="57"/>
  <c r="D35" i="68" s="1"/>
  <c r="D57" i="57"/>
  <c r="D134" i="59"/>
  <c r="E134" i="59" s="1"/>
  <c r="H61" i="57"/>
  <c r="H37" i="68" s="1"/>
  <c r="E61" i="57"/>
  <c r="E37" i="68" s="1"/>
  <c r="G61" i="57"/>
  <c r="G37" i="68" s="1"/>
  <c r="F61" i="57"/>
  <c r="F37" i="68" s="1"/>
  <c r="D61" i="57"/>
  <c r="D37" i="68" s="1"/>
  <c r="H37" i="62"/>
  <c r="H38" i="62" s="1"/>
  <c r="H39" i="62" s="1"/>
  <c r="H58" i="62"/>
  <c r="H59" i="62" s="1"/>
  <c r="H60" i="62" s="1"/>
  <c r="H51" i="62"/>
  <c r="H52" i="62" s="1"/>
  <c r="H53" i="62" s="1"/>
  <c r="H44" i="62"/>
  <c r="H45" i="62" s="1"/>
  <c r="H46" i="62" s="1"/>
  <c r="H57" i="57"/>
  <c r="H62" i="57"/>
  <c r="H55" i="57"/>
  <c r="H34" i="68"/>
  <c r="H33" i="68"/>
  <c r="E212" i="59"/>
  <c r="D208" i="59"/>
  <c r="D213" i="59"/>
  <c r="E213" i="59" s="1"/>
  <c r="E58" i="62"/>
  <c r="E59" i="62" s="1"/>
  <c r="E60" i="62" s="1"/>
  <c r="E51" i="62"/>
  <c r="E52" i="62" s="1"/>
  <c r="E53" i="62" s="1"/>
  <c r="E44" i="62"/>
  <c r="E45" i="62" s="1"/>
  <c r="E46" i="62" s="1"/>
  <c r="E37" i="62"/>
  <c r="E38" i="62" s="1"/>
  <c r="E39" i="62" s="1"/>
  <c r="E33" i="68"/>
  <c r="E62" i="57"/>
  <c r="E57" i="57"/>
  <c r="E34" i="68"/>
  <c r="E55" i="57"/>
  <c r="D150" i="59"/>
  <c r="D155" i="59"/>
  <c r="E155" i="59" s="1"/>
  <c r="G44" i="62"/>
  <c r="G45" i="62" s="1"/>
  <c r="G46" i="62" s="1"/>
  <c r="G37" i="62"/>
  <c r="G38" i="62" s="1"/>
  <c r="G39" i="62" s="1"/>
  <c r="G58" i="62"/>
  <c r="G59" i="62" s="1"/>
  <c r="G60" i="62" s="1"/>
  <c r="G51" i="62"/>
  <c r="G52" i="62" s="1"/>
  <c r="G53" i="62" s="1"/>
  <c r="G55" i="57"/>
  <c r="G62" i="57"/>
  <c r="G33" i="68"/>
  <c r="G34" i="68"/>
  <c r="G57" i="57"/>
  <c r="E194" i="59"/>
  <c r="D190" i="59"/>
  <c r="D195" i="59"/>
  <c r="E195" i="59" s="1"/>
  <c r="F51" i="62"/>
  <c r="F52" i="62" s="1"/>
  <c r="F53" i="62" s="1"/>
  <c r="F44" i="62"/>
  <c r="F45" i="62" s="1"/>
  <c r="F46" i="62" s="1"/>
  <c r="F37" i="62"/>
  <c r="F38" i="62" s="1"/>
  <c r="F39" i="62" s="1"/>
  <c r="F58" i="62"/>
  <c r="F59" i="62" s="1"/>
  <c r="F60" i="62" s="1"/>
  <c r="F57" i="57"/>
  <c r="F33" i="68"/>
  <c r="F62" i="57"/>
  <c r="F55" i="57"/>
  <c r="F34" i="68"/>
  <c r="D172" i="59"/>
  <c r="D177" i="59"/>
  <c r="E177" i="59" s="1"/>
  <c r="D37" i="62"/>
  <c r="D38" i="62" s="1"/>
  <c r="D39" i="62" s="1"/>
  <c r="D58" i="62"/>
  <c r="D59" i="62" s="1"/>
  <c r="D60" i="62" s="1"/>
  <c r="D51" i="62"/>
  <c r="D52" i="62" s="1"/>
  <c r="D53" i="62" s="1"/>
  <c r="D44" i="62"/>
  <c r="D45" i="62" s="1"/>
  <c r="D46" i="62" s="1"/>
  <c r="D33" i="68"/>
  <c r="D34" i="68"/>
  <c r="D55" i="57"/>
  <c r="D129" i="59"/>
  <c r="D135" i="59"/>
  <c r="E135" i="59" s="1"/>
  <c r="Q35" i="34"/>
  <c r="H56" i="57" l="1"/>
  <c r="I58" i="57"/>
  <c r="D18" i="68"/>
  <c r="I18" i="68" s="1"/>
  <c r="D56" i="57"/>
  <c r="G56" i="57"/>
  <c r="G22" i="58" s="1"/>
  <c r="G25" i="58" s="1"/>
  <c r="H36" i="68"/>
  <c r="G36" i="68"/>
  <c r="D36" i="68"/>
  <c r="F36" i="68"/>
  <c r="E36" i="68"/>
  <c r="E56" i="57"/>
  <c r="E22" i="58" s="1"/>
  <c r="E25" i="58" s="1"/>
  <c r="F56" i="57"/>
  <c r="F22" i="58" s="1"/>
  <c r="F25" i="58" s="1"/>
  <c r="G48" i="58"/>
  <c r="G11" i="68" s="1"/>
  <c r="D48" i="58"/>
  <c r="F48" i="58"/>
  <c r="F11" i="68" s="1"/>
  <c r="E48" i="58"/>
  <c r="E11" i="68" s="1"/>
  <c r="H48" i="58"/>
  <c r="H11" i="68" s="1"/>
  <c r="F20" i="68"/>
  <c r="E20" i="68"/>
  <c r="H20" i="68"/>
  <c r="H22" i="58"/>
  <c r="H25" i="58" s="1"/>
  <c r="D20" i="68"/>
  <c r="G20" i="68"/>
  <c r="I34" i="68"/>
  <c r="I37" i="68"/>
  <c r="I33" i="68"/>
  <c r="I51" i="57"/>
  <c r="D47" i="58"/>
  <c r="CQ177" i="59"/>
  <c r="CG177" i="59"/>
  <c r="CI177" i="59"/>
  <c r="BV177" i="59"/>
  <c r="CB177" i="59"/>
  <c r="CD177" i="59"/>
  <c r="BU177" i="59"/>
  <c r="CF177" i="59"/>
  <c r="BY177" i="59"/>
  <c r="CN177" i="59"/>
  <c r="CH177" i="59"/>
  <c r="BT177" i="59"/>
  <c r="BW177" i="59"/>
  <c r="CP177" i="59"/>
  <c r="CA177" i="59"/>
  <c r="CE177" i="59"/>
  <c r="BX177" i="59"/>
  <c r="CO177" i="59"/>
  <c r="BZ177" i="59"/>
  <c r="CL177" i="59"/>
  <c r="CK177" i="59"/>
  <c r="CM177" i="59"/>
  <c r="CC177" i="59"/>
  <c r="CJ177" i="59"/>
  <c r="F47" i="58"/>
  <c r="F46" i="58"/>
  <c r="G47" i="58"/>
  <c r="BI155" i="59"/>
  <c r="BZ155" i="59"/>
  <c r="CO155" i="59"/>
  <c r="BH155" i="59"/>
  <c r="CD155" i="59"/>
  <c r="BY155" i="59"/>
  <c r="CC155" i="59"/>
  <c r="BL155" i="59"/>
  <c r="CB155" i="59"/>
  <c r="BN155" i="59"/>
  <c r="CF155" i="59"/>
  <c r="BP155" i="59"/>
  <c r="CP155" i="59"/>
  <c r="CG155" i="59"/>
  <c r="BM155" i="59"/>
  <c r="BO155" i="59"/>
  <c r="CK155" i="59"/>
  <c r="BR155" i="59"/>
  <c r="BV155" i="59"/>
  <c r="CH155" i="59"/>
  <c r="CA155" i="59"/>
  <c r="BU155" i="59"/>
  <c r="BK155" i="59"/>
  <c r="BQ155" i="59"/>
  <c r="CQ155" i="59"/>
  <c r="CE155" i="59"/>
  <c r="CL155" i="59"/>
  <c r="BS155" i="59"/>
  <c r="BW155" i="59"/>
  <c r="CI155" i="59"/>
  <c r="CN155" i="59"/>
  <c r="BX155" i="59"/>
  <c r="CJ155" i="59"/>
  <c r="BJ155" i="59"/>
  <c r="BT155" i="59"/>
  <c r="CM155" i="59"/>
  <c r="I62" i="57"/>
  <c r="I57" i="57"/>
  <c r="E172" i="59"/>
  <c r="G230" i="59"/>
  <c r="F6" i="60" s="1"/>
  <c r="G46" i="58"/>
  <c r="F230" i="59"/>
  <c r="E6" i="60" s="1"/>
  <c r="E150" i="59"/>
  <c r="BR154" i="59"/>
  <c r="BK154" i="59"/>
  <c r="CD154" i="59"/>
  <c r="CI154" i="59"/>
  <c r="CJ154" i="59"/>
  <c r="CC154" i="59"/>
  <c r="CE154" i="59"/>
  <c r="CO154" i="59"/>
  <c r="BX154" i="59"/>
  <c r="CK154" i="59"/>
  <c r="BP154" i="59"/>
  <c r="BN154" i="59"/>
  <c r="CN154" i="59"/>
  <c r="CP154" i="59"/>
  <c r="BM154" i="59"/>
  <c r="BW154" i="59"/>
  <c r="BY154" i="59"/>
  <c r="BO154" i="59"/>
  <c r="BU154" i="59"/>
  <c r="CB154" i="59"/>
  <c r="CG154" i="59"/>
  <c r="BH154" i="59"/>
  <c r="BZ154" i="59"/>
  <c r="CA154" i="59"/>
  <c r="CL154" i="59"/>
  <c r="BI154" i="59"/>
  <c r="BT154" i="59"/>
  <c r="CH154" i="59"/>
  <c r="BL154" i="59"/>
  <c r="BS154" i="59"/>
  <c r="CQ154" i="59"/>
  <c r="BJ154" i="59"/>
  <c r="BQ154" i="59"/>
  <c r="CM154" i="59"/>
  <c r="CF154" i="59"/>
  <c r="BV154" i="59"/>
  <c r="BN135" i="59"/>
  <c r="BH135" i="59"/>
  <c r="BO135" i="59"/>
  <c r="AY135" i="59"/>
  <c r="CQ135" i="59"/>
  <c r="BJ135" i="59"/>
  <c r="BD135" i="59"/>
  <c r="CM135" i="59"/>
  <c r="BZ135" i="59"/>
  <c r="BU135" i="59"/>
  <c r="CL135" i="59"/>
  <c r="CG135" i="59"/>
  <c r="BI135" i="59"/>
  <c r="CA135" i="59"/>
  <c r="AW135" i="59"/>
  <c r="BS135" i="59"/>
  <c r="BV135" i="59"/>
  <c r="BC135" i="59"/>
  <c r="BG135" i="59"/>
  <c r="AZ135" i="59"/>
  <c r="BM135" i="59"/>
  <c r="BW135" i="59"/>
  <c r="AX135" i="59"/>
  <c r="CP135" i="59"/>
  <c r="CN135" i="59"/>
  <c r="BF135" i="59"/>
  <c r="CH135" i="59"/>
  <c r="CJ135" i="59"/>
  <c r="BB135" i="59"/>
  <c r="CO135" i="59"/>
  <c r="CC135" i="59"/>
  <c r="BP135" i="59"/>
  <c r="BL135" i="59"/>
  <c r="CD135" i="59"/>
  <c r="BE135" i="59"/>
  <c r="BA135" i="59"/>
  <c r="BY135" i="59"/>
  <c r="BX135" i="59"/>
  <c r="CK135" i="59"/>
  <c r="CI135" i="59"/>
  <c r="BT135" i="59"/>
  <c r="CE135" i="59"/>
  <c r="BR135" i="59"/>
  <c r="AV135" i="59"/>
  <c r="BQ135" i="59"/>
  <c r="BK135" i="59"/>
  <c r="CF135" i="59"/>
  <c r="CB135" i="59"/>
  <c r="I55" i="57"/>
  <c r="I61" i="57"/>
  <c r="BU176" i="59"/>
  <c r="BW176" i="59"/>
  <c r="BZ176" i="59"/>
  <c r="CP176" i="59"/>
  <c r="CH176" i="59"/>
  <c r="CO176" i="59"/>
  <c r="CA176" i="59"/>
  <c r="CG176" i="59"/>
  <c r="CI176" i="59"/>
  <c r="BX176" i="59"/>
  <c r="CL176" i="59"/>
  <c r="CF176" i="59"/>
  <c r="CE176" i="59"/>
  <c r="CQ176" i="59"/>
  <c r="CN176" i="59"/>
  <c r="BY176" i="59"/>
  <c r="BT176" i="59"/>
  <c r="CM176" i="59"/>
  <c r="CK176" i="59"/>
  <c r="CB176" i="59"/>
  <c r="BV176" i="59"/>
  <c r="CC176" i="59"/>
  <c r="CJ176" i="59"/>
  <c r="CD176" i="59"/>
  <c r="CP195" i="59"/>
  <c r="CQ195" i="59"/>
  <c r="CF195" i="59"/>
  <c r="CG195" i="59"/>
  <c r="CN195" i="59"/>
  <c r="CM195" i="59"/>
  <c r="CI195" i="59"/>
  <c r="CH195" i="59"/>
  <c r="CO195" i="59"/>
  <c r="CK195" i="59"/>
  <c r="CL195" i="59"/>
  <c r="CJ195" i="59"/>
  <c r="CF194" i="59"/>
  <c r="CI194" i="59"/>
  <c r="CN194" i="59"/>
  <c r="CM194" i="59"/>
  <c r="CK194" i="59"/>
  <c r="CO194" i="59"/>
  <c r="CL194" i="59"/>
  <c r="CJ194" i="59"/>
  <c r="CQ194" i="59"/>
  <c r="CG194" i="59"/>
  <c r="CP194" i="59"/>
  <c r="CH194" i="59"/>
  <c r="E46" i="58"/>
  <c r="H46" i="58"/>
  <c r="I52" i="57"/>
  <c r="E129" i="59"/>
  <c r="E230" i="59"/>
  <c r="BV134" i="59"/>
  <c r="CJ134" i="59"/>
  <c r="BB134" i="59"/>
  <c r="BC134" i="59"/>
  <c r="CF134" i="59"/>
  <c r="CM134" i="59"/>
  <c r="BS134" i="59"/>
  <c r="AW134" i="59"/>
  <c r="BR134" i="59"/>
  <c r="BY134" i="59"/>
  <c r="BH134" i="59"/>
  <c r="BK134" i="59"/>
  <c r="CK134" i="59"/>
  <c r="BT134" i="59"/>
  <c r="BO134" i="59"/>
  <c r="CG134" i="59"/>
  <c r="BP134" i="59"/>
  <c r="BG134" i="59"/>
  <c r="CL134" i="59"/>
  <c r="CB134" i="59"/>
  <c r="CE134" i="59"/>
  <c r="BI134" i="59"/>
  <c r="CP134" i="59"/>
  <c r="AX134" i="59"/>
  <c r="BU134" i="59"/>
  <c r="BD134" i="59"/>
  <c r="CA134" i="59"/>
  <c r="BQ134" i="59"/>
  <c r="AZ134" i="59"/>
  <c r="CQ134" i="59"/>
  <c r="CC134" i="59"/>
  <c r="BL134" i="59"/>
  <c r="AY134" i="59"/>
  <c r="CN134" i="59"/>
  <c r="BJ134" i="59"/>
  <c r="CI134" i="59"/>
  <c r="BN134" i="59"/>
  <c r="BM134" i="59"/>
  <c r="BW134" i="59"/>
  <c r="BF134" i="59"/>
  <c r="BA134" i="59"/>
  <c r="AV134" i="59"/>
  <c r="CH134" i="59"/>
  <c r="BX134" i="59"/>
  <c r="BE134" i="59"/>
  <c r="BZ134" i="59"/>
  <c r="CO134" i="59"/>
  <c r="CD134" i="59"/>
  <c r="I50" i="57"/>
  <c r="D46" i="58"/>
  <c r="H230" i="59"/>
  <c r="G6" i="60" s="1"/>
  <c r="E190" i="59"/>
  <c r="E47" i="58"/>
  <c r="I230" i="59"/>
  <c r="H6" i="60" s="1"/>
  <c r="E208" i="59"/>
  <c r="H47" i="58"/>
  <c r="D14" i="45"/>
  <c r="C14" i="45"/>
  <c r="B14" i="45"/>
  <c r="I36" i="68" l="1"/>
  <c r="I35" i="68"/>
  <c r="G49" i="58"/>
  <c r="D49" i="58"/>
  <c r="H49" i="58"/>
  <c r="F9" i="68"/>
  <c r="F49" i="58"/>
  <c r="D11" i="68"/>
  <c r="I11" i="68" s="1"/>
  <c r="I48" i="58"/>
  <c r="E49" i="58"/>
  <c r="D22" i="58"/>
  <c r="D25" i="58" s="1"/>
  <c r="I56" i="57"/>
  <c r="I20" i="68"/>
  <c r="I21" i="68" s="1"/>
  <c r="E10" i="68"/>
  <c r="D9" i="68"/>
  <c r="E9" i="68"/>
  <c r="F10" i="68"/>
  <c r="G9" i="68"/>
  <c r="D10" i="68"/>
  <c r="G10" i="68"/>
  <c r="H10" i="68"/>
  <c r="H9" i="68"/>
  <c r="BU129" i="59"/>
  <c r="BD129" i="59"/>
  <c r="BR129" i="59"/>
  <c r="BQ129" i="59"/>
  <c r="AZ129" i="59"/>
  <c r="BB129" i="59"/>
  <c r="AW129" i="59"/>
  <c r="BO129" i="59"/>
  <c r="BZ129" i="59"/>
  <c r="BI129" i="59"/>
  <c r="CM129" i="59"/>
  <c r="CA129" i="59"/>
  <c r="BW129" i="59"/>
  <c r="CB129" i="59"/>
  <c r="BC129" i="59"/>
  <c r="BG129" i="59"/>
  <c r="BX129" i="59"/>
  <c r="BE129" i="59"/>
  <c r="CE129" i="59"/>
  <c r="BK129" i="59"/>
  <c r="BA129" i="59"/>
  <c r="CP129" i="59"/>
  <c r="CD129" i="59"/>
  <c r="CN129" i="59"/>
  <c r="BS129" i="59"/>
  <c r="CJ129" i="59"/>
  <c r="AY129" i="59"/>
  <c r="CI129" i="59"/>
  <c r="CF129" i="59"/>
  <c r="CL129" i="59"/>
  <c r="CC129" i="59"/>
  <c r="BL129" i="59"/>
  <c r="AX129" i="59"/>
  <c r="BV129" i="59"/>
  <c r="CK129" i="59"/>
  <c r="BT129" i="59"/>
  <c r="BN129" i="59"/>
  <c r="CG129" i="59"/>
  <c r="BP129" i="59"/>
  <c r="BF129" i="59"/>
  <c r="BM129" i="59"/>
  <c r="AV129" i="59"/>
  <c r="CQ129" i="59"/>
  <c r="BY129" i="59"/>
  <c r="BH129" i="59"/>
  <c r="CH129" i="59"/>
  <c r="BJ129" i="59"/>
  <c r="CO129" i="59"/>
  <c r="I47" i="58"/>
  <c r="CL150" i="59"/>
  <c r="BP150" i="59"/>
  <c r="CB150" i="59"/>
  <c r="CF150" i="59"/>
  <c r="CC150" i="59"/>
  <c r="CP150" i="59"/>
  <c r="BL150" i="59"/>
  <c r="BR150" i="59"/>
  <c r="CA150" i="59"/>
  <c r="CI150" i="59"/>
  <c r="CD150" i="59"/>
  <c r="BX150" i="59"/>
  <c r="BJ150" i="59"/>
  <c r="BM150" i="59"/>
  <c r="BU150" i="59"/>
  <c r="BK150" i="59"/>
  <c r="CQ150" i="59"/>
  <c r="BT150" i="59"/>
  <c r="BQ150" i="59"/>
  <c r="BS150" i="59"/>
  <c r="BI150" i="59"/>
  <c r="CE150" i="59"/>
  <c r="BY150" i="59"/>
  <c r="CM150" i="59"/>
  <c r="CJ150" i="59"/>
  <c r="BV150" i="59"/>
  <c r="CO150" i="59"/>
  <c r="CH150" i="59"/>
  <c r="CK150" i="59"/>
  <c r="CN150" i="59"/>
  <c r="BO150" i="59"/>
  <c r="CG150" i="59"/>
  <c r="BW150" i="59"/>
  <c r="BN150" i="59"/>
  <c r="BZ150" i="59"/>
  <c r="BH150" i="59"/>
  <c r="CH172" i="59"/>
  <c r="BW172" i="59"/>
  <c r="BT172" i="59"/>
  <c r="BV172" i="59"/>
  <c r="CC172" i="59"/>
  <c r="BX172" i="59"/>
  <c r="CQ172" i="59"/>
  <c r="CD172" i="59"/>
  <c r="CG172" i="59"/>
  <c r="CE172" i="59"/>
  <c r="CL172" i="59"/>
  <c r="BZ172" i="59"/>
  <c r="BU172" i="59"/>
  <c r="CK172" i="59"/>
  <c r="CB172" i="59"/>
  <c r="CP172" i="59"/>
  <c r="CA172" i="59"/>
  <c r="CJ172" i="59"/>
  <c r="BY172" i="59"/>
  <c r="CO172" i="59"/>
  <c r="CM172" i="59"/>
  <c r="CF172" i="59"/>
  <c r="CN172" i="59"/>
  <c r="CI172" i="59"/>
  <c r="CN190" i="59"/>
  <c r="CI190" i="59"/>
  <c r="CH190" i="59"/>
  <c r="CK190" i="59"/>
  <c r="CQ190" i="59"/>
  <c r="CJ190" i="59"/>
  <c r="CM190" i="59"/>
  <c r="CG190" i="59"/>
  <c r="CP190" i="59"/>
  <c r="CF190" i="59"/>
  <c r="CL190" i="59"/>
  <c r="CO190" i="59"/>
  <c r="I46" i="58"/>
  <c r="D6" i="60"/>
  <c r="D8" i="60" s="1"/>
  <c r="E234" i="59"/>
  <c r="F228" i="59" s="1"/>
  <c r="F14" i="45"/>
  <c r="E14" i="45"/>
  <c r="D13" i="45"/>
  <c r="C13" i="45"/>
  <c r="B13" i="45"/>
  <c r="D12" i="45"/>
  <c r="C12" i="45"/>
  <c r="B12" i="45"/>
  <c r="I10" i="68" l="1"/>
  <c r="I9" i="68"/>
  <c r="I22" i="58"/>
  <c r="G232" i="59"/>
  <c r="F7" i="60" s="1"/>
  <c r="F49" i="68" s="1"/>
  <c r="I49" i="58"/>
  <c r="F232" i="59"/>
  <c r="E7" i="60" s="1"/>
  <c r="E49" i="68" s="1"/>
  <c r="I232" i="59"/>
  <c r="H7" i="60" s="1"/>
  <c r="H49" i="68" s="1"/>
  <c r="H232" i="59"/>
  <c r="G7" i="60" s="1"/>
  <c r="G49" i="68" s="1"/>
  <c r="E5" i="60"/>
  <c r="E13" i="45"/>
  <c r="E12" i="45"/>
  <c r="F12" i="45"/>
  <c r="F13" i="45"/>
  <c r="M325" i="30"/>
  <c r="L325" i="30"/>
  <c r="I49" i="68" l="1"/>
  <c r="E8" i="60"/>
  <c r="F234" i="59"/>
  <c r="G228" i="59" s="1"/>
  <c r="F13" i="30"/>
  <c r="F15" i="30" s="1"/>
  <c r="F381" i="30" s="1"/>
  <c r="E13" i="30"/>
  <c r="E15" i="30" s="1"/>
  <c r="E381" i="30" s="1"/>
  <c r="D13" i="30"/>
  <c r="D15" i="30" s="1"/>
  <c r="D381" i="30" s="1"/>
  <c r="F12" i="30"/>
  <c r="E12" i="30"/>
  <c r="D12" i="30"/>
  <c r="F369" i="30"/>
  <c r="E369" i="30"/>
  <c r="F368" i="30"/>
  <c r="E368" i="30"/>
  <c r="F367" i="30"/>
  <c r="E367" i="30"/>
  <c r="F366" i="30"/>
  <c r="E366" i="30"/>
  <c r="F365" i="30"/>
  <c r="E365" i="30"/>
  <c r="D369" i="30"/>
  <c r="D368" i="30"/>
  <c r="D367" i="30"/>
  <c r="D366" i="30"/>
  <c r="D365" i="30"/>
  <c r="F361" i="30"/>
  <c r="E361" i="30"/>
  <c r="F360" i="30"/>
  <c r="E360" i="30"/>
  <c r="F359" i="30"/>
  <c r="E359" i="30"/>
  <c r="F358" i="30"/>
  <c r="E358" i="30"/>
  <c r="F357" i="30"/>
  <c r="E357" i="30"/>
  <c r="H356" i="30"/>
  <c r="F356" i="30"/>
  <c r="E356" i="30"/>
  <c r="D361" i="30"/>
  <c r="D360" i="30"/>
  <c r="D359" i="30"/>
  <c r="D358" i="30"/>
  <c r="D357" i="30"/>
  <c r="D356" i="30"/>
  <c r="F417" i="30" l="1"/>
  <c r="F37" i="44" s="1"/>
  <c r="F413" i="30"/>
  <c r="F33" i="44" s="1"/>
  <c r="F416" i="30"/>
  <c r="F36" i="44" s="1"/>
  <c r="F414" i="30"/>
  <c r="F34" i="44" s="1"/>
  <c r="F415" i="30"/>
  <c r="F35" i="44" s="1"/>
  <c r="D415" i="30"/>
  <c r="D35" i="44" s="1"/>
  <c r="D416" i="30"/>
  <c r="D36" i="44" s="1"/>
  <c r="D417" i="30"/>
  <c r="D37" i="44" s="1"/>
  <c r="D413" i="30"/>
  <c r="D33" i="44" s="1"/>
  <c r="D414" i="30"/>
  <c r="D34" i="44" s="1"/>
  <c r="E416" i="30"/>
  <c r="E36" i="44" s="1"/>
  <c r="E417" i="30"/>
  <c r="E37" i="44" s="1"/>
  <c r="E413" i="30"/>
  <c r="E33" i="44" s="1"/>
  <c r="E415" i="30"/>
  <c r="E35" i="44" s="1"/>
  <c r="E414" i="30"/>
  <c r="E34" i="44" s="1"/>
  <c r="F5" i="60"/>
  <c r="F8" i="60" s="1"/>
  <c r="G234" i="59"/>
  <c r="H228" i="59" s="1"/>
  <c r="D399" i="30"/>
  <c r="D19" i="44" s="1"/>
  <c r="D403" i="30"/>
  <c r="D23" i="44" s="1"/>
  <c r="D409" i="30"/>
  <c r="D29" i="44" s="1"/>
  <c r="F407" i="30"/>
  <c r="F27" i="44" s="1"/>
  <c r="E406" i="30"/>
  <c r="E26" i="44" s="1"/>
  <c r="E410" i="30"/>
  <c r="E30" i="44" s="1"/>
  <c r="F401" i="30"/>
  <c r="F21" i="44" s="1"/>
  <c r="F45" i="44" s="1"/>
  <c r="E400" i="30"/>
  <c r="E20" i="44" s="1"/>
  <c r="E44" i="44" s="1"/>
  <c r="D402" i="30"/>
  <c r="D22" i="44" s="1"/>
  <c r="F400" i="30"/>
  <c r="F20" i="44" s="1"/>
  <c r="F44" i="44" s="1"/>
  <c r="F402" i="30"/>
  <c r="F22" i="44" s="1"/>
  <c r="D407" i="30"/>
  <c r="D27" i="44" s="1"/>
  <c r="E408" i="30"/>
  <c r="E28" i="44" s="1"/>
  <c r="E409" i="30"/>
  <c r="E29" i="44" s="1"/>
  <c r="D398" i="30"/>
  <c r="D18" i="44" s="1"/>
  <c r="E399" i="30"/>
  <c r="E19" i="44" s="1"/>
  <c r="E401" i="30"/>
  <c r="E21" i="44" s="1"/>
  <c r="E45" i="44" s="1"/>
  <c r="E403" i="30"/>
  <c r="E23" i="44" s="1"/>
  <c r="D408" i="30"/>
  <c r="D28" i="44" s="1"/>
  <c r="F406" i="30"/>
  <c r="F26" i="44" s="1"/>
  <c r="F408" i="30"/>
  <c r="F28" i="44" s="1"/>
  <c r="F409" i="30"/>
  <c r="F29" i="44" s="1"/>
  <c r="D400" i="30"/>
  <c r="D20" i="44" s="1"/>
  <c r="D44" i="44" s="1"/>
  <c r="D8" i="53" s="1"/>
  <c r="E398" i="30"/>
  <c r="E18" i="44" s="1"/>
  <c r="F399" i="30"/>
  <c r="F19" i="44" s="1"/>
  <c r="F403" i="30"/>
  <c r="F23" i="44" s="1"/>
  <c r="E407" i="30"/>
  <c r="E27" i="44" s="1"/>
  <c r="D401" i="30"/>
  <c r="D21" i="44" s="1"/>
  <c r="D45" i="44" s="1"/>
  <c r="D9" i="53" s="1"/>
  <c r="F398" i="30"/>
  <c r="F18" i="44" s="1"/>
  <c r="E402" i="30"/>
  <c r="E22" i="44" s="1"/>
  <c r="D406" i="30"/>
  <c r="D26" i="44" s="1"/>
  <c r="D410" i="30"/>
  <c r="D30" i="44" s="1"/>
  <c r="F410" i="30"/>
  <c r="F30" i="44" s="1"/>
  <c r="B19" i="28"/>
  <c r="F9" i="53" l="1"/>
  <c r="F8" i="53"/>
  <c r="E9" i="53"/>
  <c r="E8" i="53"/>
  <c r="H234" i="59"/>
  <c r="I228" i="59" s="1"/>
  <c r="G5" i="60"/>
  <c r="G8" i="60" s="1"/>
  <c r="D45" i="36"/>
  <c r="H5" i="60" l="1"/>
  <c r="H8" i="60" s="1"/>
  <c r="I234" i="59"/>
  <c r="L323" i="30"/>
  <c r="G365" i="30" s="1"/>
  <c r="J303" i="30"/>
  <c r="I303" i="30"/>
  <c r="H303" i="30"/>
  <c r="G303" i="30"/>
  <c r="F303" i="30"/>
  <c r="E303" i="30"/>
  <c r="D303" i="30"/>
  <c r="J275" i="30"/>
  <c r="I275" i="30"/>
  <c r="H275" i="30"/>
  <c r="G275" i="30"/>
  <c r="F275" i="30"/>
  <c r="E275" i="30"/>
  <c r="D275" i="30"/>
  <c r="J274" i="30"/>
  <c r="I274" i="30"/>
  <c r="H274" i="30"/>
  <c r="G274" i="30"/>
  <c r="F274" i="30"/>
  <c r="E274" i="30"/>
  <c r="D274" i="30"/>
  <c r="J272" i="30"/>
  <c r="I272" i="30"/>
  <c r="H272" i="30"/>
  <c r="G272" i="30"/>
  <c r="F272" i="30"/>
  <c r="E272" i="30"/>
  <c r="M284" i="30" s="1"/>
  <c r="H357" i="30" s="1"/>
  <c r="D272" i="30"/>
  <c r="L283" i="30"/>
  <c r="G356" i="30" s="1"/>
  <c r="M226" i="30"/>
  <c r="H349" i="30" s="1"/>
  <c r="L226" i="30"/>
  <c r="G349" i="30" s="1"/>
  <c r="K226" i="30"/>
  <c r="F349" i="30" s="1"/>
  <c r="F392" i="30" s="1"/>
  <c r="F12" i="44" s="1"/>
  <c r="J226" i="30"/>
  <c r="E349" i="30" s="1"/>
  <c r="E392" i="30" s="1"/>
  <c r="E12" i="44" s="1"/>
  <c r="I226" i="30"/>
  <c r="D349" i="30" s="1"/>
  <c r="D392" i="30" s="1"/>
  <c r="D12" i="44" s="1"/>
  <c r="H226" i="30"/>
  <c r="M180" i="30"/>
  <c r="L180" i="30"/>
  <c r="K180" i="30"/>
  <c r="J180" i="30"/>
  <c r="I180" i="30"/>
  <c r="H180" i="30"/>
  <c r="R117" i="30" l="1"/>
  <c r="H195" i="30" s="1"/>
  <c r="Q117" i="30"/>
  <c r="G195" i="30" s="1"/>
  <c r="P117" i="30"/>
  <c r="F195" i="30" s="1"/>
  <c r="O117" i="30"/>
  <c r="E195" i="30" s="1"/>
  <c r="N117" i="30"/>
  <c r="D195" i="30" s="1"/>
  <c r="R64" i="30"/>
  <c r="H194" i="30" s="1"/>
  <c r="Q64" i="30"/>
  <c r="G194" i="30" s="1"/>
  <c r="P64" i="30"/>
  <c r="F194" i="30" s="1"/>
  <c r="O64" i="30"/>
  <c r="E194" i="30" s="1"/>
  <c r="N64" i="30"/>
  <c r="D194" i="30" s="1"/>
  <c r="H39" i="30" l="1"/>
  <c r="G39" i="30"/>
  <c r="F39" i="30"/>
  <c r="E39" i="30"/>
  <c r="D39" i="30"/>
  <c r="M57" i="30"/>
  <c r="L57" i="30"/>
  <c r="K57" i="30"/>
  <c r="J57" i="30"/>
  <c r="I57" i="30"/>
  <c r="H57" i="30"/>
  <c r="G56" i="30"/>
  <c r="F56" i="30"/>
  <c r="E56" i="30"/>
  <c r="D56" i="30"/>
  <c r="G55" i="30"/>
  <c r="F55" i="30"/>
  <c r="E55" i="30"/>
  <c r="D55" i="30"/>
  <c r="W23" i="30"/>
  <c r="V23" i="30"/>
  <c r="U23" i="30"/>
  <c r="T23" i="30"/>
  <c r="S23" i="30"/>
  <c r="R23" i="30"/>
  <c r="Q23" i="30"/>
  <c r="P23" i="30"/>
  <c r="O23" i="30"/>
  <c r="N23" i="30"/>
  <c r="M23" i="30"/>
  <c r="L23" i="30"/>
  <c r="K23" i="30"/>
  <c r="J23" i="30"/>
  <c r="I23" i="30"/>
  <c r="H23" i="30"/>
  <c r="G23" i="30"/>
  <c r="F23" i="30"/>
  <c r="E23" i="30"/>
  <c r="W22" i="30"/>
  <c r="V22" i="30"/>
  <c r="U22" i="30"/>
  <c r="T22" i="30"/>
  <c r="S22" i="30"/>
  <c r="R22" i="30"/>
  <c r="Q22" i="30"/>
  <c r="P22" i="30"/>
  <c r="O22" i="30"/>
  <c r="N22" i="30"/>
  <c r="M22" i="30"/>
  <c r="L22" i="30"/>
  <c r="K22" i="30"/>
  <c r="J22" i="30"/>
  <c r="I22" i="30"/>
  <c r="H22" i="30"/>
  <c r="G22" i="30"/>
  <c r="F22" i="30"/>
  <c r="E22" i="30"/>
  <c r="D23" i="30"/>
  <c r="D22" i="30"/>
  <c r="W24" i="30" l="1"/>
  <c r="V24" i="30"/>
  <c r="U24" i="30"/>
  <c r="T24" i="30"/>
  <c r="S24" i="30"/>
  <c r="R24" i="30"/>
  <c r="Q24" i="30"/>
  <c r="P24" i="30"/>
  <c r="O24" i="30"/>
  <c r="N24" i="30"/>
  <c r="O310" i="30" s="1"/>
  <c r="N325" i="30" s="1"/>
  <c r="Q310" i="30" l="1"/>
  <c r="Q312" i="30"/>
  <c r="Q311" i="30"/>
  <c r="R311" i="30"/>
  <c r="R312" i="30"/>
  <c r="R313" i="30"/>
  <c r="R310" i="30"/>
  <c r="S313" i="30"/>
  <c r="S310" i="30"/>
  <c r="S312" i="30"/>
  <c r="S311" i="30"/>
  <c r="P311" i="30"/>
  <c r="P310" i="30"/>
  <c r="Q325" i="30" l="1"/>
  <c r="O325" i="30"/>
  <c r="P325" i="30"/>
  <c r="I8" i="13" l="1"/>
  <c r="I9" i="13"/>
  <c r="I10" i="13"/>
  <c r="H225" i="30" l="1"/>
  <c r="R218" i="30"/>
  <c r="Q218" i="30"/>
  <c r="P218" i="30"/>
  <c r="O218" i="30"/>
  <c r="N218" i="30"/>
  <c r="M218" i="30"/>
  <c r="H341" i="30" s="1"/>
  <c r="L218" i="30"/>
  <c r="G341" i="30" s="1"/>
  <c r="K218" i="30"/>
  <c r="F341" i="30" s="1"/>
  <c r="F385" i="30" s="1"/>
  <c r="F5" i="44" s="1"/>
  <c r="F42" i="44" s="1"/>
  <c r="J218" i="30"/>
  <c r="E341" i="30" s="1"/>
  <c r="E385" i="30" s="1"/>
  <c r="E5" i="44" s="1"/>
  <c r="E42" i="44" s="1"/>
  <c r="I218" i="30"/>
  <c r="D341" i="30" s="1"/>
  <c r="D385" i="30" s="1"/>
  <c r="D5" i="44" s="1"/>
  <c r="D42" i="44" s="1"/>
  <c r="H218" i="30"/>
  <c r="G218" i="30"/>
  <c r="F218" i="30"/>
  <c r="E218" i="30"/>
  <c r="G228" i="30"/>
  <c r="F228" i="30"/>
  <c r="E228" i="30"/>
  <c r="D228" i="30"/>
  <c r="D218" i="30"/>
  <c r="D171" i="30"/>
  <c r="D217" i="30"/>
  <c r="D6" i="53" l="1"/>
  <c r="F6" i="53"/>
  <c r="E6" i="53"/>
  <c r="H67" i="57"/>
  <c r="G67" i="57"/>
  <c r="F67" i="57"/>
  <c r="E67" i="57"/>
  <c r="E51" i="58" l="1"/>
  <c r="G51" i="58"/>
  <c r="F51" i="58"/>
  <c r="H51" i="58"/>
  <c r="D67" i="57"/>
  <c r="I65" i="57"/>
  <c r="E254" i="30"/>
  <c r="O341" i="30" s="1"/>
  <c r="F262" i="30"/>
  <c r="P349" i="30" s="1"/>
  <c r="H295" i="30"/>
  <c r="G295" i="30"/>
  <c r="F295" i="30"/>
  <c r="E295" i="30"/>
  <c r="D295" i="30"/>
  <c r="G262" i="30"/>
  <c r="Q349" i="30" s="1"/>
  <c r="D262" i="30"/>
  <c r="N349" i="30" s="1"/>
  <c r="D5" i="30"/>
  <c r="E5" i="30"/>
  <c r="F5" i="30"/>
  <c r="G5" i="30"/>
  <c r="H5" i="30"/>
  <c r="I5" i="30"/>
  <c r="D6" i="30"/>
  <c r="D8" i="30" s="1"/>
  <c r="E6" i="30"/>
  <c r="E8" i="30" s="1"/>
  <c r="F6" i="30"/>
  <c r="F8" i="30" s="1"/>
  <c r="G6" i="30"/>
  <c r="G8" i="30" s="1"/>
  <c r="H6" i="30"/>
  <c r="H8" i="30" s="1"/>
  <c r="I6" i="30"/>
  <c r="G12" i="30"/>
  <c r="H12" i="30"/>
  <c r="I12" i="30"/>
  <c r="J12" i="30"/>
  <c r="K12" i="30"/>
  <c r="L12" i="30"/>
  <c r="M14" i="30" s="1"/>
  <c r="M15" i="30" s="1"/>
  <c r="G13" i="30"/>
  <c r="G15" i="30" s="1"/>
  <c r="G381" i="30" s="1"/>
  <c r="H13" i="30"/>
  <c r="H15" i="30" s="1"/>
  <c r="H381" i="30" s="1"/>
  <c r="I13" i="30"/>
  <c r="I15" i="30" s="1"/>
  <c r="J13" i="30"/>
  <c r="J15" i="30" s="1"/>
  <c r="K13" i="30"/>
  <c r="K15" i="30" s="1"/>
  <c r="L13" i="30"/>
  <c r="L15" i="30" s="1"/>
  <c r="E72" i="30"/>
  <c r="E76" i="30" s="1"/>
  <c r="F72" i="30"/>
  <c r="G72" i="30"/>
  <c r="H72" i="30"/>
  <c r="H77" i="30" s="1"/>
  <c r="I72" i="30"/>
  <c r="I80" i="30" s="1"/>
  <c r="J72" i="30"/>
  <c r="J83" i="30" s="1"/>
  <c r="K72" i="30"/>
  <c r="K76" i="30" s="1"/>
  <c r="L72" i="30"/>
  <c r="L77" i="30" s="1"/>
  <c r="M72" i="30"/>
  <c r="M80" i="30" s="1"/>
  <c r="N72" i="30"/>
  <c r="N83" i="30" s="1"/>
  <c r="O72" i="30"/>
  <c r="O81" i="30" s="1"/>
  <c r="P72" i="30"/>
  <c r="Q72" i="30"/>
  <c r="R72" i="30"/>
  <c r="E75" i="30"/>
  <c r="F75" i="30"/>
  <c r="G75" i="30"/>
  <c r="H75" i="30"/>
  <c r="I75" i="30"/>
  <c r="J75" i="30"/>
  <c r="K75" i="30"/>
  <c r="L75" i="30"/>
  <c r="M75" i="30"/>
  <c r="N75" i="30"/>
  <c r="G79" i="30"/>
  <c r="H79" i="30"/>
  <c r="H81" i="30"/>
  <c r="D170" i="30"/>
  <c r="E171" i="30"/>
  <c r="F171" i="30"/>
  <c r="G171" i="30"/>
  <c r="H171" i="30"/>
  <c r="I171" i="30"/>
  <c r="J171" i="30"/>
  <c r="K171" i="30"/>
  <c r="L171" i="30"/>
  <c r="M171" i="30"/>
  <c r="N171" i="30"/>
  <c r="O171" i="30"/>
  <c r="P171" i="30"/>
  <c r="Q171" i="30"/>
  <c r="R171" i="30"/>
  <c r="E126" i="30"/>
  <c r="F126" i="30"/>
  <c r="G126" i="30"/>
  <c r="H126" i="30"/>
  <c r="I126" i="30"/>
  <c r="I129" i="30" s="1"/>
  <c r="H148" i="30" s="1"/>
  <c r="J126" i="30"/>
  <c r="K126" i="30"/>
  <c r="K131" i="30" s="1"/>
  <c r="L126" i="30"/>
  <c r="L130" i="30" s="1"/>
  <c r="M126" i="30"/>
  <c r="M129" i="30" s="1"/>
  <c r="N126" i="30"/>
  <c r="O126" i="30"/>
  <c r="P126" i="30"/>
  <c r="Q126" i="30"/>
  <c r="R126" i="30"/>
  <c r="H179" i="30"/>
  <c r="N180" i="30"/>
  <c r="O180" i="30"/>
  <c r="P180" i="30"/>
  <c r="Q180" i="30"/>
  <c r="R180" i="30"/>
  <c r="L284" i="30"/>
  <c r="G357" i="30" s="1"/>
  <c r="L285" i="30"/>
  <c r="G358" i="30" s="1"/>
  <c r="M285" i="30"/>
  <c r="H358" i="30" s="1"/>
  <c r="N285" i="30"/>
  <c r="I358" i="30" s="1"/>
  <c r="Z42" i="27" s="1"/>
  <c r="O285" i="30"/>
  <c r="J358" i="30" s="1"/>
  <c r="AA42" i="27" s="1"/>
  <c r="P285" i="30"/>
  <c r="K358" i="30" s="1"/>
  <c r="AB42" i="27" s="1"/>
  <c r="Q285" i="30"/>
  <c r="L358" i="30" s="1"/>
  <c r="AC42" i="27" s="1"/>
  <c r="R285" i="30"/>
  <c r="M358" i="30" s="1"/>
  <c r="AD42" i="27" s="1"/>
  <c r="L286" i="30"/>
  <c r="G359" i="30" s="1"/>
  <c r="M286" i="30"/>
  <c r="H359" i="30" s="1"/>
  <c r="N286" i="30"/>
  <c r="I359" i="30" s="1"/>
  <c r="Z43" i="27" s="1"/>
  <c r="O286" i="30"/>
  <c r="J359" i="30" s="1"/>
  <c r="AA43" i="27" s="1"/>
  <c r="P286" i="30"/>
  <c r="K359" i="30" s="1"/>
  <c r="AB43" i="27" s="1"/>
  <c r="Q286" i="30"/>
  <c r="L359" i="30" s="1"/>
  <c r="AC43" i="27" s="1"/>
  <c r="AN43" i="27" s="1"/>
  <c r="R286" i="30"/>
  <c r="M359" i="30" s="1"/>
  <c r="AD43" i="27" s="1"/>
  <c r="AO43" i="27" s="1"/>
  <c r="E309" i="30"/>
  <c r="F309" i="30"/>
  <c r="G309" i="30"/>
  <c r="H309" i="30"/>
  <c r="I309" i="30"/>
  <c r="J309" i="30"/>
  <c r="K309" i="30"/>
  <c r="L309" i="30"/>
  <c r="M309" i="30"/>
  <c r="N309" i="30"/>
  <c r="O309" i="30"/>
  <c r="P309" i="30"/>
  <c r="Q309" i="30"/>
  <c r="R309" i="30"/>
  <c r="L324" i="30"/>
  <c r="G366" i="30" s="1"/>
  <c r="M324" i="30"/>
  <c r="H366" i="30" s="1"/>
  <c r="N324" i="30"/>
  <c r="I366" i="30" s="1"/>
  <c r="Z33" i="27" s="1"/>
  <c r="O324" i="30"/>
  <c r="J366" i="30" s="1"/>
  <c r="AA33" i="27" s="1"/>
  <c r="P324" i="30"/>
  <c r="K366" i="30" s="1"/>
  <c r="AB33" i="27" s="1"/>
  <c r="Q324" i="30"/>
  <c r="L366" i="30" s="1"/>
  <c r="AC33" i="27" s="1"/>
  <c r="G367" i="30"/>
  <c r="H367" i="30"/>
  <c r="H254" i="30"/>
  <c r="R341" i="30" s="1"/>
  <c r="G254" i="30"/>
  <c r="Q341" i="30" s="1"/>
  <c r="F254" i="30"/>
  <c r="P341" i="30" s="1"/>
  <c r="F12" i="68" l="1"/>
  <c r="G12" i="68"/>
  <c r="H12" i="68"/>
  <c r="E12" i="68"/>
  <c r="H415" i="30"/>
  <c r="H35" i="44" s="1"/>
  <c r="H416" i="30"/>
  <c r="H36" i="44" s="1"/>
  <c r="H414" i="30"/>
  <c r="H34" i="44" s="1"/>
  <c r="H417" i="30"/>
  <c r="H37" i="44" s="1"/>
  <c r="H413" i="30"/>
  <c r="H33" i="44" s="1"/>
  <c r="G414" i="30"/>
  <c r="G34" i="44" s="1"/>
  <c r="G417" i="30"/>
  <c r="G37" i="44" s="1"/>
  <c r="G413" i="30"/>
  <c r="G33" i="44" s="1"/>
  <c r="G415" i="30"/>
  <c r="G35" i="44" s="1"/>
  <c r="G416" i="30"/>
  <c r="G36" i="44" s="1"/>
  <c r="D51" i="58"/>
  <c r="D12" i="68" s="1"/>
  <c r="I67" i="57"/>
  <c r="M381" i="30"/>
  <c r="H32" i="30"/>
  <c r="H48" i="30" s="1"/>
  <c r="H29" i="30"/>
  <c r="H40" i="30" s="1"/>
  <c r="D32" i="30"/>
  <c r="D48" i="30" s="1"/>
  <c r="D29" i="30"/>
  <c r="D40" i="30" s="1"/>
  <c r="E32" i="30"/>
  <c r="E48" i="30" s="1"/>
  <c r="E29" i="30"/>
  <c r="L381" i="30"/>
  <c r="G32" i="30"/>
  <c r="G48" i="30" s="1"/>
  <c r="G29" i="30"/>
  <c r="G40" i="30" s="1"/>
  <c r="K381" i="30"/>
  <c r="F32" i="30"/>
  <c r="F48" i="30" s="1"/>
  <c r="F29" i="30"/>
  <c r="F40" i="30" s="1"/>
  <c r="H400" i="30"/>
  <c r="H20" i="44" s="1"/>
  <c r="H44" i="44" s="1"/>
  <c r="G407" i="30"/>
  <c r="G27" i="44" s="1"/>
  <c r="H401" i="30"/>
  <c r="H21" i="44" s="1"/>
  <c r="H45" i="44" s="1"/>
  <c r="G400" i="30"/>
  <c r="G20" i="44" s="1"/>
  <c r="G44" i="44" s="1"/>
  <c r="H407" i="30"/>
  <c r="H27" i="44" s="1"/>
  <c r="H408" i="30"/>
  <c r="H28" i="44" s="1"/>
  <c r="G401" i="30"/>
  <c r="G21" i="44" s="1"/>
  <c r="G45" i="44" s="1"/>
  <c r="G399" i="30"/>
  <c r="G19" i="44" s="1"/>
  <c r="G408" i="30"/>
  <c r="G28" i="44" s="1"/>
  <c r="K5" i="30"/>
  <c r="K18" i="30" s="1"/>
  <c r="F241" i="30" s="1"/>
  <c r="I381" i="30"/>
  <c r="H398" i="30"/>
  <c r="H18" i="44" s="1"/>
  <c r="H399" i="30"/>
  <c r="H19" i="44" s="1"/>
  <c r="H392" i="30"/>
  <c r="H12" i="44" s="1"/>
  <c r="H385" i="30"/>
  <c r="H5" i="44" s="1"/>
  <c r="G392" i="30"/>
  <c r="G12" i="44" s="1"/>
  <c r="G406" i="30"/>
  <c r="G26" i="44" s="1"/>
  <c r="G398" i="30"/>
  <c r="G18" i="44" s="1"/>
  <c r="G385" i="30"/>
  <c r="G5" i="44" s="1"/>
  <c r="J381" i="30"/>
  <c r="I367" i="30"/>
  <c r="Z34" i="27" s="1"/>
  <c r="P359" i="30"/>
  <c r="N359" i="30"/>
  <c r="R359" i="30"/>
  <c r="O359" i="30"/>
  <c r="Q359" i="30"/>
  <c r="D101" i="30"/>
  <c r="D173" i="30" s="1"/>
  <c r="D174" i="30" s="1"/>
  <c r="K129" i="30"/>
  <c r="M86" i="30"/>
  <c r="I78" i="30"/>
  <c r="H262" i="30"/>
  <c r="R349" i="30" s="1"/>
  <c r="H228" i="30"/>
  <c r="H229" i="30" s="1"/>
  <c r="I225" i="30" s="1"/>
  <c r="D348" i="30" s="1"/>
  <c r="D391" i="30" s="1"/>
  <c r="D11" i="44" s="1"/>
  <c r="H182" i="30"/>
  <c r="H183" i="30" s="1"/>
  <c r="O80" i="30"/>
  <c r="L326" i="30"/>
  <c r="O79" i="30"/>
  <c r="K84" i="30"/>
  <c r="L129" i="30"/>
  <c r="M81" i="30"/>
  <c r="K130" i="30"/>
  <c r="N84" i="30"/>
  <c r="L80" i="30"/>
  <c r="L78" i="30"/>
  <c r="L132" i="30"/>
  <c r="M85" i="30"/>
  <c r="M83" i="30"/>
  <c r="I81" i="30"/>
  <c r="M77" i="30"/>
  <c r="M82" i="30"/>
  <c r="M79" i="30"/>
  <c r="M78" i="30"/>
  <c r="I77" i="30"/>
  <c r="M84" i="30"/>
  <c r="I82" i="30"/>
  <c r="I79" i="30"/>
  <c r="I76" i="30"/>
  <c r="L287" i="30"/>
  <c r="L83" i="30"/>
  <c r="H80" i="30"/>
  <c r="M76" i="30"/>
  <c r="L84" i="30"/>
  <c r="H78" i="30"/>
  <c r="E262" i="30"/>
  <c r="O349" i="30" s="1"/>
  <c r="D254" i="30"/>
  <c r="N341" i="30" s="1"/>
  <c r="J78" i="30"/>
  <c r="N78" i="30"/>
  <c r="I8" i="30"/>
  <c r="M131" i="30"/>
  <c r="K82" i="30"/>
  <c r="K81" i="30"/>
  <c r="K78" i="30"/>
  <c r="G78" i="30"/>
  <c r="G77" i="30"/>
  <c r="G76" i="30"/>
  <c r="K80" i="30"/>
  <c r="K79" i="30"/>
  <c r="M133" i="30"/>
  <c r="M130" i="30"/>
  <c r="K83" i="30"/>
  <c r="K77" i="30"/>
  <c r="N134" i="30"/>
  <c r="O134" i="30" s="1"/>
  <c r="P134" i="30" s="1"/>
  <c r="Q134" i="30" s="1"/>
  <c r="R134" i="30" s="1"/>
  <c r="N129" i="30"/>
  <c r="N130" i="30"/>
  <c r="N131" i="30"/>
  <c r="N132" i="30"/>
  <c r="N133" i="30"/>
  <c r="J129" i="30"/>
  <c r="J130" i="30"/>
  <c r="M287" i="30"/>
  <c r="H360" i="30" s="1"/>
  <c r="H402" i="30" s="1"/>
  <c r="H22" i="44" s="1"/>
  <c r="Q163" i="30"/>
  <c r="N76" i="30"/>
  <c r="N79" i="30"/>
  <c r="N86" i="30"/>
  <c r="N80" i="30"/>
  <c r="N87" i="30"/>
  <c r="N77" i="30"/>
  <c r="N81" i="30"/>
  <c r="N82" i="30"/>
  <c r="N85" i="30"/>
  <c r="J76" i="30"/>
  <c r="J79" i="30"/>
  <c r="J80" i="30"/>
  <c r="J77" i="30"/>
  <c r="J81" i="30"/>
  <c r="J82" i="30"/>
  <c r="F76" i="30"/>
  <c r="F77" i="30"/>
  <c r="L79" i="30"/>
  <c r="L76" i="30"/>
  <c r="H76" i="30"/>
  <c r="O75" i="30"/>
  <c r="M132" i="30"/>
  <c r="L131" i="30"/>
  <c r="L85" i="30"/>
  <c r="L82" i="30"/>
  <c r="L81" i="30"/>
  <c r="I12" i="68" l="1"/>
  <c r="H42" i="44"/>
  <c r="G42" i="44"/>
  <c r="F31" i="58"/>
  <c r="F45" i="68" s="1"/>
  <c r="G31" i="58"/>
  <c r="G45" i="68" s="1"/>
  <c r="E31" i="58"/>
  <c r="E45" i="68" s="1"/>
  <c r="D31" i="58"/>
  <c r="D45" i="68" s="1"/>
  <c r="H31" i="58"/>
  <c r="H45" i="68" s="1"/>
  <c r="G9" i="53"/>
  <c r="H9" i="53"/>
  <c r="H8" i="53"/>
  <c r="G8" i="53"/>
  <c r="L414" i="30"/>
  <c r="L34" i="44" s="1"/>
  <c r="G82" i="44" s="1"/>
  <c r="L415" i="30"/>
  <c r="L35" i="44" s="1"/>
  <c r="G83" i="44" s="1"/>
  <c r="L413" i="30"/>
  <c r="L33" i="44" s="1"/>
  <c r="G81" i="44" s="1"/>
  <c r="K414" i="30"/>
  <c r="K34" i="44" s="1"/>
  <c r="F82" i="44" s="1"/>
  <c r="K415" i="30"/>
  <c r="K35" i="44" s="1"/>
  <c r="F83" i="44" s="1"/>
  <c r="K417" i="30"/>
  <c r="K37" i="44" s="1"/>
  <c r="F85" i="44" s="1"/>
  <c r="K413" i="30"/>
  <c r="K33" i="44" s="1"/>
  <c r="F81" i="44" s="1"/>
  <c r="K416" i="30"/>
  <c r="K36" i="44" s="1"/>
  <c r="F84" i="44" s="1"/>
  <c r="I416" i="30"/>
  <c r="I36" i="44" s="1"/>
  <c r="D84" i="44" s="1"/>
  <c r="I415" i="30"/>
  <c r="I35" i="44" s="1"/>
  <c r="D83" i="44" s="1"/>
  <c r="I417" i="30"/>
  <c r="I37" i="44" s="1"/>
  <c r="D85" i="44" s="1"/>
  <c r="I413" i="30"/>
  <c r="I33" i="44" s="1"/>
  <c r="D81" i="44" s="1"/>
  <c r="I414" i="30"/>
  <c r="I34" i="44" s="1"/>
  <c r="D82" i="44" s="1"/>
  <c r="J417" i="30"/>
  <c r="J37" i="44" s="1"/>
  <c r="E85" i="44" s="1"/>
  <c r="J413" i="30"/>
  <c r="J33" i="44" s="1"/>
  <c r="E81" i="44" s="1"/>
  <c r="J414" i="30"/>
  <c r="J34" i="44" s="1"/>
  <c r="E82" i="44" s="1"/>
  <c r="J415" i="30"/>
  <c r="J35" i="44" s="1"/>
  <c r="E83" i="44" s="1"/>
  <c r="J416" i="30"/>
  <c r="J36" i="44" s="1"/>
  <c r="E84" i="44" s="1"/>
  <c r="M414" i="30"/>
  <c r="M34" i="44" s="1"/>
  <c r="H82" i="44" s="1"/>
  <c r="M415" i="30"/>
  <c r="M35" i="44" s="1"/>
  <c r="H83" i="44" s="1"/>
  <c r="R161" i="30"/>
  <c r="M373" i="30" s="1"/>
  <c r="M413" i="30" s="1"/>
  <c r="M33" i="44" s="1"/>
  <c r="H81" i="44" s="1"/>
  <c r="L376" i="30"/>
  <c r="L416" i="30" s="1"/>
  <c r="L36" i="44" s="1"/>
  <c r="G84" i="44" s="1"/>
  <c r="I401" i="30"/>
  <c r="I21" i="44" s="1"/>
  <c r="I45" i="44" s="1"/>
  <c r="L400" i="30"/>
  <c r="L20" i="44" s="1"/>
  <c r="L44" i="44" s="1"/>
  <c r="K407" i="30"/>
  <c r="K27" i="44" s="1"/>
  <c r="F75" i="44" s="1"/>
  <c r="J400" i="30"/>
  <c r="J20" i="44" s="1"/>
  <c r="J44" i="44" s="1"/>
  <c r="M400" i="30"/>
  <c r="M20" i="44" s="1"/>
  <c r="M44" i="44" s="1"/>
  <c r="I51" i="58"/>
  <c r="K401" i="30"/>
  <c r="K21" i="44" s="1"/>
  <c r="K45" i="44" s="1"/>
  <c r="K400" i="30"/>
  <c r="K20" i="44" s="1"/>
  <c r="K44" i="44" s="1"/>
  <c r="L401" i="30"/>
  <c r="L21" i="44" s="1"/>
  <c r="L45" i="44" s="1"/>
  <c r="M401" i="30"/>
  <c r="M21" i="44" s="1"/>
  <c r="M45" i="44" s="1"/>
  <c r="I29" i="30"/>
  <c r="E40" i="30"/>
  <c r="I32" i="30"/>
  <c r="L407" i="30"/>
  <c r="L27" i="44" s="1"/>
  <c r="G75" i="44" s="1"/>
  <c r="J8" i="30"/>
  <c r="G6" i="53"/>
  <c r="H6" i="53"/>
  <c r="J401" i="30"/>
  <c r="J21" i="44" s="1"/>
  <c r="J45" i="44" s="1"/>
  <c r="I407" i="30"/>
  <c r="I27" i="44" s="1"/>
  <c r="D75" i="44" s="1"/>
  <c r="T311" i="30"/>
  <c r="T312" i="30"/>
  <c r="U312" i="30" s="1"/>
  <c r="T313" i="30"/>
  <c r="U313" i="30" s="1"/>
  <c r="V313" i="30" s="1"/>
  <c r="L5" i="30"/>
  <c r="I408" i="30"/>
  <c r="J407" i="30"/>
  <c r="J27" i="44" s="1"/>
  <c r="E75" i="44" s="1"/>
  <c r="I400" i="30"/>
  <c r="I20" i="44" s="1"/>
  <c r="I44" i="44" s="1"/>
  <c r="J367" i="30"/>
  <c r="M323" i="30"/>
  <c r="G368" i="30"/>
  <c r="G409" i="30" s="1"/>
  <c r="G29" i="44" s="1"/>
  <c r="K367" i="30"/>
  <c r="L367" i="30"/>
  <c r="L288" i="30"/>
  <c r="G361" i="30" s="1"/>
  <c r="G403" i="30" s="1"/>
  <c r="G23" i="44" s="1"/>
  <c r="G360" i="30"/>
  <c r="G402" i="30" s="1"/>
  <c r="G22" i="44" s="1"/>
  <c r="K101" i="30"/>
  <c r="K173" i="30" s="1"/>
  <c r="F101" i="30"/>
  <c r="J101" i="30"/>
  <c r="J173" i="30" s="1"/>
  <c r="E101" i="30"/>
  <c r="L101" i="30"/>
  <c r="L173" i="30" s="1"/>
  <c r="M101" i="30"/>
  <c r="M173" i="30" s="1"/>
  <c r="G101" i="30"/>
  <c r="I101" i="30"/>
  <c r="I173" i="30" s="1"/>
  <c r="H101" i="30"/>
  <c r="J148" i="30"/>
  <c r="J182" i="30" s="1"/>
  <c r="H230" i="30"/>
  <c r="L327" i="30"/>
  <c r="G369" i="30" s="1"/>
  <c r="G410" i="30" s="1"/>
  <c r="G30" i="44" s="1"/>
  <c r="D175" i="30"/>
  <c r="D220" i="30"/>
  <c r="D221" i="30" s="1"/>
  <c r="O132" i="30"/>
  <c r="P132" i="30" s="1"/>
  <c r="Q132" i="30" s="1"/>
  <c r="R132" i="30" s="1"/>
  <c r="O84" i="30"/>
  <c r="P84" i="30" s="1"/>
  <c r="O133" i="30"/>
  <c r="P133" i="30" s="1"/>
  <c r="Q133" i="30" s="1"/>
  <c r="R133" i="30" s="1"/>
  <c r="O83" i="30"/>
  <c r="P83" i="30" s="1"/>
  <c r="Q83" i="30" s="1"/>
  <c r="R83" i="30" s="1"/>
  <c r="O129" i="30"/>
  <c r="P129" i="30" s="1"/>
  <c r="L148" i="30"/>
  <c r="L182" i="30" s="1"/>
  <c r="O78" i="30"/>
  <c r="O77" i="30"/>
  <c r="O131" i="30"/>
  <c r="P131" i="30" s="1"/>
  <c r="Q131" i="30" s="1"/>
  <c r="R131" i="30" s="1"/>
  <c r="P80" i="30"/>
  <c r="O130" i="30"/>
  <c r="P130" i="30" s="1"/>
  <c r="Q130" i="30" s="1"/>
  <c r="R130" i="30" s="1"/>
  <c r="P81" i="30"/>
  <c r="P79" i="30"/>
  <c r="K148" i="30"/>
  <c r="K182" i="30" s="1"/>
  <c r="M8" i="30"/>
  <c r="M9" i="30"/>
  <c r="P381" i="30" s="1"/>
  <c r="K9" i="30"/>
  <c r="N381" i="30" s="1"/>
  <c r="K8" i="30"/>
  <c r="N9" i="30"/>
  <c r="Q381" i="30" s="1"/>
  <c r="N8" i="30"/>
  <c r="O9" i="30"/>
  <c r="R381" i="30" s="1"/>
  <c r="O8" i="30"/>
  <c r="L8" i="30"/>
  <c r="L9" i="30"/>
  <c r="O381" i="30" s="1"/>
  <c r="O76" i="30"/>
  <c r="Q164" i="30"/>
  <c r="L377" i="30" s="1"/>
  <c r="L417" i="30" s="1"/>
  <c r="L37" i="44" s="1"/>
  <c r="G85" i="44" s="1"/>
  <c r="I148" i="30"/>
  <c r="O87" i="30"/>
  <c r="P87" i="30" s="1"/>
  <c r="N283" i="30"/>
  <c r="I356" i="30" s="1"/>
  <c r="M288" i="30"/>
  <c r="H361" i="30" s="1"/>
  <c r="H403" i="30" s="1"/>
  <c r="H23" i="44" s="1"/>
  <c r="O86" i="30"/>
  <c r="M148" i="30"/>
  <c r="M182" i="30" s="1"/>
  <c r="O85" i="30"/>
  <c r="P85" i="30" s="1"/>
  <c r="I179" i="30"/>
  <c r="H184" i="30"/>
  <c r="O82" i="30"/>
  <c r="I45" i="68" l="1"/>
  <c r="H50" i="68"/>
  <c r="G50" i="68"/>
  <c r="F50" i="68"/>
  <c r="E50" i="68"/>
  <c r="E425" i="30"/>
  <c r="F425" i="30"/>
  <c r="H425" i="30"/>
  <c r="D425" i="30"/>
  <c r="G425" i="30"/>
  <c r="I31" i="58"/>
  <c r="G69" i="44"/>
  <c r="G92" i="44" s="1"/>
  <c r="L9" i="53"/>
  <c r="F68" i="44"/>
  <c r="F91" i="44" s="1"/>
  <c r="K8" i="53"/>
  <c r="H68" i="44"/>
  <c r="H91" i="44" s="1"/>
  <c r="M8" i="53"/>
  <c r="I9" i="53"/>
  <c r="G68" i="44"/>
  <c r="G91" i="44" s="1"/>
  <c r="L8" i="53"/>
  <c r="D69" i="44"/>
  <c r="D92" i="44" s="1"/>
  <c r="F69" i="44"/>
  <c r="F92" i="44" s="1"/>
  <c r="K9" i="53"/>
  <c r="E68" i="44"/>
  <c r="E91" i="44" s="1"/>
  <c r="J8" i="53"/>
  <c r="M9" i="53"/>
  <c r="R417" i="30"/>
  <c r="R37" i="44" s="1"/>
  <c r="R413" i="30"/>
  <c r="R33" i="44" s="1"/>
  <c r="R414" i="30"/>
  <c r="R34" i="44" s="1"/>
  <c r="R415" i="30"/>
  <c r="R35" i="44" s="1"/>
  <c r="R416" i="30"/>
  <c r="R36" i="44" s="1"/>
  <c r="N417" i="30"/>
  <c r="N37" i="44" s="1"/>
  <c r="I85" i="44" s="1"/>
  <c r="N413" i="30"/>
  <c r="N33" i="44" s="1"/>
  <c r="I81" i="44" s="1"/>
  <c r="N416" i="30"/>
  <c r="N36" i="44" s="1"/>
  <c r="I84" i="44" s="1"/>
  <c r="N414" i="30"/>
  <c r="N34" i="44" s="1"/>
  <c r="I82" i="44" s="1"/>
  <c r="N415" i="30"/>
  <c r="N35" i="44" s="1"/>
  <c r="I83" i="44" s="1"/>
  <c r="O414" i="30"/>
  <c r="O34" i="44" s="1"/>
  <c r="J82" i="44" s="1"/>
  <c r="O413" i="30"/>
  <c r="O33" i="44" s="1"/>
  <c r="J81" i="44" s="1"/>
  <c r="O415" i="30"/>
  <c r="O35" i="44" s="1"/>
  <c r="J83" i="44" s="1"/>
  <c r="O416" i="30"/>
  <c r="O36" i="44" s="1"/>
  <c r="J84" i="44" s="1"/>
  <c r="O417" i="30"/>
  <c r="O37" i="44" s="1"/>
  <c r="J85" i="44" s="1"/>
  <c r="P415" i="30"/>
  <c r="P35" i="44" s="1"/>
  <c r="P416" i="30"/>
  <c r="P36" i="44" s="1"/>
  <c r="P417" i="30"/>
  <c r="P37" i="44" s="1"/>
  <c r="P413" i="30"/>
  <c r="P33" i="44" s="1"/>
  <c r="P414" i="30"/>
  <c r="P34" i="44" s="1"/>
  <c r="Q416" i="30"/>
  <c r="Q36" i="44" s="1"/>
  <c r="Q417" i="30"/>
  <c r="Q37" i="44" s="1"/>
  <c r="Q413" i="30"/>
  <c r="Q33" i="44" s="1"/>
  <c r="Q415" i="30"/>
  <c r="Q35" i="44" s="1"/>
  <c r="Q414" i="30"/>
  <c r="Q34" i="44" s="1"/>
  <c r="P401" i="30"/>
  <c r="P21" i="44" s="1"/>
  <c r="P45" i="44" s="1"/>
  <c r="Q401" i="30"/>
  <c r="Q21" i="44" s="1"/>
  <c r="Q45" i="44" s="1"/>
  <c r="R385" i="30"/>
  <c r="R5" i="44" s="1"/>
  <c r="N392" i="30"/>
  <c r="N12" i="44" s="1"/>
  <c r="I60" i="44" s="1"/>
  <c r="AE17" i="27" s="1"/>
  <c r="O385" i="30"/>
  <c r="O5" i="44" s="1"/>
  <c r="H69" i="44"/>
  <c r="H92" i="44" s="1"/>
  <c r="L408" i="30"/>
  <c r="L28" i="44" s="1"/>
  <c r="G76" i="44" s="1"/>
  <c r="AC34" i="27"/>
  <c r="J408" i="30"/>
  <c r="J28" i="44" s="1"/>
  <c r="E76" i="44" s="1"/>
  <c r="AA34" i="27"/>
  <c r="K408" i="30"/>
  <c r="F424" i="30" s="1"/>
  <c r="AB34" i="27"/>
  <c r="I398" i="30"/>
  <c r="I18" i="44" s="1"/>
  <c r="D66" i="44" s="1"/>
  <c r="Z40" i="27"/>
  <c r="E69" i="44"/>
  <c r="E92" i="44" s="1"/>
  <c r="J9" i="53"/>
  <c r="D68" i="44"/>
  <c r="D91" i="44" s="1"/>
  <c r="I8" i="53"/>
  <c r="M5" i="30"/>
  <c r="D424" i="30"/>
  <c r="I28" i="44"/>
  <c r="D76" i="44" s="1"/>
  <c r="R401" i="30"/>
  <c r="R21" i="44" s="1"/>
  <c r="R45" i="44" s="1"/>
  <c r="P392" i="30"/>
  <c r="P12" i="44" s="1"/>
  <c r="P385" i="30"/>
  <c r="P5" i="44" s="1"/>
  <c r="N401" i="30"/>
  <c r="N21" i="44" s="1"/>
  <c r="N45" i="44" s="1"/>
  <c r="O401" i="30"/>
  <c r="O21" i="44" s="1"/>
  <c r="O45" i="44" s="1"/>
  <c r="R392" i="30"/>
  <c r="R12" i="44" s="1"/>
  <c r="Q385" i="30"/>
  <c r="Q5" i="44" s="1"/>
  <c r="Q392" i="30"/>
  <c r="Q12" i="44" s="1"/>
  <c r="O392" i="30"/>
  <c r="O12" i="44" s="1"/>
  <c r="J60" i="44" s="1"/>
  <c r="AF17" i="27" s="1"/>
  <c r="N385" i="30"/>
  <c r="M326" i="30"/>
  <c r="H365" i="30"/>
  <c r="H406" i="30" s="1"/>
  <c r="H26" i="44" s="1"/>
  <c r="J228" i="30"/>
  <c r="E350" i="30" s="1"/>
  <c r="E393" i="30" s="1"/>
  <c r="E13" i="44" s="1"/>
  <c r="F220" i="30"/>
  <c r="F173" i="30"/>
  <c r="I228" i="30"/>
  <c r="I182" i="30"/>
  <c r="I183" i="30" s="1"/>
  <c r="J179" i="30" s="1"/>
  <c r="J183" i="30" s="1"/>
  <c r="E220" i="30"/>
  <c r="E173" i="30"/>
  <c r="H220" i="30"/>
  <c r="H173" i="30"/>
  <c r="G220" i="30"/>
  <c r="G173" i="30"/>
  <c r="K228" i="30"/>
  <c r="F350" i="30" s="1"/>
  <c r="F393" i="30" s="1"/>
  <c r="F13" i="44" s="1"/>
  <c r="M228" i="30"/>
  <c r="H350" i="30" s="1"/>
  <c r="H393" i="30" s="1"/>
  <c r="H13" i="44" s="1"/>
  <c r="L228" i="30"/>
  <c r="G350" i="30" s="1"/>
  <c r="G393" i="30" s="1"/>
  <c r="G13" i="44" s="1"/>
  <c r="E217" i="30"/>
  <c r="D222" i="30"/>
  <c r="E170" i="30"/>
  <c r="M220" i="30"/>
  <c r="H342" i="30" s="1"/>
  <c r="H386" i="30" s="1"/>
  <c r="H6" i="44" s="1"/>
  <c r="I220" i="30"/>
  <c r="D342" i="30" s="1"/>
  <c r="D386" i="30" s="1"/>
  <c r="D6" i="44" s="1"/>
  <c r="J220" i="30"/>
  <c r="E342" i="30" s="1"/>
  <c r="E386" i="30" s="1"/>
  <c r="E6" i="44" s="1"/>
  <c r="K220" i="30"/>
  <c r="F342" i="30" s="1"/>
  <c r="F386" i="30" s="1"/>
  <c r="F6" i="44" s="1"/>
  <c r="L220" i="30"/>
  <c r="G342" i="30" s="1"/>
  <c r="G386" i="30" s="1"/>
  <c r="G6" i="44" s="1"/>
  <c r="G43" i="44" s="1"/>
  <c r="I195" i="30"/>
  <c r="Q84" i="30"/>
  <c r="R84" i="30" s="1"/>
  <c r="I194" i="30"/>
  <c r="Q87" i="30"/>
  <c r="R87" i="30" s="1"/>
  <c r="Q85" i="30"/>
  <c r="R85" i="30" s="1"/>
  <c r="N179" i="30"/>
  <c r="P82" i="30"/>
  <c r="Q129" i="30"/>
  <c r="P86" i="30"/>
  <c r="R163" i="30"/>
  <c r="K84" i="44" l="1"/>
  <c r="F43" i="44"/>
  <c r="K82" i="44"/>
  <c r="K83" i="44"/>
  <c r="K81" i="44"/>
  <c r="K85" i="44"/>
  <c r="H43" i="44"/>
  <c r="H7" i="53" s="1"/>
  <c r="E43" i="44"/>
  <c r="E7" i="53" s="1"/>
  <c r="J53" i="44"/>
  <c r="D50" i="68"/>
  <c r="I50" i="68" s="1"/>
  <c r="M425" i="30"/>
  <c r="J425" i="30"/>
  <c r="I425" i="30"/>
  <c r="F7" i="53"/>
  <c r="L425" i="30"/>
  <c r="K425" i="30"/>
  <c r="G7" i="53"/>
  <c r="R9" i="53"/>
  <c r="Q9" i="53"/>
  <c r="P9" i="53"/>
  <c r="R164" i="30"/>
  <c r="M377" i="30" s="1"/>
  <c r="M417" i="30" s="1"/>
  <c r="M37" i="44" s="1"/>
  <c r="H85" i="44" s="1"/>
  <c r="M376" i="30"/>
  <c r="M416" i="30" s="1"/>
  <c r="M36" i="44" s="1"/>
  <c r="H84" i="44" s="1"/>
  <c r="G424" i="30"/>
  <c r="E424" i="30"/>
  <c r="K28" i="44"/>
  <c r="F76" i="44" s="1"/>
  <c r="I69" i="44"/>
  <c r="I92" i="44" s="1"/>
  <c r="N9" i="53"/>
  <c r="J69" i="44"/>
  <c r="J92" i="44" s="1"/>
  <c r="O9" i="53"/>
  <c r="N5" i="44"/>
  <c r="N5" i="30"/>
  <c r="L82" i="44" s="1"/>
  <c r="K69" i="44"/>
  <c r="K92" i="44" s="1"/>
  <c r="K60" i="44"/>
  <c r="AG17" i="27" s="1"/>
  <c r="K53" i="44"/>
  <c r="N323" i="30"/>
  <c r="H368" i="30"/>
  <c r="H409" i="30" s="1"/>
  <c r="H29" i="44" s="1"/>
  <c r="M327" i="30"/>
  <c r="H369" i="30" s="1"/>
  <c r="H410" i="30" s="1"/>
  <c r="H30" i="44" s="1"/>
  <c r="I229" i="30"/>
  <c r="J225" i="30" s="1"/>
  <c r="D350" i="30"/>
  <c r="D393" i="30" s="1"/>
  <c r="D13" i="44" s="1"/>
  <c r="D43" i="44" s="1"/>
  <c r="E174" i="30"/>
  <c r="F170" i="30" s="1"/>
  <c r="E221" i="30"/>
  <c r="F217" i="30" s="1"/>
  <c r="I184" i="30"/>
  <c r="R129" i="30"/>
  <c r="Q86" i="30"/>
  <c r="R86" i="30" s="1"/>
  <c r="Q82" i="30"/>
  <c r="K179" i="30"/>
  <c r="K183" i="30" s="1"/>
  <c r="L85" i="44" l="1"/>
  <c r="L83" i="44"/>
  <c r="L84" i="44"/>
  <c r="AF25" i="27"/>
  <c r="L81" i="44"/>
  <c r="AG25" i="27"/>
  <c r="D7" i="53"/>
  <c r="AG43" i="27"/>
  <c r="AR43" i="27" s="1"/>
  <c r="AF43" i="27"/>
  <c r="AQ43" i="27" s="1"/>
  <c r="AE43" i="27"/>
  <c r="AP43" i="27" s="1"/>
  <c r="I53" i="44"/>
  <c r="O5" i="30"/>
  <c r="L60" i="44"/>
  <c r="AH17" i="27" s="1"/>
  <c r="L69" i="44"/>
  <c r="L92" i="44" s="1"/>
  <c r="L53" i="44"/>
  <c r="I365" i="30"/>
  <c r="N326" i="30"/>
  <c r="N327" i="30" s="1"/>
  <c r="I369" i="30" s="1"/>
  <c r="J229" i="30"/>
  <c r="J230" i="30" s="1"/>
  <c r="E352" i="30" s="1"/>
  <c r="E395" i="30" s="1"/>
  <c r="E15" i="44" s="1"/>
  <c r="E348" i="30"/>
  <c r="E391" i="30" s="1"/>
  <c r="E11" i="44" s="1"/>
  <c r="I230" i="30"/>
  <c r="D352" i="30" s="1"/>
  <c r="D395" i="30" s="1"/>
  <c r="D15" i="44" s="1"/>
  <c r="D351" i="30"/>
  <c r="D394" i="30" s="1"/>
  <c r="D14" i="44" s="1"/>
  <c r="E175" i="30"/>
  <c r="E222" i="30"/>
  <c r="F174" i="30"/>
  <c r="F175" i="30" s="1"/>
  <c r="F221" i="30"/>
  <c r="G217" i="30" s="1"/>
  <c r="J184" i="30"/>
  <c r="L179" i="30"/>
  <c r="L183" i="30" s="1"/>
  <c r="R82" i="30"/>
  <c r="J8" i="27"/>
  <c r="I6" i="27"/>
  <c r="I8" i="27" s="1"/>
  <c r="H6" i="27"/>
  <c r="H8" i="27" s="1"/>
  <c r="Q43" i="27" s="1"/>
  <c r="AM43" i="27" s="1"/>
  <c r="G6" i="27"/>
  <c r="G8" i="27" s="1"/>
  <c r="P43" i="27" s="1"/>
  <c r="AL43" i="27" s="1"/>
  <c r="F6" i="27"/>
  <c r="F8" i="27" s="1"/>
  <c r="O43" i="27" s="1"/>
  <c r="AK43" i="27" s="1"/>
  <c r="E6" i="27"/>
  <c r="E8" i="27" s="1"/>
  <c r="D6" i="27"/>
  <c r="D8" i="27" s="1"/>
  <c r="I3" i="27"/>
  <c r="H3" i="27"/>
  <c r="H5" i="27" s="1"/>
  <c r="G3" i="27"/>
  <c r="G5" i="27" s="1"/>
  <c r="F3" i="27"/>
  <c r="F5" i="27" s="1"/>
  <c r="E3" i="27"/>
  <c r="E5" i="27" s="1"/>
  <c r="D3" i="27"/>
  <c r="D5" i="27" s="1"/>
  <c r="X309" i="30"/>
  <c r="W309" i="30"/>
  <c r="V309" i="30"/>
  <c r="U309" i="30"/>
  <c r="T309" i="30"/>
  <c r="S309" i="30"/>
  <c r="X126" i="30"/>
  <c r="W126" i="30"/>
  <c r="V126" i="30"/>
  <c r="U126" i="30"/>
  <c r="T126" i="30"/>
  <c r="S126" i="30"/>
  <c r="X72" i="30"/>
  <c r="W72" i="30"/>
  <c r="V72" i="30"/>
  <c r="U72" i="30"/>
  <c r="T72" i="30"/>
  <c r="T93" i="30" s="1"/>
  <c r="D105" i="30" s="1"/>
  <c r="S72" i="30"/>
  <c r="M84" i="44" l="1"/>
  <c r="M81" i="44"/>
  <c r="M85" i="44"/>
  <c r="M83" i="44"/>
  <c r="M82" i="44"/>
  <c r="AH25" i="27"/>
  <c r="AE25" i="27"/>
  <c r="I410" i="30"/>
  <c r="I30" i="44" s="1"/>
  <c r="Z36" i="27"/>
  <c r="I406" i="30"/>
  <c r="I26" i="44" s="1"/>
  <c r="D74" i="44" s="1"/>
  <c r="Z32" i="27"/>
  <c r="AH43" i="27"/>
  <c r="AS43" i="27" s="1"/>
  <c r="M60" i="44"/>
  <c r="AI17" i="27" s="1"/>
  <c r="M69" i="44"/>
  <c r="M92" i="44" s="1"/>
  <c r="M53" i="44"/>
  <c r="O323" i="30"/>
  <c r="I368" i="30"/>
  <c r="K225" i="30"/>
  <c r="E351" i="30"/>
  <c r="E394" i="30" s="1"/>
  <c r="E14" i="44" s="1"/>
  <c r="G170" i="30"/>
  <c r="F222" i="30"/>
  <c r="G221" i="30"/>
  <c r="H217" i="30" s="1"/>
  <c r="I5" i="27"/>
  <c r="L5" i="27"/>
  <c r="N5" i="27"/>
  <c r="W142" i="30"/>
  <c r="W140" i="30"/>
  <c r="W143" i="30"/>
  <c r="W141" i="30"/>
  <c r="V141" i="30"/>
  <c r="V140" i="30"/>
  <c r="V142" i="30"/>
  <c r="T140" i="30"/>
  <c r="D154" i="30" s="1"/>
  <c r="X144" i="30"/>
  <c r="X142" i="30"/>
  <c r="X143" i="30"/>
  <c r="X140" i="30"/>
  <c r="X141" i="30"/>
  <c r="U140" i="30"/>
  <c r="U141" i="30"/>
  <c r="K184" i="30"/>
  <c r="M179" i="30"/>
  <c r="M183" i="30" s="1"/>
  <c r="U93" i="30"/>
  <c r="X97" i="30"/>
  <c r="V95" i="30"/>
  <c r="W95" i="30" s="1"/>
  <c r="W96" i="30"/>
  <c r="U94" i="30"/>
  <c r="V94" i="30" s="1"/>
  <c r="S134" i="30"/>
  <c r="S131" i="30"/>
  <c r="S132" i="30"/>
  <c r="AI25" i="27" l="1"/>
  <c r="I409" i="30"/>
  <c r="I29" i="44" s="1"/>
  <c r="D77" i="44" s="1"/>
  <c r="Z35" i="27"/>
  <c r="D78" i="44"/>
  <c r="B40" i="53"/>
  <c r="AI43" i="27"/>
  <c r="AT43" i="27" s="1"/>
  <c r="J365" i="30"/>
  <c r="O326" i="30"/>
  <c r="O327" i="30" s="1"/>
  <c r="J369" i="30" s="1"/>
  <c r="F348" i="30"/>
  <c r="F391" i="30" s="1"/>
  <c r="F11" i="44" s="1"/>
  <c r="K229" i="30"/>
  <c r="E154" i="30"/>
  <c r="H154" i="30"/>
  <c r="F154" i="30"/>
  <c r="G154" i="30"/>
  <c r="V93" i="30"/>
  <c r="F105" i="30" s="1"/>
  <c r="E105" i="30"/>
  <c r="G174" i="30"/>
  <c r="H170" i="30" s="1"/>
  <c r="G222" i="30"/>
  <c r="H221" i="30"/>
  <c r="I217" i="30" s="1"/>
  <c r="D340" i="30" s="1"/>
  <c r="D384" i="30" s="1"/>
  <c r="D4" i="44" s="1"/>
  <c r="D41" i="44" s="1"/>
  <c r="N9" i="27"/>
  <c r="J5" i="27"/>
  <c r="L9" i="27"/>
  <c r="T134" i="30"/>
  <c r="U134" i="30" s="1"/>
  <c r="V134" i="30" s="1"/>
  <c r="W134" i="30" s="1"/>
  <c r="X134" i="30" s="1"/>
  <c r="T132" i="30"/>
  <c r="U132" i="30" s="1"/>
  <c r="V132" i="30" s="1"/>
  <c r="W132" i="30" s="1"/>
  <c r="X132" i="30" s="1"/>
  <c r="T131" i="30"/>
  <c r="U131" i="30" s="1"/>
  <c r="V131" i="30" s="1"/>
  <c r="W131" i="30" s="1"/>
  <c r="X131" i="30" s="1"/>
  <c r="L184" i="30"/>
  <c r="M184" i="30"/>
  <c r="S130" i="30"/>
  <c r="S133" i="30"/>
  <c r="W94" i="30"/>
  <c r="X94" i="30" s="1"/>
  <c r="X96" i="30"/>
  <c r="X95" i="30"/>
  <c r="O9" i="27"/>
  <c r="O5" i="27"/>
  <c r="M5" i="27"/>
  <c r="M9" i="27"/>
  <c r="K9" i="27"/>
  <c r="K5" i="27"/>
  <c r="D5" i="53" l="1"/>
  <c r="J406" i="30"/>
  <c r="J26" i="44" s="1"/>
  <c r="E74" i="44" s="1"/>
  <c r="AA32" i="27"/>
  <c r="J410" i="30"/>
  <c r="J30" i="44" s="1"/>
  <c r="AA36" i="27"/>
  <c r="P323" i="30"/>
  <c r="J368" i="30"/>
  <c r="L225" i="30"/>
  <c r="F351" i="30"/>
  <c r="F394" i="30" s="1"/>
  <c r="F14" i="44" s="1"/>
  <c r="K230" i="30"/>
  <c r="F352" i="30" s="1"/>
  <c r="F395" i="30" s="1"/>
  <c r="F15" i="44" s="1"/>
  <c r="W93" i="30"/>
  <c r="G105" i="30" s="1"/>
  <c r="G175" i="30"/>
  <c r="H174" i="30"/>
  <c r="I170" i="30" s="1"/>
  <c r="N170" i="30"/>
  <c r="H222" i="30"/>
  <c r="I221" i="30"/>
  <c r="T133" i="30"/>
  <c r="U133" i="30" s="1"/>
  <c r="V133" i="30" s="1"/>
  <c r="W133" i="30" s="1"/>
  <c r="X133" i="30" s="1"/>
  <c r="T130" i="30"/>
  <c r="U130" i="30" s="1"/>
  <c r="V130" i="30" s="1"/>
  <c r="W130" i="30" s="1"/>
  <c r="X130" i="30" s="1"/>
  <c r="J409" i="30" l="1"/>
  <c r="J29" i="44" s="1"/>
  <c r="E77" i="44" s="1"/>
  <c r="AA35" i="27"/>
  <c r="E78" i="44"/>
  <c r="C40" i="53"/>
  <c r="K365" i="30"/>
  <c r="P326" i="30"/>
  <c r="G348" i="30"/>
  <c r="G391" i="30" s="1"/>
  <c r="G11" i="44" s="1"/>
  <c r="L229" i="30"/>
  <c r="L230" i="30" s="1"/>
  <c r="G352" i="30" s="1"/>
  <c r="G395" i="30" s="1"/>
  <c r="G15" i="44" s="1"/>
  <c r="J217" i="30"/>
  <c r="E340" i="30" s="1"/>
  <c r="E384" i="30" s="1"/>
  <c r="E4" i="44" s="1"/>
  <c r="E41" i="44" s="1"/>
  <c r="D343" i="30"/>
  <c r="D387" i="30" s="1"/>
  <c r="D7" i="44" s="1"/>
  <c r="D46" i="44" s="1"/>
  <c r="X93" i="30"/>
  <c r="H105" i="30" s="1"/>
  <c r="H175" i="30"/>
  <c r="I174" i="30"/>
  <c r="J170" i="30" s="1"/>
  <c r="I222" i="30"/>
  <c r="D344" i="30" s="1"/>
  <c r="D388" i="30" s="1"/>
  <c r="D8" i="44" s="1"/>
  <c r="D47" i="44" s="1"/>
  <c r="D11" i="53" l="1"/>
  <c r="D10" i="53"/>
  <c r="E5" i="53"/>
  <c r="K406" i="30"/>
  <c r="K26" i="44" s="1"/>
  <c r="F74" i="44" s="1"/>
  <c r="AB32" i="27"/>
  <c r="J221" i="30"/>
  <c r="K217" i="30" s="1"/>
  <c r="F340" i="30" s="1"/>
  <c r="F384" i="30" s="1"/>
  <c r="F4" i="44" s="1"/>
  <c r="F41" i="44" s="1"/>
  <c r="Q323" i="30"/>
  <c r="K368" i="30"/>
  <c r="P327" i="30"/>
  <c r="K369" i="30" s="1"/>
  <c r="M225" i="30"/>
  <c r="G351" i="30"/>
  <c r="G394" i="30" s="1"/>
  <c r="G14" i="44" s="1"/>
  <c r="I175" i="30"/>
  <c r="J174" i="30"/>
  <c r="K170" i="30" s="1"/>
  <c r="S84" i="30"/>
  <c r="S83" i="30"/>
  <c r="S85" i="30"/>
  <c r="F5" i="53" l="1"/>
  <c r="J222" i="30"/>
  <c r="E344" i="30" s="1"/>
  <c r="E388" i="30" s="1"/>
  <c r="E8" i="44" s="1"/>
  <c r="E47" i="44" s="1"/>
  <c r="K410" i="30"/>
  <c r="K30" i="44" s="1"/>
  <c r="AB36" i="27"/>
  <c r="K409" i="30"/>
  <c r="K29" i="44" s="1"/>
  <c r="F77" i="44" s="1"/>
  <c r="AB35" i="27"/>
  <c r="E343" i="30"/>
  <c r="E387" i="30" s="1"/>
  <c r="E7" i="44" s="1"/>
  <c r="E46" i="44" s="1"/>
  <c r="K221" i="30"/>
  <c r="K222" i="30" s="1"/>
  <c r="F344" i="30" s="1"/>
  <c r="F388" i="30" s="1"/>
  <c r="F8" i="44" s="1"/>
  <c r="F47" i="44" s="1"/>
  <c r="L365" i="30"/>
  <c r="Q326" i="30"/>
  <c r="Q327" i="30" s="1"/>
  <c r="L369" i="30" s="1"/>
  <c r="H348" i="30"/>
  <c r="H391" i="30" s="1"/>
  <c r="H11" i="44" s="1"/>
  <c r="M229" i="30"/>
  <c r="M230" i="30" s="1"/>
  <c r="H352" i="30" s="1"/>
  <c r="H395" i="30" s="1"/>
  <c r="H15" i="44" s="1"/>
  <c r="J175" i="30"/>
  <c r="K174" i="30"/>
  <c r="L170" i="30" s="1"/>
  <c r="S86" i="30"/>
  <c r="S82" i="30"/>
  <c r="S129" i="30"/>
  <c r="S87" i="30"/>
  <c r="E10" i="53" l="1"/>
  <c r="E11" i="53"/>
  <c r="F11" i="53"/>
  <c r="L406" i="30"/>
  <c r="L26" i="44" s="1"/>
  <c r="G74" i="44" s="1"/>
  <c r="AC32" i="27"/>
  <c r="L410" i="30"/>
  <c r="L30" i="44" s="1"/>
  <c r="AC36" i="27"/>
  <c r="F78" i="44"/>
  <c r="D40" i="53"/>
  <c r="L217" i="30"/>
  <c r="G340" i="30" s="1"/>
  <c r="G384" i="30" s="1"/>
  <c r="G4" i="44" s="1"/>
  <c r="G41" i="44" s="1"/>
  <c r="F343" i="30"/>
  <c r="F387" i="30" s="1"/>
  <c r="F7" i="44" s="1"/>
  <c r="F46" i="44" s="1"/>
  <c r="R323" i="30"/>
  <c r="L368" i="30"/>
  <c r="N225" i="30"/>
  <c r="H351" i="30"/>
  <c r="H394" i="30" s="1"/>
  <c r="H14" i="44" s="1"/>
  <c r="L174" i="30"/>
  <c r="M170" i="30" s="1"/>
  <c r="K175" i="30"/>
  <c r="T129" i="30"/>
  <c r="F10" i="53" l="1"/>
  <c r="G5" i="53"/>
  <c r="L221" i="30"/>
  <c r="G343" i="30" s="1"/>
  <c r="G387" i="30" s="1"/>
  <c r="G7" i="44" s="1"/>
  <c r="G46" i="44" s="1"/>
  <c r="G78" i="44"/>
  <c r="E40" i="53"/>
  <c r="L409" i="30"/>
  <c r="L29" i="44" s="1"/>
  <c r="G77" i="44" s="1"/>
  <c r="AC35" i="27"/>
  <c r="M365" i="30"/>
  <c r="I348" i="30"/>
  <c r="I391" i="30" s="1"/>
  <c r="I11" i="44" s="1"/>
  <c r="L175" i="30"/>
  <c r="M174" i="30"/>
  <c r="M175" i="30" s="1"/>
  <c r="U129" i="30"/>
  <c r="G10" i="53" l="1"/>
  <c r="L222" i="30"/>
  <c r="G344" i="30" s="1"/>
  <c r="G388" i="30" s="1"/>
  <c r="G8" i="44" s="1"/>
  <c r="G47" i="44" s="1"/>
  <c r="M217" i="30"/>
  <c r="H340" i="30" s="1"/>
  <c r="H384" i="30" s="1"/>
  <c r="H4" i="44" s="1"/>
  <c r="H41" i="44" s="1"/>
  <c r="M406" i="30"/>
  <c r="M26" i="44" s="1"/>
  <c r="H74" i="44" s="1"/>
  <c r="AD32" i="27"/>
  <c r="D59" i="44"/>
  <c r="Z16" i="27"/>
  <c r="V129" i="30"/>
  <c r="G11" i="53" l="1"/>
  <c r="H5" i="53"/>
  <c r="M221" i="30"/>
  <c r="M222" i="30" s="1"/>
  <c r="H344" i="30" s="1"/>
  <c r="H388" i="30" s="1"/>
  <c r="H8" i="44" s="1"/>
  <c r="H47" i="44" s="1"/>
  <c r="W129" i="30"/>
  <c r="H11" i="53" l="1"/>
  <c r="H343" i="30"/>
  <c r="H387" i="30" s="1"/>
  <c r="H7" i="44" s="1"/>
  <c r="H46" i="44" s="1"/>
  <c r="N217" i="30"/>
  <c r="I340" i="30" s="1"/>
  <c r="X129" i="30"/>
  <c r="H10" i="53" l="1"/>
  <c r="I384" i="30"/>
  <c r="I4" i="44" s="1"/>
  <c r="I41" i="44" s="1"/>
  <c r="Z24" i="27"/>
  <c r="B14" i="28"/>
  <c r="I5" i="53" l="1"/>
  <c r="D52" i="44"/>
  <c r="D88" i="44" s="1"/>
  <c r="B15" i="28"/>
  <c r="B18" i="28" s="1"/>
  <c r="M46" i="27"/>
  <c r="L46" i="27"/>
  <c r="K46" i="27"/>
  <c r="J46" i="27"/>
  <c r="I46" i="27"/>
  <c r="H46" i="27"/>
  <c r="G46" i="27"/>
  <c r="F46" i="27"/>
  <c r="E46" i="27"/>
  <c r="D46" i="27"/>
  <c r="M45" i="27"/>
  <c r="X45" i="27" s="1"/>
  <c r="L45" i="27"/>
  <c r="W45" i="27" s="1"/>
  <c r="K45" i="27"/>
  <c r="V45" i="27" s="1"/>
  <c r="J45" i="27"/>
  <c r="U45" i="27" s="1"/>
  <c r="I45" i="27"/>
  <c r="T45" i="27" s="1"/>
  <c r="H45" i="27"/>
  <c r="S45" i="27" s="1"/>
  <c r="G45" i="27"/>
  <c r="R45" i="27" s="1"/>
  <c r="F45" i="27"/>
  <c r="Q45" i="27" s="1"/>
  <c r="E45" i="27"/>
  <c r="P45" i="27" s="1"/>
  <c r="D45" i="27"/>
  <c r="O45" i="27" s="1"/>
  <c r="M44" i="27"/>
  <c r="X44" i="27" s="1"/>
  <c r="AT44" i="27" s="1"/>
  <c r="L44" i="27"/>
  <c r="W44" i="27" s="1"/>
  <c r="AS44" i="27" s="1"/>
  <c r="K44" i="27"/>
  <c r="V44" i="27" s="1"/>
  <c r="AR44" i="27" s="1"/>
  <c r="J44" i="27"/>
  <c r="U44" i="27" s="1"/>
  <c r="AQ44" i="27" s="1"/>
  <c r="I44" i="27"/>
  <c r="T44" i="27" s="1"/>
  <c r="AP44" i="27" s="1"/>
  <c r="H44" i="27"/>
  <c r="S44" i="27" s="1"/>
  <c r="AO44" i="27" s="1"/>
  <c r="G44" i="27"/>
  <c r="R44" i="27" s="1"/>
  <c r="AN44" i="27" s="1"/>
  <c r="F44" i="27"/>
  <c r="Q44" i="27" s="1"/>
  <c r="AM44" i="27" s="1"/>
  <c r="E44" i="27"/>
  <c r="P44" i="27" s="1"/>
  <c r="AL44" i="27" s="1"/>
  <c r="D44" i="27"/>
  <c r="O44" i="27" s="1"/>
  <c r="AK44" i="27" s="1"/>
  <c r="M42" i="27"/>
  <c r="L42" i="27"/>
  <c r="K42" i="27"/>
  <c r="J42" i="27"/>
  <c r="I42" i="27"/>
  <c r="H42" i="27"/>
  <c r="S42" i="27" s="1"/>
  <c r="AO42" i="27" s="1"/>
  <c r="G42" i="27"/>
  <c r="R42" i="27" s="1"/>
  <c r="AN42" i="27" s="1"/>
  <c r="F42" i="27"/>
  <c r="Q42" i="27" s="1"/>
  <c r="AM42" i="27" s="1"/>
  <c r="E42" i="27"/>
  <c r="P42" i="27" s="1"/>
  <c r="AL42" i="27" s="1"/>
  <c r="D42" i="27"/>
  <c r="O42" i="27" s="1"/>
  <c r="AK42" i="27" s="1"/>
  <c r="M41" i="27"/>
  <c r="H40" i="57" s="1"/>
  <c r="L41" i="27"/>
  <c r="G40" i="57" s="1"/>
  <c r="K41" i="27"/>
  <c r="F40" i="57" s="1"/>
  <c r="J41" i="27"/>
  <c r="E40" i="57" s="1"/>
  <c r="I41" i="27"/>
  <c r="D40" i="57" s="1"/>
  <c r="D43" i="57" s="1"/>
  <c r="H41" i="27"/>
  <c r="G41" i="27"/>
  <c r="F41" i="27"/>
  <c r="E41" i="27"/>
  <c r="D41" i="27"/>
  <c r="M40" i="27"/>
  <c r="X40" i="27" s="1"/>
  <c r="L40" i="27"/>
  <c r="W40" i="27" s="1"/>
  <c r="K40" i="27"/>
  <c r="V40" i="27" s="1"/>
  <c r="J40" i="27"/>
  <c r="U40" i="27" s="1"/>
  <c r="I40" i="27"/>
  <c r="T40" i="27" s="1"/>
  <c r="H40" i="27"/>
  <c r="S40" i="27" s="1"/>
  <c r="G40" i="27"/>
  <c r="R40" i="27" s="1"/>
  <c r="F40" i="27"/>
  <c r="Q40" i="27" s="1"/>
  <c r="E40" i="27"/>
  <c r="P40" i="27" s="1"/>
  <c r="D40" i="27"/>
  <c r="O40" i="27" s="1"/>
  <c r="AK40" i="27" s="1"/>
  <c r="M36" i="27"/>
  <c r="L36" i="27"/>
  <c r="K36" i="27"/>
  <c r="J36" i="27"/>
  <c r="I36" i="27"/>
  <c r="H36" i="27"/>
  <c r="G36" i="27"/>
  <c r="F36" i="27"/>
  <c r="E36" i="27"/>
  <c r="D36" i="27"/>
  <c r="M35" i="27"/>
  <c r="X35" i="27" s="1"/>
  <c r="L35" i="27"/>
  <c r="W35" i="27" s="1"/>
  <c r="K35" i="27"/>
  <c r="V35" i="27" s="1"/>
  <c r="J35" i="27"/>
  <c r="U35" i="27" s="1"/>
  <c r="I35" i="27"/>
  <c r="T35" i="27" s="1"/>
  <c r="H35" i="27"/>
  <c r="S35" i="27" s="1"/>
  <c r="G35" i="27"/>
  <c r="R35" i="27" s="1"/>
  <c r="AN35" i="27" s="1"/>
  <c r="F35" i="27"/>
  <c r="Q35" i="27" s="1"/>
  <c r="AM35" i="27" s="1"/>
  <c r="E35" i="27"/>
  <c r="P35" i="27" s="1"/>
  <c r="AL35" i="27" s="1"/>
  <c r="D35" i="27"/>
  <c r="O35" i="27" s="1"/>
  <c r="AK35" i="27" s="1"/>
  <c r="M34" i="27"/>
  <c r="X34" i="27" s="1"/>
  <c r="L34" i="27"/>
  <c r="W34" i="27" s="1"/>
  <c r="K34" i="27"/>
  <c r="V34" i="27" s="1"/>
  <c r="J34" i="27"/>
  <c r="U34" i="27" s="1"/>
  <c r="I34" i="27"/>
  <c r="H34" i="27"/>
  <c r="G34" i="27"/>
  <c r="F34" i="27"/>
  <c r="E34" i="27"/>
  <c r="D34" i="27"/>
  <c r="M33" i="27"/>
  <c r="X33" i="27" s="1"/>
  <c r="L33" i="27"/>
  <c r="W33" i="27" s="1"/>
  <c r="K33" i="27"/>
  <c r="V33" i="27" s="1"/>
  <c r="J33" i="27"/>
  <c r="U33" i="27" s="1"/>
  <c r="I33" i="27"/>
  <c r="T33" i="27" s="1"/>
  <c r="H33" i="27"/>
  <c r="G33" i="27"/>
  <c r="F33" i="27"/>
  <c r="E33" i="27"/>
  <c r="D33" i="27"/>
  <c r="M32" i="27"/>
  <c r="X32" i="27" s="1"/>
  <c r="L32" i="27"/>
  <c r="W32" i="27" s="1"/>
  <c r="K32" i="27"/>
  <c r="V32" i="27" s="1"/>
  <c r="J32" i="27"/>
  <c r="U32" i="27" s="1"/>
  <c r="I32" i="27"/>
  <c r="T32" i="27" s="1"/>
  <c r="H32" i="27"/>
  <c r="S32" i="27" s="1"/>
  <c r="AO32" i="27" s="1"/>
  <c r="G32" i="27"/>
  <c r="R32" i="27" s="1"/>
  <c r="AN32" i="27" s="1"/>
  <c r="F32" i="27"/>
  <c r="Q32" i="27" s="1"/>
  <c r="AM32" i="27" s="1"/>
  <c r="E32" i="27"/>
  <c r="P32" i="27" s="1"/>
  <c r="AL32" i="27" s="1"/>
  <c r="D32" i="27"/>
  <c r="O32" i="27" s="1"/>
  <c r="AK32" i="27" s="1"/>
  <c r="M28" i="27"/>
  <c r="L28" i="27"/>
  <c r="K28" i="27"/>
  <c r="J28" i="27"/>
  <c r="I28" i="27"/>
  <c r="H28" i="27"/>
  <c r="G28" i="27"/>
  <c r="F28" i="27"/>
  <c r="E28" i="27"/>
  <c r="D28" i="27"/>
  <c r="M27" i="27"/>
  <c r="X27" i="27" s="1"/>
  <c r="L27" i="27"/>
  <c r="W27" i="27" s="1"/>
  <c r="K27" i="27"/>
  <c r="V27" i="27" s="1"/>
  <c r="J27" i="27"/>
  <c r="U27" i="27" s="1"/>
  <c r="I27" i="27"/>
  <c r="T27" i="27" s="1"/>
  <c r="H27" i="27"/>
  <c r="S27" i="27" s="1"/>
  <c r="G27" i="27"/>
  <c r="R27" i="27" s="1"/>
  <c r="F27" i="27"/>
  <c r="Q27" i="27" s="1"/>
  <c r="E27" i="27"/>
  <c r="P27" i="27" s="1"/>
  <c r="D27" i="27"/>
  <c r="O27" i="27" s="1"/>
  <c r="M26" i="27"/>
  <c r="X26" i="27" s="1"/>
  <c r="L26" i="27"/>
  <c r="W26" i="27" s="1"/>
  <c r="K26" i="27"/>
  <c r="V26" i="27" s="1"/>
  <c r="J26" i="27"/>
  <c r="U26" i="27" s="1"/>
  <c r="I26" i="27"/>
  <c r="H26" i="27"/>
  <c r="G26" i="27"/>
  <c r="F26" i="27"/>
  <c r="E26" i="27"/>
  <c r="D26" i="27"/>
  <c r="M25" i="27"/>
  <c r="X25" i="27" s="1"/>
  <c r="AT25" i="27" s="1"/>
  <c r="L25" i="27"/>
  <c r="W25" i="27" s="1"/>
  <c r="AS25" i="27" s="1"/>
  <c r="K25" i="27"/>
  <c r="V25" i="27" s="1"/>
  <c r="AR25" i="27" s="1"/>
  <c r="J25" i="27"/>
  <c r="U25" i="27" s="1"/>
  <c r="AQ25" i="27" s="1"/>
  <c r="I25" i="27"/>
  <c r="H25" i="27"/>
  <c r="G25" i="27"/>
  <c r="F25" i="27"/>
  <c r="E25" i="27"/>
  <c r="D25" i="27"/>
  <c r="M24" i="27"/>
  <c r="X24" i="27" s="1"/>
  <c r="L24" i="27"/>
  <c r="W24" i="27" s="1"/>
  <c r="K24" i="27"/>
  <c r="V24" i="27" s="1"/>
  <c r="J24" i="27"/>
  <c r="U24" i="27" s="1"/>
  <c r="I24" i="27"/>
  <c r="T24" i="27" s="1"/>
  <c r="H24" i="27"/>
  <c r="S24" i="27" s="1"/>
  <c r="G24" i="27"/>
  <c r="R24" i="27" s="1"/>
  <c r="F24" i="27"/>
  <c r="Q24" i="27" s="1"/>
  <c r="E24" i="27"/>
  <c r="P24" i="27" s="1"/>
  <c r="D24" i="27"/>
  <c r="O24" i="27" s="1"/>
  <c r="AK24" i="27" s="1"/>
  <c r="M20" i="27"/>
  <c r="L20" i="27"/>
  <c r="K20" i="27"/>
  <c r="J20" i="27"/>
  <c r="I20" i="27"/>
  <c r="H20" i="27"/>
  <c r="G20" i="27"/>
  <c r="F20" i="27"/>
  <c r="E20" i="27"/>
  <c r="D20" i="27"/>
  <c r="M19" i="27"/>
  <c r="X19" i="27" s="1"/>
  <c r="L19" i="27"/>
  <c r="W19" i="27" s="1"/>
  <c r="K19" i="27"/>
  <c r="V19" i="27" s="1"/>
  <c r="J19" i="27"/>
  <c r="U19" i="27" s="1"/>
  <c r="I19" i="27"/>
  <c r="T19" i="27" s="1"/>
  <c r="H19" i="27"/>
  <c r="S19" i="27" s="1"/>
  <c r="G19" i="27"/>
  <c r="R19" i="27" s="1"/>
  <c r="F19" i="27"/>
  <c r="Q19" i="27" s="1"/>
  <c r="E19" i="27"/>
  <c r="P19" i="27" s="1"/>
  <c r="D19" i="27"/>
  <c r="O19" i="27" s="1"/>
  <c r="M18" i="27"/>
  <c r="X18" i="27" s="1"/>
  <c r="L18" i="27"/>
  <c r="W18" i="27" s="1"/>
  <c r="K18" i="27"/>
  <c r="V18" i="27" s="1"/>
  <c r="J18" i="27"/>
  <c r="U18" i="27" s="1"/>
  <c r="I18" i="27"/>
  <c r="H18" i="27"/>
  <c r="G18" i="27"/>
  <c r="F18" i="27"/>
  <c r="E18" i="27"/>
  <c r="D18" i="27"/>
  <c r="M17" i="27"/>
  <c r="X17" i="27" s="1"/>
  <c r="AT17" i="27" s="1"/>
  <c r="L17" i="27"/>
  <c r="W17" i="27" s="1"/>
  <c r="AS17" i="27" s="1"/>
  <c r="K17" i="27"/>
  <c r="V17" i="27" s="1"/>
  <c r="AR17" i="27" s="1"/>
  <c r="J17" i="27"/>
  <c r="U17" i="27" s="1"/>
  <c r="AQ17" i="27" s="1"/>
  <c r="I17" i="27"/>
  <c r="H17" i="27"/>
  <c r="G17" i="27"/>
  <c r="F17" i="27"/>
  <c r="E17" i="27"/>
  <c r="D17" i="27"/>
  <c r="M16" i="27"/>
  <c r="X16" i="27" s="1"/>
  <c r="L16" i="27"/>
  <c r="W16" i="27" s="1"/>
  <c r="K16" i="27"/>
  <c r="V16" i="27" s="1"/>
  <c r="J16" i="27"/>
  <c r="U16" i="27" s="1"/>
  <c r="I16" i="27"/>
  <c r="T16" i="27" s="1"/>
  <c r="H16" i="27"/>
  <c r="S16" i="27" s="1"/>
  <c r="G16" i="27"/>
  <c r="R16" i="27" s="1"/>
  <c r="F16" i="27"/>
  <c r="Q16" i="27" s="1"/>
  <c r="E16" i="27"/>
  <c r="P16" i="27" s="1"/>
  <c r="D16" i="27"/>
  <c r="O16" i="27" s="1"/>
  <c r="AK16" i="27" s="1"/>
  <c r="O277" i="30" l="1"/>
  <c r="H43" i="57"/>
  <c r="L277" i="30"/>
  <c r="E43" i="57"/>
  <c r="M277" i="30"/>
  <c r="F43" i="57"/>
  <c r="N277" i="30"/>
  <c r="G43" i="57"/>
  <c r="I40" i="57"/>
  <c r="K277" i="30"/>
  <c r="I51" i="27"/>
  <c r="I57" i="27" s="1"/>
  <c r="T17" i="27"/>
  <c r="AP17" i="27" s="1"/>
  <c r="R20" i="27"/>
  <c r="E29" i="53"/>
  <c r="V20" i="27"/>
  <c r="I29" i="53"/>
  <c r="I78" i="27"/>
  <c r="I83" i="27" s="1"/>
  <c r="I88" i="27" s="1"/>
  <c r="T26" i="27"/>
  <c r="P28" i="27"/>
  <c r="C30" i="53"/>
  <c r="T28" i="27"/>
  <c r="G30" i="53"/>
  <c r="X28" i="27"/>
  <c r="K30" i="53"/>
  <c r="R36" i="27"/>
  <c r="AN36" i="27" s="1"/>
  <c r="E32" i="53"/>
  <c r="V36" i="27"/>
  <c r="I32" i="53"/>
  <c r="V41" i="27"/>
  <c r="D46" i="57"/>
  <c r="T42" i="27"/>
  <c r="H46" i="57"/>
  <c r="O278" i="30" s="1"/>
  <c r="X42" i="27"/>
  <c r="R46" i="27"/>
  <c r="E31" i="53"/>
  <c r="V46" i="27"/>
  <c r="I31" i="53"/>
  <c r="O20" i="27"/>
  <c r="B29" i="53"/>
  <c r="S20" i="27"/>
  <c r="F29" i="53"/>
  <c r="W20" i="27"/>
  <c r="J29" i="53"/>
  <c r="Q28" i="27"/>
  <c r="D30" i="53"/>
  <c r="U28" i="27"/>
  <c r="H30" i="53"/>
  <c r="O36" i="27"/>
  <c r="AK36" i="27" s="1"/>
  <c r="B32" i="53"/>
  <c r="S36" i="27"/>
  <c r="F32" i="53"/>
  <c r="W36" i="27"/>
  <c r="J32" i="53"/>
  <c r="W41" i="27"/>
  <c r="E46" i="57"/>
  <c r="L278" i="30" s="1"/>
  <c r="U42" i="27"/>
  <c r="O46" i="27"/>
  <c r="B31" i="53"/>
  <c r="S46" i="27"/>
  <c r="F31" i="53"/>
  <c r="W46" i="27"/>
  <c r="J31" i="53"/>
  <c r="I77" i="27"/>
  <c r="I82" i="27" s="1"/>
  <c r="T18" i="27"/>
  <c r="P20" i="27"/>
  <c r="C29" i="53"/>
  <c r="T20" i="27"/>
  <c r="G29" i="53"/>
  <c r="X20" i="27"/>
  <c r="K29" i="53"/>
  <c r="I52" i="27"/>
  <c r="I58" i="27" s="1"/>
  <c r="I64" i="27" s="1"/>
  <c r="T25" i="27"/>
  <c r="AP25" i="27" s="1"/>
  <c r="R28" i="27"/>
  <c r="E30" i="53"/>
  <c r="V28" i="27"/>
  <c r="I30" i="53"/>
  <c r="I79" i="27"/>
  <c r="I84" i="27" s="1"/>
  <c r="T34" i="27"/>
  <c r="P36" i="27"/>
  <c r="AL36" i="27" s="1"/>
  <c r="C32" i="53"/>
  <c r="T36" i="27"/>
  <c r="G32" i="53"/>
  <c r="X36" i="27"/>
  <c r="K32" i="53"/>
  <c r="T41" i="27"/>
  <c r="X41" i="27"/>
  <c r="F46" i="57"/>
  <c r="M278" i="30" s="1"/>
  <c r="V42" i="27"/>
  <c r="P46" i="27"/>
  <c r="C31" i="53"/>
  <c r="T46" i="27"/>
  <c r="G31" i="53"/>
  <c r="X46" i="27"/>
  <c r="K31" i="53"/>
  <c r="Q20" i="27"/>
  <c r="D29" i="53"/>
  <c r="U20" i="27"/>
  <c r="H29" i="53"/>
  <c r="O28" i="27"/>
  <c r="B30" i="53"/>
  <c r="S28" i="27"/>
  <c r="F30" i="53"/>
  <c r="W28" i="27"/>
  <c r="J30" i="53"/>
  <c r="Q36" i="27"/>
  <c r="AM36" i="27" s="1"/>
  <c r="D32" i="53"/>
  <c r="U36" i="27"/>
  <c r="H32" i="53"/>
  <c r="U41" i="27"/>
  <c r="G46" i="57"/>
  <c r="N278" i="30" s="1"/>
  <c r="G294" i="30" s="1"/>
  <c r="W42" i="27"/>
  <c r="Q46" i="27"/>
  <c r="D31" i="53"/>
  <c r="U46" i="27"/>
  <c r="H31" i="53"/>
  <c r="I38" i="57"/>
  <c r="D51" i="27"/>
  <c r="D57" i="27" s="1"/>
  <c r="D117" i="36" s="1"/>
  <c r="O17" i="27"/>
  <c r="L51" i="27"/>
  <c r="L57" i="27" s="1"/>
  <c r="L63" i="27" s="1"/>
  <c r="J77" i="27"/>
  <c r="J82" i="27" s="1"/>
  <c r="J87" i="27" s="1"/>
  <c r="F52" i="27"/>
  <c r="F58" i="27" s="1"/>
  <c r="F116" i="36" s="1"/>
  <c r="Q25" i="27"/>
  <c r="J52" i="27"/>
  <c r="J58" i="27" s="1"/>
  <c r="D78" i="27"/>
  <c r="D83" i="27" s="1"/>
  <c r="D82" i="36" s="1"/>
  <c r="O26" i="27"/>
  <c r="H78" i="27"/>
  <c r="H83" i="27" s="1"/>
  <c r="H82" i="36" s="1"/>
  <c r="S26" i="27"/>
  <c r="L78" i="27"/>
  <c r="L83" i="27" s="1"/>
  <c r="L88" i="27" s="1"/>
  <c r="J79" i="27"/>
  <c r="J84" i="27" s="1"/>
  <c r="F54" i="27"/>
  <c r="F60" i="27" s="1"/>
  <c r="F72" i="27" s="1"/>
  <c r="H273" i="30" s="1"/>
  <c r="P284" i="30" s="1"/>
  <c r="K357" i="30" s="1"/>
  <c r="Q41" i="27"/>
  <c r="E53" i="27"/>
  <c r="E59" i="27" s="1"/>
  <c r="E65" i="27" s="1"/>
  <c r="P33" i="27"/>
  <c r="AL33" i="27" s="1"/>
  <c r="G79" i="27"/>
  <c r="G84" i="27" s="1"/>
  <c r="G83" i="36" s="1"/>
  <c r="R34" i="27"/>
  <c r="AN34" i="27" s="1"/>
  <c r="K79" i="27"/>
  <c r="K84" i="27" s="1"/>
  <c r="K89" i="27" s="1"/>
  <c r="G54" i="27"/>
  <c r="G60" i="27" s="1"/>
  <c r="R41" i="27"/>
  <c r="G51" i="27"/>
  <c r="G57" i="27" s="1"/>
  <c r="G117" i="36" s="1"/>
  <c r="R17" i="27"/>
  <c r="K51" i="27"/>
  <c r="K57" i="27" s="1"/>
  <c r="E77" i="27"/>
  <c r="E82" i="27" s="1"/>
  <c r="E81" i="36" s="1"/>
  <c r="P18" i="27"/>
  <c r="M77" i="27"/>
  <c r="M82" i="27" s="1"/>
  <c r="M87" i="27" s="1"/>
  <c r="E52" i="27"/>
  <c r="E58" i="27" s="1"/>
  <c r="E116" i="36" s="1"/>
  <c r="P25" i="27"/>
  <c r="M52" i="27"/>
  <c r="M58" i="27" s="1"/>
  <c r="M64" i="27" s="1"/>
  <c r="G78" i="27"/>
  <c r="G83" i="27" s="1"/>
  <c r="G82" i="36" s="1"/>
  <c r="R26" i="27"/>
  <c r="K78" i="27"/>
  <c r="K83" i="27" s="1"/>
  <c r="K88" i="27" s="1"/>
  <c r="G53" i="27"/>
  <c r="G59" i="27" s="1"/>
  <c r="G65" i="27" s="1"/>
  <c r="R33" i="27"/>
  <c r="AN33" i="27" s="1"/>
  <c r="E79" i="27"/>
  <c r="E84" i="27" s="1"/>
  <c r="E83" i="36" s="1"/>
  <c r="P34" i="27"/>
  <c r="AL34" i="27" s="1"/>
  <c r="M79" i="27"/>
  <c r="M84" i="27" s="1"/>
  <c r="M89" i="27" s="1"/>
  <c r="E54" i="27"/>
  <c r="E60" i="27" s="1"/>
  <c r="E72" i="27" s="1"/>
  <c r="G273" i="30" s="1"/>
  <c r="O284" i="30" s="1"/>
  <c r="J357" i="30" s="1"/>
  <c r="P41" i="27"/>
  <c r="H51" i="27"/>
  <c r="H57" i="27" s="1"/>
  <c r="H117" i="36" s="1"/>
  <c r="S17" i="27"/>
  <c r="F77" i="27"/>
  <c r="F82" i="27" s="1"/>
  <c r="F81" i="36" s="1"/>
  <c r="Q18" i="27"/>
  <c r="D53" i="27"/>
  <c r="D59" i="27" s="1"/>
  <c r="D65" i="27" s="1"/>
  <c r="O33" i="27"/>
  <c r="AK33" i="27" s="1"/>
  <c r="H53" i="27"/>
  <c r="H59" i="27" s="1"/>
  <c r="H65" i="27" s="1"/>
  <c r="S33" i="27"/>
  <c r="F79" i="27"/>
  <c r="F84" i="27" s="1"/>
  <c r="F83" i="36" s="1"/>
  <c r="Q34" i="27"/>
  <c r="AM34" i="27" s="1"/>
  <c r="E51" i="27"/>
  <c r="E57" i="27" s="1"/>
  <c r="E117" i="36" s="1"/>
  <c r="P17" i="27"/>
  <c r="M51" i="27"/>
  <c r="M57" i="27" s="1"/>
  <c r="G77" i="27"/>
  <c r="G82" i="27" s="1"/>
  <c r="G81" i="36" s="1"/>
  <c r="R18" i="27"/>
  <c r="K77" i="27"/>
  <c r="K82" i="27" s="1"/>
  <c r="K87" i="27" s="1"/>
  <c r="G52" i="27"/>
  <c r="G58" i="27" s="1"/>
  <c r="G116" i="36" s="1"/>
  <c r="R25" i="27"/>
  <c r="K52" i="27"/>
  <c r="K58" i="27" s="1"/>
  <c r="K64" i="27" s="1"/>
  <c r="E78" i="27"/>
  <c r="E83" i="27" s="1"/>
  <c r="E82" i="36" s="1"/>
  <c r="P26" i="27"/>
  <c r="M78" i="27"/>
  <c r="M83" i="27" s="1"/>
  <c r="F51" i="27"/>
  <c r="F57" i="27" s="1"/>
  <c r="F117" i="36" s="1"/>
  <c r="Q17" i="27"/>
  <c r="J51" i="27"/>
  <c r="J57" i="27" s="1"/>
  <c r="J63" i="27" s="1"/>
  <c r="D77" i="27"/>
  <c r="D82" i="27" s="1"/>
  <c r="D81" i="36" s="1"/>
  <c r="O18" i="27"/>
  <c r="H77" i="27"/>
  <c r="H82" i="27" s="1"/>
  <c r="H81" i="36" s="1"/>
  <c r="S18" i="27"/>
  <c r="L77" i="27"/>
  <c r="L82" i="27" s="1"/>
  <c r="L87" i="27" s="1"/>
  <c r="D52" i="27"/>
  <c r="D58" i="27" s="1"/>
  <c r="D116" i="36" s="1"/>
  <c r="O25" i="27"/>
  <c r="H52" i="27"/>
  <c r="H58" i="27" s="1"/>
  <c r="H116" i="36" s="1"/>
  <c r="S25" i="27"/>
  <c r="L52" i="27"/>
  <c r="L58" i="27" s="1"/>
  <c r="F78" i="27"/>
  <c r="F83" i="27" s="1"/>
  <c r="F82" i="36" s="1"/>
  <c r="Q26" i="27"/>
  <c r="J78" i="27"/>
  <c r="J83" i="27" s="1"/>
  <c r="J88" i="27" s="1"/>
  <c r="F53" i="27"/>
  <c r="F59" i="27" s="1"/>
  <c r="F65" i="27" s="1"/>
  <c r="Q33" i="27"/>
  <c r="AM33" i="27" s="1"/>
  <c r="D79" i="27"/>
  <c r="D84" i="27" s="1"/>
  <c r="D83" i="36" s="1"/>
  <c r="O34" i="27"/>
  <c r="AK34" i="27" s="1"/>
  <c r="H79" i="27"/>
  <c r="H84" i="27" s="1"/>
  <c r="H83" i="36" s="1"/>
  <c r="S34" i="27"/>
  <c r="L79" i="27"/>
  <c r="L84" i="27" s="1"/>
  <c r="L89" i="27" s="1"/>
  <c r="D54" i="27"/>
  <c r="D60" i="27" s="1"/>
  <c r="D72" i="27" s="1"/>
  <c r="F273" i="30" s="1"/>
  <c r="N284" i="30" s="1"/>
  <c r="O41" i="27"/>
  <c r="H54" i="27"/>
  <c r="H60" i="27" s="1"/>
  <c r="H72" i="27" s="1"/>
  <c r="J273" i="30" s="1"/>
  <c r="R284" i="30" s="1"/>
  <c r="M357" i="30" s="1"/>
  <c r="S41" i="27"/>
  <c r="I63" i="27"/>
  <c r="E71" i="27"/>
  <c r="G76" i="36" s="1"/>
  <c r="G304" i="30" s="1"/>
  <c r="G72" i="27"/>
  <c r="I273" i="30" s="1"/>
  <c r="Q284" i="30" s="1"/>
  <c r="L357" i="30" s="1"/>
  <c r="G66" i="27"/>
  <c r="G64" i="27"/>
  <c r="E93" i="27"/>
  <c r="E88" i="27"/>
  <c r="F69" i="27"/>
  <c r="F49" i="30" s="1"/>
  <c r="F88" i="27"/>
  <c r="F93" i="27"/>
  <c r="F71" i="27"/>
  <c r="H76" i="36" s="1"/>
  <c r="H304" i="30" s="1"/>
  <c r="G69" i="27"/>
  <c r="G49" i="30" s="1"/>
  <c r="E92" i="27"/>
  <c r="I87" i="27"/>
  <c r="E70" i="27"/>
  <c r="E41" i="30" s="1"/>
  <c r="E64" i="27"/>
  <c r="G93" i="27"/>
  <c r="G71" i="27"/>
  <c r="I76" i="36" s="1"/>
  <c r="I304" i="30" s="1"/>
  <c r="I89" i="27"/>
  <c r="E66" i="27"/>
  <c r="D63" i="27"/>
  <c r="D69" i="27"/>
  <c r="D49" i="30" s="1"/>
  <c r="F64" i="27"/>
  <c r="H93" i="27"/>
  <c r="F94" i="27"/>
  <c r="J89" i="27"/>
  <c r="B16" i="28"/>
  <c r="L54" i="27"/>
  <c r="L60" i="27" s="1"/>
  <c r="K53" i="27"/>
  <c r="K59" i="27" s="1"/>
  <c r="I54" i="27"/>
  <c r="I60" i="27" s="1"/>
  <c r="M54" i="27"/>
  <c r="M60" i="27" s="1"/>
  <c r="I53" i="27"/>
  <c r="I59" i="27" s="1"/>
  <c r="M53" i="27"/>
  <c r="M59" i="27" s="1"/>
  <c r="K54" i="27"/>
  <c r="K60" i="27" s="1"/>
  <c r="J53" i="27"/>
  <c r="J59" i="27" s="1"/>
  <c r="L53" i="27"/>
  <c r="L59" i="27" s="1"/>
  <c r="J54" i="27"/>
  <c r="J60" i="27" s="1"/>
  <c r="F87" i="27" l="1"/>
  <c r="E69" i="27"/>
  <c r="E49" i="30" s="1"/>
  <c r="F63" i="27"/>
  <c r="D88" i="27"/>
  <c r="F92" i="27"/>
  <c r="E63" i="27"/>
  <c r="H71" i="27"/>
  <c r="J76" i="36" s="1"/>
  <c r="J304" i="30" s="1"/>
  <c r="R324" i="30" s="1"/>
  <c r="G88" i="27"/>
  <c r="D70" i="27"/>
  <c r="D41" i="30" s="1"/>
  <c r="D66" i="27"/>
  <c r="G87" i="27"/>
  <c r="E87" i="27"/>
  <c r="D92" i="27"/>
  <c r="M88" i="27"/>
  <c r="G70" i="27"/>
  <c r="G41" i="30" s="1"/>
  <c r="G89" i="27"/>
  <c r="G92" i="27"/>
  <c r="F66" i="27"/>
  <c r="D71" i="27"/>
  <c r="F76" i="36" s="1"/>
  <c r="F304" i="30" s="1"/>
  <c r="G63" i="27"/>
  <c r="D87" i="27"/>
  <c r="G94" i="27"/>
  <c r="H88" i="27"/>
  <c r="H63" i="27"/>
  <c r="H64" i="27"/>
  <c r="H70" i="27"/>
  <c r="H41" i="30" s="1"/>
  <c r="H92" i="27"/>
  <c r="M63" i="27"/>
  <c r="AN37" i="27"/>
  <c r="AK37" i="27"/>
  <c r="AM37" i="27"/>
  <c r="AL37" i="27"/>
  <c r="K278" i="30"/>
  <c r="D294" i="30" s="1"/>
  <c r="N358" i="30" s="1"/>
  <c r="D19" i="68" s="1"/>
  <c r="I46" i="57"/>
  <c r="I116" i="36"/>
  <c r="I82" i="36"/>
  <c r="I81" i="36"/>
  <c r="K399" i="30"/>
  <c r="K19" i="44" s="1"/>
  <c r="F67" i="44" s="1"/>
  <c r="AB41" i="27"/>
  <c r="AM41" i="27" s="1"/>
  <c r="L399" i="30"/>
  <c r="L19" i="44" s="1"/>
  <c r="G67" i="44" s="1"/>
  <c r="AC41" i="27"/>
  <c r="AN41" i="27" s="1"/>
  <c r="J399" i="30"/>
  <c r="J19" i="44" s="1"/>
  <c r="E67" i="44" s="1"/>
  <c r="AA41" i="27"/>
  <c r="AL41" i="27" s="1"/>
  <c r="H94" i="27"/>
  <c r="I83" i="36"/>
  <c r="H89" i="27"/>
  <c r="J64" i="27"/>
  <c r="M399" i="30"/>
  <c r="M19" i="44" s="1"/>
  <c r="H67" i="44" s="1"/>
  <c r="AD41" i="27"/>
  <c r="AO41" i="27" s="1"/>
  <c r="F294" i="30"/>
  <c r="P358" i="30" s="1"/>
  <c r="F19" i="68" s="1"/>
  <c r="E294" i="30"/>
  <c r="O358" i="30" s="1"/>
  <c r="E19" i="68" s="1"/>
  <c r="H294" i="30"/>
  <c r="R358" i="30" s="1"/>
  <c r="H19" i="68" s="1"/>
  <c r="D93" i="27"/>
  <c r="F70" i="27"/>
  <c r="F41" i="30" s="1"/>
  <c r="P219" i="30" s="1"/>
  <c r="K341" i="30" s="1"/>
  <c r="H69" i="27"/>
  <c r="H49" i="30" s="1"/>
  <c r="R227" i="30" s="1"/>
  <c r="M349" i="30" s="1"/>
  <c r="M392" i="30" s="1"/>
  <c r="M12" i="44" s="1"/>
  <c r="E89" i="27"/>
  <c r="K63" i="27"/>
  <c r="H66" i="27"/>
  <c r="D89" i="27"/>
  <c r="L64" i="27"/>
  <c r="F89" i="27"/>
  <c r="E94" i="27"/>
  <c r="D94" i="27"/>
  <c r="D64" i="27"/>
  <c r="H87" i="27"/>
  <c r="I117" i="36"/>
  <c r="H293" i="30"/>
  <c r="R357" i="30" s="1"/>
  <c r="R399" i="30" s="1"/>
  <c r="R19" i="44" s="1"/>
  <c r="F293" i="30"/>
  <c r="P357" i="30" s="1"/>
  <c r="P399" i="30" s="1"/>
  <c r="P19" i="44" s="1"/>
  <c r="G293" i="30"/>
  <c r="Q357" i="30" s="1"/>
  <c r="Q399" i="30" s="1"/>
  <c r="Q19" i="44" s="1"/>
  <c r="E293" i="30"/>
  <c r="O357" i="30" s="1"/>
  <c r="O399" i="30" s="1"/>
  <c r="O19" i="44" s="1"/>
  <c r="J66" i="27"/>
  <c r="J65" i="27"/>
  <c r="M65" i="27"/>
  <c r="M66" i="27"/>
  <c r="K65" i="27"/>
  <c r="O116" i="30"/>
  <c r="O181" i="30"/>
  <c r="O227" i="30"/>
  <c r="J349" i="30" s="1"/>
  <c r="J392" i="30" s="1"/>
  <c r="J12" i="44" s="1"/>
  <c r="P181" i="30"/>
  <c r="P116" i="30"/>
  <c r="P227" i="30"/>
  <c r="K349" i="30" s="1"/>
  <c r="K392" i="30" s="1"/>
  <c r="K12" i="44" s="1"/>
  <c r="O63" i="30"/>
  <c r="O219" i="30"/>
  <c r="J341" i="30" s="1"/>
  <c r="L65" i="27"/>
  <c r="K66" i="27"/>
  <c r="I65" i="27"/>
  <c r="I66" i="27"/>
  <c r="L66" i="27"/>
  <c r="N181" i="30"/>
  <c r="N227" i="30"/>
  <c r="N116" i="30"/>
  <c r="S314" i="30"/>
  <c r="Q181" i="30"/>
  <c r="Q116" i="30"/>
  <c r="Q227" i="30"/>
  <c r="L349" i="30" s="1"/>
  <c r="L392" i="30" s="1"/>
  <c r="L12" i="44" s="1"/>
  <c r="N287" i="30"/>
  <c r="I357" i="30"/>
  <c r="R63" i="30"/>
  <c r="R219" i="30"/>
  <c r="M341" i="30" s="1"/>
  <c r="N219" i="30"/>
  <c r="N63" i="30"/>
  <c r="Q63" i="30"/>
  <c r="Q219" i="30"/>
  <c r="L341" i="30" s="1"/>
  <c r="Q358" i="30"/>
  <c r="G19" i="68" s="1"/>
  <c r="B17" i="28"/>
  <c r="G38" i="68" l="1"/>
  <c r="G39" i="68" s="1"/>
  <c r="G21" i="68"/>
  <c r="D38" i="68"/>
  <c r="D39" i="68" s="1"/>
  <c r="D21" i="68"/>
  <c r="E38" i="68"/>
  <c r="E39" i="68" s="1"/>
  <c r="E21" i="68"/>
  <c r="H38" i="68"/>
  <c r="H39" i="68" s="1"/>
  <c r="H21" i="68"/>
  <c r="F38" i="68"/>
  <c r="F39" i="68" s="1"/>
  <c r="F21" i="68"/>
  <c r="I38" i="68"/>
  <c r="I19" i="68"/>
  <c r="E5" i="68"/>
  <c r="H5" i="68"/>
  <c r="D5" i="68"/>
  <c r="G5" i="68"/>
  <c r="F5" i="68"/>
  <c r="L67" i="44"/>
  <c r="M67" i="44"/>
  <c r="J67" i="44"/>
  <c r="K67" i="44"/>
  <c r="I25" i="58"/>
  <c r="D125" i="62"/>
  <c r="D101" i="62"/>
  <c r="D113" i="62"/>
  <c r="D137" i="62"/>
  <c r="D293" i="30"/>
  <c r="N357" i="30" s="1"/>
  <c r="N399" i="30" s="1"/>
  <c r="N19" i="44" s="1"/>
  <c r="O400" i="30"/>
  <c r="O20" i="44" s="1"/>
  <c r="O44" i="44" s="1"/>
  <c r="P400" i="30"/>
  <c r="P20" i="44" s="1"/>
  <c r="P44" i="44" s="1"/>
  <c r="N400" i="30"/>
  <c r="N20" i="44" s="1"/>
  <c r="N44" i="44" s="1"/>
  <c r="R400" i="30"/>
  <c r="R20" i="44" s="1"/>
  <c r="R44" i="44" s="1"/>
  <c r="Q400" i="30"/>
  <c r="Q20" i="44" s="1"/>
  <c r="Q44" i="44" s="1"/>
  <c r="R181" i="30"/>
  <c r="P63" i="30"/>
  <c r="Q90" i="30" s="1"/>
  <c r="R90" i="30" s="1"/>
  <c r="S90" i="30" s="1"/>
  <c r="K385" i="30"/>
  <c r="K5" i="44" s="1"/>
  <c r="K42" i="44" s="1"/>
  <c r="AB25" i="27"/>
  <c r="AM25" i="27" s="1"/>
  <c r="E60" i="44"/>
  <c r="AA17" i="27"/>
  <c r="AL17" i="27" s="1"/>
  <c r="F60" i="44"/>
  <c r="AB17" i="27"/>
  <c r="AM17" i="27" s="1"/>
  <c r="L385" i="30"/>
  <c r="L5" i="44" s="1"/>
  <c r="L42" i="44" s="1"/>
  <c r="AC25" i="27"/>
  <c r="AN25" i="27" s="1"/>
  <c r="G60" i="44"/>
  <c r="AC17" i="27"/>
  <c r="AN17" i="27" s="1"/>
  <c r="I399" i="30"/>
  <c r="I19" i="44" s="1"/>
  <c r="D67" i="44" s="1"/>
  <c r="Z41" i="27"/>
  <c r="AK41" i="27" s="1"/>
  <c r="J385" i="30"/>
  <c r="J5" i="44" s="1"/>
  <c r="J42" i="44" s="1"/>
  <c r="AA25" i="27"/>
  <c r="AL25" i="27" s="1"/>
  <c r="R116" i="30"/>
  <c r="T139" i="30" s="1"/>
  <c r="U139" i="30" s="1"/>
  <c r="V139" i="30" s="1"/>
  <c r="W139" i="30" s="1"/>
  <c r="X139" i="30" s="1"/>
  <c r="H60" i="44"/>
  <c r="AD17" i="27"/>
  <c r="AO17" i="27" s="1"/>
  <c r="M385" i="30"/>
  <c r="M5" i="44" s="1"/>
  <c r="AD25" i="27"/>
  <c r="AO25" i="27" s="1"/>
  <c r="R91" i="30"/>
  <c r="S91" i="30" s="1"/>
  <c r="T91" i="30" s="1"/>
  <c r="U91" i="30" s="1"/>
  <c r="V91" i="30" s="1"/>
  <c r="W91" i="30" s="1"/>
  <c r="Q172" i="30"/>
  <c r="I341" i="30"/>
  <c r="N288" i="30"/>
  <c r="I361" i="30" s="1"/>
  <c r="O283" i="30"/>
  <c r="I360" i="30"/>
  <c r="R135" i="30"/>
  <c r="S135" i="30"/>
  <c r="Q135" i="30"/>
  <c r="O135" i="30"/>
  <c r="N148" i="30" s="1"/>
  <c r="N182" i="30" s="1"/>
  <c r="P135" i="30"/>
  <c r="T135" i="30"/>
  <c r="S136" i="30"/>
  <c r="P136" i="30"/>
  <c r="T136" i="30"/>
  <c r="U136" i="30" s="1"/>
  <c r="V136" i="30" s="1"/>
  <c r="W136" i="30" s="1"/>
  <c r="X136" i="30" s="1"/>
  <c r="R136" i="30"/>
  <c r="Q136" i="30"/>
  <c r="I349" i="30"/>
  <c r="I392" i="30" s="1"/>
  <c r="I12" i="44" s="1"/>
  <c r="R172" i="30"/>
  <c r="S92" i="30"/>
  <c r="T92" i="30" s="1"/>
  <c r="U92" i="30" s="1"/>
  <c r="V92" i="30" s="1"/>
  <c r="W92" i="30" s="1"/>
  <c r="X92" i="30" s="1"/>
  <c r="R138" i="30"/>
  <c r="T138" i="30"/>
  <c r="U138" i="30" s="1"/>
  <c r="V138" i="30" s="1"/>
  <c r="W138" i="30" s="1"/>
  <c r="X138" i="30" s="1"/>
  <c r="S138" i="30"/>
  <c r="M366" i="30"/>
  <c r="O172" i="30"/>
  <c r="P89" i="30"/>
  <c r="Q89" i="30" s="1"/>
  <c r="T137" i="30"/>
  <c r="U137" i="30" s="1"/>
  <c r="V137" i="30" s="1"/>
  <c r="W137" i="30" s="1"/>
  <c r="X137" i="30" s="1"/>
  <c r="Q137" i="30"/>
  <c r="S137" i="30"/>
  <c r="R137" i="30"/>
  <c r="N172" i="30"/>
  <c r="O88" i="30"/>
  <c r="N101" i="30" s="1"/>
  <c r="N173" i="30" s="1"/>
  <c r="R325" i="30"/>
  <c r="M367" i="30" s="1"/>
  <c r="T314" i="30"/>
  <c r="U314" i="30" s="1"/>
  <c r="V314" i="30" s="1"/>
  <c r="W314" i="30" s="1"/>
  <c r="I5" i="68" l="1"/>
  <c r="I39" i="68"/>
  <c r="H51" i="68"/>
  <c r="G51" i="68"/>
  <c r="E51" i="68"/>
  <c r="F51" i="68"/>
  <c r="AI41" i="27"/>
  <c r="AT41" i="27" s="1"/>
  <c r="AG41" i="27"/>
  <c r="AR41" i="27" s="1"/>
  <c r="AH41" i="27"/>
  <c r="AS41" i="27" s="1"/>
  <c r="AF41" i="27"/>
  <c r="AQ41" i="27" s="1"/>
  <c r="G53" i="44"/>
  <c r="G89" i="44" s="1"/>
  <c r="R8" i="53"/>
  <c r="I67" i="44"/>
  <c r="H53" i="44"/>
  <c r="J6" i="53"/>
  <c r="F53" i="44"/>
  <c r="F89" i="44" s="1"/>
  <c r="K6" i="53"/>
  <c r="Q8" i="53"/>
  <c r="I68" i="44"/>
  <c r="I91" i="44" s="1"/>
  <c r="N8" i="53"/>
  <c r="J68" i="44"/>
  <c r="J91" i="44" s="1"/>
  <c r="O8" i="53"/>
  <c r="K68" i="44"/>
  <c r="K91" i="44" s="1"/>
  <c r="P8" i="53"/>
  <c r="L68" i="44"/>
  <c r="L91" i="44" s="1"/>
  <c r="M68" i="44"/>
  <c r="M91" i="44" s="1"/>
  <c r="E137" i="62"/>
  <c r="D138" i="62"/>
  <c r="D139" i="62" s="1"/>
  <c r="D140" i="62" s="1"/>
  <c r="F155" i="62"/>
  <c r="F156" i="62" s="1"/>
  <c r="F157" i="62" s="1"/>
  <c r="F158" i="62" s="1"/>
  <c r="F147" i="62"/>
  <c r="F148" i="62" s="1"/>
  <c r="F149" i="62" s="1"/>
  <c r="F150" i="62" s="1"/>
  <c r="I43" i="57"/>
  <c r="D46" i="13" s="1"/>
  <c r="E113" i="62"/>
  <c r="D114" i="62"/>
  <c r="D115" i="62" s="1"/>
  <c r="D116" i="62" s="1"/>
  <c r="E101" i="62"/>
  <c r="D102" i="62"/>
  <c r="E125" i="62"/>
  <c r="D126" i="62"/>
  <c r="D127" i="62" s="1"/>
  <c r="D128" i="62" s="1"/>
  <c r="P172" i="30"/>
  <c r="E53" i="44"/>
  <c r="E89" i="44" s="1"/>
  <c r="S139" i="30"/>
  <c r="R148" i="30" s="1"/>
  <c r="R182" i="30" s="1"/>
  <c r="L6" i="53"/>
  <c r="I403" i="30"/>
  <c r="I23" i="44" s="1"/>
  <c r="Z46" i="27"/>
  <c r="AK46" i="27" s="1"/>
  <c r="I385" i="30"/>
  <c r="I5" i="44" s="1"/>
  <c r="I42" i="44" s="1"/>
  <c r="Z25" i="27"/>
  <c r="AK25" i="27" s="1"/>
  <c r="D60" i="44"/>
  <c r="Z17" i="27"/>
  <c r="AK17" i="27" s="1"/>
  <c r="I402" i="30"/>
  <c r="I22" i="44" s="1"/>
  <c r="D70" i="44" s="1"/>
  <c r="Z45" i="27"/>
  <c r="AK45" i="27" s="1"/>
  <c r="M407" i="30"/>
  <c r="M27" i="44" s="1"/>
  <c r="H75" i="44" s="1"/>
  <c r="AD33" i="27"/>
  <c r="AO33" i="27" s="1"/>
  <c r="M408" i="30"/>
  <c r="M28" i="44" s="1"/>
  <c r="AD34" i="27"/>
  <c r="AO34" i="27" s="1"/>
  <c r="N183" i="30"/>
  <c r="O179" i="30" s="1"/>
  <c r="N174" i="30"/>
  <c r="O170" i="30" s="1"/>
  <c r="O148" i="30"/>
  <c r="O182" i="30" s="1"/>
  <c r="T90" i="30"/>
  <c r="P148" i="30"/>
  <c r="P182" i="30" s="1"/>
  <c r="J356" i="30"/>
  <c r="O287" i="30"/>
  <c r="O288" i="30" s="1"/>
  <c r="J361" i="30" s="1"/>
  <c r="U135" i="30"/>
  <c r="D153" i="30"/>
  <c r="D155" i="30" s="1"/>
  <c r="D263" i="30" s="1"/>
  <c r="P88" i="30"/>
  <c r="Q88" i="30" s="1"/>
  <c r="R89" i="30"/>
  <c r="S89" i="30" s="1"/>
  <c r="T89" i="30" s="1"/>
  <c r="U89" i="30" s="1"/>
  <c r="R326" i="30"/>
  <c r="Q148" i="30"/>
  <c r="Q182" i="30" s="1"/>
  <c r="H41" i="58" l="1"/>
  <c r="H8" i="68" s="1"/>
  <c r="D41" i="58"/>
  <c r="D8" i="68" s="1"/>
  <c r="G41" i="58"/>
  <c r="G8" i="68" s="1"/>
  <c r="F41" i="58"/>
  <c r="F8" i="68" s="1"/>
  <c r="E41" i="58"/>
  <c r="E8" i="68" s="1"/>
  <c r="H89" i="44"/>
  <c r="M42" i="44"/>
  <c r="M6" i="53" s="1"/>
  <c r="AH42" i="27"/>
  <c r="AS42" i="27" s="1"/>
  <c r="AF42" i="27"/>
  <c r="AQ42" i="27" s="1"/>
  <c r="AI42" i="27"/>
  <c r="AT42" i="27" s="1"/>
  <c r="AE41" i="27"/>
  <c r="AP41" i="27" s="1"/>
  <c r="AG42" i="27"/>
  <c r="AR42" i="27" s="1"/>
  <c r="AE42" i="27"/>
  <c r="AP42" i="27" s="1"/>
  <c r="I6" i="53"/>
  <c r="F125" i="62"/>
  <c r="E126" i="62"/>
  <c r="E127" i="62" s="1"/>
  <c r="E128" i="62" s="1"/>
  <c r="F113" i="62"/>
  <c r="E114" i="62"/>
  <c r="E115" i="62" s="1"/>
  <c r="E116" i="62" s="1"/>
  <c r="D103" i="62"/>
  <c r="D104" i="62" s="1"/>
  <c r="F101" i="62"/>
  <c r="E102" i="62"/>
  <c r="E103" i="62" s="1"/>
  <c r="E104" i="62" s="1"/>
  <c r="F137" i="62"/>
  <c r="E138" i="62"/>
  <c r="E139" i="62" s="1"/>
  <c r="E140" i="62" s="1"/>
  <c r="N184" i="30"/>
  <c r="H424" i="30"/>
  <c r="D53" i="44"/>
  <c r="D89" i="44" s="1"/>
  <c r="J403" i="30"/>
  <c r="J23" i="44" s="1"/>
  <c r="AA46" i="27"/>
  <c r="AL46" i="27" s="1"/>
  <c r="J398" i="30"/>
  <c r="J18" i="44" s="1"/>
  <c r="E66" i="44" s="1"/>
  <c r="AA40" i="27"/>
  <c r="AL40" i="27" s="1"/>
  <c r="D71" i="44"/>
  <c r="B39" i="53"/>
  <c r="D235" i="30"/>
  <c r="X319" i="30"/>
  <c r="H332" i="30"/>
  <c r="R366" i="30" s="1"/>
  <c r="R407" i="30" s="1"/>
  <c r="R27" i="44" s="1"/>
  <c r="R42" i="44" s="1"/>
  <c r="X318" i="30"/>
  <c r="G332" i="30"/>
  <c r="Q366" i="30" s="1"/>
  <c r="Q407" i="30" s="1"/>
  <c r="Q27" i="44" s="1"/>
  <c r="Q42" i="44" s="1"/>
  <c r="W318" i="30"/>
  <c r="U316" i="30"/>
  <c r="V316" i="30"/>
  <c r="E332" i="30"/>
  <c r="O366" i="30" s="1"/>
  <c r="O407" i="30" s="1"/>
  <c r="O27" i="44" s="1"/>
  <c r="O42" i="44" s="1"/>
  <c r="W316" i="30"/>
  <c r="X316" i="30"/>
  <c r="V317" i="30"/>
  <c r="W317" i="30"/>
  <c r="F332" i="30"/>
  <c r="P366" i="30" s="1"/>
  <c r="P407" i="30" s="1"/>
  <c r="P27" i="44" s="1"/>
  <c r="P42" i="44" s="1"/>
  <c r="X317" i="30"/>
  <c r="H76" i="44"/>
  <c r="N175" i="30"/>
  <c r="O183" i="30"/>
  <c r="P179" i="30" s="1"/>
  <c r="P183" i="30" s="1"/>
  <c r="Q179" i="30" s="1"/>
  <c r="R88" i="30"/>
  <c r="P101" i="30"/>
  <c r="P173" i="30" s="1"/>
  <c r="V135" i="30"/>
  <c r="E153" i="30"/>
  <c r="E155" i="30" s="1"/>
  <c r="E263" i="30" s="1"/>
  <c r="M368" i="30"/>
  <c r="R327" i="30"/>
  <c r="M369" i="30" s="1"/>
  <c r="D331" i="30"/>
  <c r="N365" i="30" s="1"/>
  <c r="N406" i="30" s="1"/>
  <c r="N26" i="44" s="1"/>
  <c r="I74" i="44" s="1"/>
  <c r="AE32" i="27" s="1"/>
  <c r="AP32" i="27" s="1"/>
  <c r="P283" i="30"/>
  <c r="J360" i="30"/>
  <c r="U90" i="30"/>
  <c r="O101" i="30"/>
  <c r="O173" i="30" s="1"/>
  <c r="I8" i="68" l="1"/>
  <c r="I41" i="58"/>
  <c r="I51" i="68"/>
  <c r="D51" i="68"/>
  <c r="G137" i="62"/>
  <c r="F138" i="62"/>
  <c r="G101" i="62"/>
  <c r="F102" i="62"/>
  <c r="F103" i="62" s="1"/>
  <c r="F104" i="62" s="1"/>
  <c r="G113" i="62"/>
  <c r="F114" i="62"/>
  <c r="F115" i="62" s="1"/>
  <c r="F116" i="62" s="1"/>
  <c r="G125" i="62"/>
  <c r="F126" i="62"/>
  <c r="J402" i="30"/>
  <c r="J22" i="44" s="1"/>
  <c r="E70" i="44" s="1"/>
  <c r="AA45" i="27"/>
  <c r="AL45" i="27" s="1"/>
  <c r="E71" i="44"/>
  <c r="C39" i="53"/>
  <c r="M410" i="30"/>
  <c r="M30" i="44" s="1"/>
  <c r="AD36" i="27"/>
  <c r="AO36" i="27" s="1"/>
  <c r="M409" i="30"/>
  <c r="M29" i="44" s="1"/>
  <c r="H77" i="44" s="1"/>
  <c r="AD35" i="27"/>
  <c r="AO35" i="27" s="1"/>
  <c r="AO37" i="27" s="1"/>
  <c r="O174" i="30"/>
  <c r="P170" i="30" s="1"/>
  <c r="P174" i="30" s="1"/>
  <c r="Q170" i="30" s="1"/>
  <c r="X315" i="30"/>
  <c r="H333" i="30" s="1"/>
  <c r="R367" i="30" s="1"/>
  <c r="U315" i="30"/>
  <c r="E333" i="30" s="1"/>
  <c r="O367" i="30" s="1"/>
  <c r="W315" i="30"/>
  <c r="G333" i="30" s="1"/>
  <c r="Q367" i="30" s="1"/>
  <c r="T315" i="30"/>
  <c r="D333" i="30" s="1"/>
  <c r="N367" i="30" s="1"/>
  <c r="V315" i="30"/>
  <c r="F333" i="30" s="1"/>
  <c r="P367" i="30" s="1"/>
  <c r="D332" i="30"/>
  <c r="N366" i="30" s="1"/>
  <c r="N407" i="30" s="1"/>
  <c r="N27" i="44" s="1"/>
  <c r="N42" i="44" s="1"/>
  <c r="K75" i="44"/>
  <c r="K89" i="44" s="1"/>
  <c r="P6" i="53"/>
  <c r="R6" i="53"/>
  <c r="M75" i="44"/>
  <c r="M89" i="44" s="1"/>
  <c r="O6" i="53"/>
  <c r="J75" i="44"/>
  <c r="J89" i="44" s="1"/>
  <c r="L75" i="44"/>
  <c r="L89" i="44" s="1"/>
  <c r="Q6" i="53"/>
  <c r="O184" i="30"/>
  <c r="Q183" i="30"/>
  <c r="R179" i="30" s="1"/>
  <c r="P287" i="30"/>
  <c r="K356" i="30"/>
  <c r="P184" i="30"/>
  <c r="V90" i="30"/>
  <c r="W135" i="30"/>
  <c r="F153" i="30"/>
  <c r="F155" i="30" s="1"/>
  <c r="F263" i="30" s="1"/>
  <c r="S88" i="30"/>
  <c r="Q101" i="30"/>
  <c r="Q173" i="30" s="1"/>
  <c r="F127" i="62" l="1"/>
  <c r="F128" i="62" s="1"/>
  <c r="H125" i="62"/>
  <c r="H126" i="62" s="1"/>
  <c r="H127" i="62" s="1"/>
  <c r="H128" i="62" s="1"/>
  <c r="G126" i="62"/>
  <c r="G127" i="62" s="1"/>
  <c r="G128" i="62" s="1"/>
  <c r="H101" i="62"/>
  <c r="H102" i="62" s="1"/>
  <c r="H103" i="62" s="1"/>
  <c r="H104" i="62" s="1"/>
  <c r="G102" i="62"/>
  <c r="F139" i="62"/>
  <c r="F140" i="62" s="1"/>
  <c r="H113" i="62"/>
  <c r="H114" i="62" s="1"/>
  <c r="H115" i="62" s="1"/>
  <c r="H116" i="62" s="1"/>
  <c r="G114" i="62"/>
  <c r="G115" i="62" s="1"/>
  <c r="G116" i="62" s="1"/>
  <c r="H137" i="62"/>
  <c r="H138" i="62" s="1"/>
  <c r="H139" i="62" s="1"/>
  <c r="H140" i="62" s="1"/>
  <c r="G138" i="62"/>
  <c r="G139" i="62" s="1"/>
  <c r="G140" i="62" s="1"/>
  <c r="N408" i="30"/>
  <c r="N28" i="44" s="1"/>
  <c r="I76" i="44" s="1"/>
  <c r="AE34" i="27" s="1"/>
  <c r="AP34" i="27" s="1"/>
  <c r="D30" i="58"/>
  <c r="D44" i="68" s="1"/>
  <c r="O408" i="30"/>
  <c r="O28" i="44" s="1"/>
  <c r="J76" i="44" s="1"/>
  <c r="AF34" i="27" s="1"/>
  <c r="AQ34" i="27" s="1"/>
  <c r="E30" i="58"/>
  <c r="E44" i="68" s="1"/>
  <c r="Q408" i="30"/>
  <c r="Q28" i="44" s="1"/>
  <c r="L76" i="44" s="1"/>
  <c r="AH34" i="27" s="1"/>
  <c r="AS34" i="27" s="1"/>
  <c r="G30" i="58"/>
  <c r="G44" i="68" s="1"/>
  <c r="P408" i="30"/>
  <c r="K424" i="30" s="1"/>
  <c r="F30" i="58"/>
  <c r="F44" i="68" s="1"/>
  <c r="R408" i="30"/>
  <c r="M424" i="30" s="1"/>
  <c r="H30" i="58"/>
  <c r="H44" i="68" s="1"/>
  <c r="O175" i="30"/>
  <c r="K398" i="30"/>
  <c r="K18" i="44" s="1"/>
  <c r="F66" i="44" s="1"/>
  <c r="AB40" i="27"/>
  <c r="AM40" i="27" s="1"/>
  <c r="H78" i="44"/>
  <c r="F40" i="53"/>
  <c r="AH33" i="27"/>
  <c r="AS33" i="27" s="1"/>
  <c r="AI33" i="27"/>
  <c r="AT33" i="27" s="1"/>
  <c r="AG33" i="27"/>
  <c r="AR33" i="27" s="1"/>
  <c r="AF33" i="27"/>
  <c r="AQ33" i="27" s="1"/>
  <c r="I75" i="44"/>
  <c r="I89" i="44" s="1"/>
  <c r="N6" i="53"/>
  <c r="D334" i="30"/>
  <c r="D335" i="30" s="1"/>
  <c r="D9" i="34" s="1"/>
  <c r="Q184" i="30"/>
  <c r="R183" i="30"/>
  <c r="X135" i="30"/>
  <c r="H153" i="30" s="1"/>
  <c r="H155" i="30" s="1"/>
  <c r="H263" i="30" s="1"/>
  <c r="G153" i="30"/>
  <c r="G155" i="30" s="1"/>
  <c r="G263" i="30" s="1"/>
  <c r="P288" i="30"/>
  <c r="K361" i="30" s="1"/>
  <c r="Q283" i="30"/>
  <c r="K360" i="30"/>
  <c r="T88" i="30"/>
  <c r="D104" i="30" s="1"/>
  <c r="D106" i="30" s="1"/>
  <c r="D255" i="30" s="1"/>
  <c r="R101" i="30"/>
  <c r="Q174" i="30"/>
  <c r="R170" i="30" s="1"/>
  <c r="P175" i="30"/>
  <c r="I44" i="68" l="1"/>
  <c r="I424" i="30"/>
  <c r="J424" i="30"/>
  <c r="G103" i="62"/>
  <c r="G104" i="62" s="1"/>
  <c r="R28" i="44"/>
  <c r="M76" i="44" s="1"/>
  <c r="AI34" i="27" s="1"/>
  <c r="AT34" i="27" s="1"/>
  <c r="P28" i="44"/>
  <c r="K76" i="44" s="1"/>
  <c r="AG34" i="27" s="1"/>
  <c r="AR34" i="27" s="1"/>
  <c r="L424" i="30"/>
  <c r="I30" i="58"/>
  <c r="K402" i="30"/>
  <c r="K22" i="44" s="1"/>
  <c r="F70" i="44" s="1"/>
  <c r="AB45" i="27"/>
  <c r="AM45" i="27" s="1"/>
  <c r="K403" i="30"/>
  <c r="K23" i="44" s="1"/>
  <c r="AB46" i="27"/>
  <c r="AM46" i="27" s="1"/>
  <c r="AE33" i="27"/>
  <c r="AP33" i="27" s="1"/>
  <c r="R173" i="30"/>
  <c r="D234" i="30" s="1"/>
  <c r="E331" i="30"/>
  <c r="D17" i="34"/>
  <c r="N369" i="30"/>
  <c r="N410" i="30" s="1"/>
  <c r="D24" i="34"/>
  <c r="N368" i="30"/>
  <c r="N409" i="30" s="1"/>
  <c r="N29" i="44" s="1"/>
  <c r="I77" i="44" s="1"/>
  <c r="AE35" i="27" s="1"/>
  <c r="AP35" i="27" s="1"/>
  <c r="Q175" i="30"/>
  <c r="L356" i="30"/>
  <c r="Q287" i="30"/>
  <c r="R184" i="30"/>
  <c r="O71" i="17"/>
  <c r="N71" i="17"/>
  <c r="M71" i="17"/>
  <c r="L71" i="17"/>
  <c r="K71" i="17"/>
  <c r="J71" i="17"/>
  <c r="I71" i="17"/>
  <c r="H71" i="17"/>
  <c r="G71" i="17"/>
  <c r="F71" i="17"/>
  <c r="O63" i="17"/>
  <c r="N63" i="17"/>
  <c r="M63" i="17"/>
  <c r="L63" i="17"/>
  <c r="K63" i="17"/>
  <c r="J63" i="17"/>
  <c r="I63" i="17"/>
  <c r="H63" i="17"/>
  <c r="G63" i="17"/>
  <c r="F63" i="17"/>
  <c r="O37" i="17"/>
  <c r="N37" i="17"/>
  <c r="M37" i="17"/>
  <c r="L37" i="17"/>
  <c r="K37" i="17"/>
  <c r="J37" i="17"/>
  <c r="I37" i="17"/>
  <c r="H37" i="17"/>
  <c r="G37" i="17"/>
  <c r="F37" i="17"/>
  <c r="O26" i="17"/>
  <c r="N26" i="17"/>
  <c r="M26" i="17"/>
  <c r="L26" i="17"/>
  <c r="K26" i="17"/>
  <c r="J26" i="17"/>
  <c r="I26" i="17"/>
  <c r="H26" i="17"/>
  <c r="G26" i="17"/>
  <c r="F26" i="17"/>
  <c r="I39" i="17" l="1"/>
  <c r="I65" i="17" s="1"/>
  <c r="I73" i="17" s="1"/>
  <c r="M39" i="17"/>
  <c r="M65" i="17" s="1"/>
  <c r="M73" i="17" s="1"/>
  <c r="H39" i="17"/>
  <c r="H65" i="17" s="1"/>
  <c r="H73" i="17" s="1"/>
  <c r="L39" i="17"/>
  <c r="L65" i="17" s="1"/>
  <c r="L73" i="17" s="1"/>
  <c r="N30" i="44"/>
  <c r="I78" i="44" s="1"/>
  <c r="AE36" i="27" s="1"/>
  <c r="AP36" i="27" s="1"/>
  <c r="M9" i="34"/>
  <c r="D190" i="30"/>
  <c r="D199" i="30" s="1"/>
  <c r="F71" i="44"/>
  <c r="D39" i="53"/>
  <c r="R174" i="30"/>
  <c r="R175" i="30" s="1"/>
  <c r="L398" i="30"/>
  <c r="L18" i="44" s="1"/>
  <c r="G66" i="44" s="1"/>
  <c r="AC40" i="27"/>
  <c r="AN40" i="27" s="1"/>
  <c r="AP37" i="27"/>
  <c r="D31" i="34"/>
  <c r="O365" i="30"/>
  <c r="O406" i="30" s="1"/>
  <c r="O26" i="44" s="1"/>
  <c r="J74" i="44" s="1"/>
  <c r="AF32" i="27" s="1"/>
  <c r="AQ32" i="27" s="1"/>
  <c r="E334" i="30"/>
  <c r="F39" i="17"/>
  <c r="F65" i="17" s="1"/>
  <c r="F73" i="17" s="1"/>
  <c r="J39" i="17"/>
  <c r="J65" i="17" s="1"/>
  <c r="J73" i="17" s="1"/>
  <c r="N39" i="17"/>
  <c r="N65" i="17" s="1"/>
  <c r="N73" i="17" s="1"/>
  <c r="G39" i="17"/>
  <c r="G65" i="17" s="1"/>
  <c r="G73" i="17" s="1"/>
  <c r="K39" i="17"/>
  <c r="K65" i="17" s="1"/>
  <c r="K73" i="17" s="1"/>
  <c r="O39" i="17"/>
  <c r="O65" i="17" s="1"/>
  <c r="O73" i="17" s="1"/>
  <c r="Q288" i="30"/>
  <c r="L361" i="30" s="1"/>
  <c r="R283" i="30"/>
  <c r="L360" i="30"/>
  <c r="G104" i="30"/>
  <c r="G106" i="30" s="1"/>
  <c r="G255" i="30" s="1"/>
  <c r="F104" i="30"/>
  <c r="F106" i="30" s="1"/>
  <c r="F255" i="30" s="1"/>
  <c r="E104" i="30"/>
  <c r="E106" i="30" s="1"/>
  <c r="E255" i="30" s="1"/>
  <c r="G40" i="53" l="1"/>
  <c r="D37" i="58"/>
  <c r="D191" i="30"/>
  <c r="E200" i="30" s="1"/>
  <c r="E205" i="30" s="1"/>
  <c r="E210" i="30" s="1"/>
  <c r="O228" i="30" s="1"/>
  <c r="J350" i="30" s="1"/>
  <c r="J393" i="30" s="1"/>
  <c r="H199" i="30"/>
  <c r="H204" i="30" s="1"/>
  <c r="H209" i="30" s="1"/>
  <c r="R220" i="30" s="1"/>
  <c r="M342" i="30" s="1"/>
  <c r="M386" i="30" s="1"/>
  <c r="M6" i="44" s="1"/>
  <c r="G199" i="30"/>
  <c r="G204" i="30" s="1"/>
  <c r="G209" i="30" s="1"/>
  <c r="Q220" i="30" s="1"/>
  <c r="L342" i="30" s="1"/>
  <c r="AC26" i="27" s="1"/>
  <c r="AN26" i="27" s="1"/>
  <c r="F199" i="30"/>
  <c r="F204" i="30" s="1"/>
  <c r="F209" i="30" s="1"/>
  <c r="P220" i="30" s="1"/>
  <c r="K342" i="30" s="1"/>
  <c r="K386" i="30" s="1"/>
  <c r="K6" i="44" s="1"/>
  <c r="E199" i="30"/>
  <c r="E204" i="30" s="1"/>
  <c r="E209" i="30" s="1"/>
  <c r="O220" i="30" s="1"/>
  <c r="J342" i="30" s="1"/>
  <c r="AA26" i="27" s="1"/>
  <c r="AL26" i="27" s="1"/>
  <c r="L403" i="30"/>
  <c r="L23" i="44" s="1"/>
  <c r="AC46" i="27"/>
  <c r="AN46" i="27" s="1"/>
  <c r="L402" i="30"/>
  <c r="L22" i="44" s="1"/>
  <c r="G70" i="44" s="1"/>
  <c r="AC45" i="27"/>
  <c r="AN45" i="27" s="1"/>
  <c r="D204" i="30"/>
  <c r="E335" i="30"/>
  <c r="O368" i="30"/>
  <c r="O409" i="30" s="1"/>
  <c r="O29" i="44" s="1"/>
  <c r="J77" i="44" s="1"/>
  <c r="AF35" i="27" s="1"/>
  <c r="AQ35" i="27" s="1"/>
  <c r="AQ37" i="27" s="1"/>
  <c r="F331" i="30"/>
  <c r="H104" i="30"/>
  <c r="H106" i="30" s="1"/>
  <c r="H255" i="30" s="1"/>
  <c r="R287" i="30"/>
  <c r="M356" i="30"/>
  <c r="AD26" i="27" l="1"/>
  <c r="AO26" i="27" s="1"/>
  <c r="L386" i="30"/>
  <c r="G422" i="30" s="1"/>
  <c r="D200" i="30"/>
  <c r="D205" i="30" s="1"/>
  <c r="H200" i="30"/>
  <c r="H205" i="30" s="1"/>
  <c r="H210" i="30" s="1"/>
  <c r="R228" i="30" s="1"/>
  <c r="M350" i="30" s="1"/>
  <c r="M393" i="30" s="1"/>
  <c r="M13" i="44" s="1"/>
  <c r="M43" i="44" s="1"/>
  <c r="F200" i="30"/>
  <c r="F205" i="30" s="1"/>
  <c r="F210" i="30" s="1"/>
  <c r="P228" i="30" s="1"/>
  <c r="K350" i="30" s="1"/>
  <c r="K393" i="30" s="1"/>
  <c r="K13" i="44" s="1"/>
  <c r="K43" i="44" s="1"/>
  <c r="J386" i="30"/>
  <c r="E422" i="30" s="1"/>
  <c r="G200" i="30"/>
  <c r="G205" i="30" s="1"/>
  <c r="G210" i="30" s="1"/>
  <c r="Q228" i="30" s="1"/>
  <c r="L350" i="30" s="1"/>
  <c r="L393" i="30" s="1"/>
  <c r="G423" i="30" s="1"/>
  <c r="AB26" i="27"/>
  <c r="AM26" i="27" s="1"/>
  <c r="I199" i="30"/>
  <c r="F422" i="30"/>
  <c r="H422" i="30"/>
  <c r="M398" i="30"/>
  <c r="M18" i="44" s="1"/>
  <c r="H66" i="44" s="1"/>
  <c r="AD40" i="27"/>
  <c r="AO40" i="27" s="1"/>
  <c r="G71" i="44"/>
  <c r="E39" i="53"/>
  <c r="D209" i="30"/>
  <c r="I204" i="30"/>
  <c r="H54" i="44"/>
  <c r="F54" i="44"/>
  <c r="J13" i="44"/>
  <c r="E423" i="30"/>
  <c r="F334" i="30"/>
  <c r="P365" i="30"/>
  <c r="P406" i="30" s="1"/>
  <c r="P26" i="44" s="1"/>
  <c r="K74" i="44" s="1"/>
  <c r="AG32" i="27" s="1"/>
  <c r="AR32" i="27" s="1"/>
  <c r="E9" i="34"/>
  <c r="O369" i="30"/>
  <c r="O410" i="30" s="1"/>
  <c r="R288" i="30"/>
  <c r="M361" i="30" s="1"/>
  <c r="M360" i="30"/>
  <c r="D292" i="30"/>
  <c r="N70" i="15"/>
  <c r="M70" i="15"/>
  <c r="L70" i="15"/>
  <c r="K70" i="15"/>
  <c r="J70" i="15"/>
  <c r="I70" i="15"/>
  <c r="H70" i="15"/>
  <c r="G70" i="15"/>
  <c r="F70" i="15"/>
  <c r="E70" i="15"/>
  <c r="N52" i="15"/>
  <c r="M52" i="15"/>
  <c r="L52" i="15"/>
  <c r="K52" i="15"/>
  <c r="J52" i="15"/>
  <c r="I52" i="15"/>
  <c r="H52" i="15"/>
  <c r="G52" i="15"/>
  <c r="F52" i="15"/>
  <c r="E52" i="15"/>
  <c r="N42" i="15"/>
  <c r="M42" i="15"/>
  <c r="L42" i="15"/>
  <c r="K42" i="15"/>
  <c r="J42" i="15"/>
  <c r="I42" i="15"/>
  <c r="H42" i="15"/>
  <c r="G42" i="15"/>
  <c r="F42" i="15"/>
  <c r="E42" i="15"/>
  <c r="N32" i="15"/>
  <c r="M32" i="15"/>
  <c r="L32" i="15"/>
  <c r="K32" i="15"/>
  <c r="J32" i="15"/>
  <c r="I32" i="15"/>
  <c r="H32" i="15"/>
  <c r="G32" i="15"/>
  <c r="F32" i="15"/>
  <c r="E32" i="15"/>
  <c r="N25" i="15"/>
  <c r="M25" i="15"/>
  <c r="L25" i="15"/>
  <c r="K25" i="15"/>
  <c r="J25" i="15"/>
  <c r="I25" i="15"/>
  <c r="H25" i="15"/>
  <c r="G25" i="15"/>
  <c r="F25" i="15"/>
  <c r="E25" i="15"/>
  <c r="N18" i="15"/>
  <c r="M18" i="15"/>
  <c r="M55" i="15" s="1"/>
  <c r="M62" i="15" s="1"/>
  <c r="L18" i="15"/>
  <c r="K18" i="15"/>
  <c r="J18" i="15"/>
  <c r="I18" i="15"/>
  <c r="I55" i="15" s="1"/>
  <c r="I62" i="15" s="1"/>
  <c r="H18" i="15"/>
  <c r="G18" i="15"/>
  <c r="F18" i="15"/>
  <c r="E18" i="15"/>
  <c r="O41" i="14"/>
  <c r="O44" i="14" s="1"/>
  <c r="N41" i="14"/>
  <c r="N44" i="14" s="1"/>
  <c r="M41" i="14"/>
  <c r="M44" i="14" s="1"/>
  <c r="L41" i="14"/>
  <c r="L44" i="14" s="1"/>
  <c r="K41" i="14"/>
  <c r="K44" i="14" s="1"/>
  <c r="J41" i="14"/>
  <c r="J44" i="14" s="1"/>
  <c r="I41" i="14"/>
  <c r="I44" i="14" s="1"/>
  <c r="H41" i="14"/>
  <c r="H44" i="14" s="1"/>
  <c r="G41" i="14"/>
  <c r="G44" i="14" s="1"/>
  <c r="F41" i="14"/>
  <c r="F44" i="14" s="1"/>
  <c r="I33" i="14"/>
  <c r="H33" i="14"/>
  <c r="G33" i="14"/>
  <c r="J32" i="14"/>
  <c r="K32" i="14" s="1"/>
  <c r="L32" i="14" s="1"/>
  <c r="M32" i="14" s="1"/>
  <c r="N32" i="14" s="1"/>
  <c r="O32" i="14" s="1"/>
  <c r="O30" i="14"/>
  <c r="N30" i="14"/>
  <c r="M30" i="14"/>
  <c r="L30" i="14"/>
  <c r="K30" i="14"/>
  <c r="J30" i="14"/>
  <c r="I30" i="14"/>
  <c r="H30" i="14"/>
  <c r="G30" i="14"/>
  <c r="O27" i="14"/>
  <c r="N27" i="14"/>
  <c r="M27" i="14"/>
  <c r="L27" i="14"/>
  <c r="K27" i="14"/>
  <c r="J27" i="14"/>
  <c r="I27" i="14"/>
  <c r="H27" i="14"/>
  <c r="G27" i="14"/>
  <c r="K23" i="14"/>
  <c r="K22" i="14"/>
  <c r="K20" i="14"/>
  <c r="K19" i="14"/>
  <c r="O16" i="14"/>
  <c r="N16" i="14"/>
  <c r="M16" i="14"/>
  <c r="L16" i="14"/>
  <c r="K16" i="14"/>
  <c r="O15" i="14"/>
  <c r="N15" i="14"/>
  <c r="M15" i="14"/>
  <c r="L15" i="14"/>
  <c r="K15" i="14"/>
  <c r="K13" i="14"/>
  <c r="G55" i="15" l="1"/>
  <c r="G62" i="15" s="1"/>
  <c r="K55" i="15"/>
  <c r="K62" i="15" s="1"/>
  <c r="E426" i="30"/>
  <c r="G426" i="30"/>
  <c r="O30" i="44"/>
  <c r="J78" i="44" s="1"/>
  <c r="AF36" i="27" s="1"/>
  <c r="AQ36" i="27" s="1"/>
  <c r="N9" i="34"/>
  <c r="F423" i="30"/>
  <c r="F426" i="30" s="1"/>
  <c r="L6" i="44"/>
  <c r="H423" i="30"/>
  <c r="H426" i="30" s="1"/>
  <c r="J6" i="44"/>
  <c r="J43" i="44" s="1"/>
  <c r="L13" i="44"/>
  <c r="G61" i="44" s="1"/>
  <c r="I200" i="30"/>
  <c r="M403" i="30"/>
  <c r="M23" i="44" s="1"/>
  <c r="AD46" i="27"/>
  <c r="AO46" i="27" s="1"/>
  <c r="M402" i="30"/>
  <c r="M22" i="44" s="1"/>
  <c r="H70" i="44" s="1"/>
  <c r="AD45" i="27"/>
  <c r="AO45" i="27" s="1"/>
  <c r="F61" i="44"/>
  <c r="F90" i="44" s="1"/>
  <c r="AB18" i="27"/>
  <c r="AM18" i="27" s="1"/>
  <c r="H61" i="44"/>
  <c r="H90" i="44" s="1"/>
  <c r="AD18" i="27"/>
  <c r="AO18" i="27" s="1"/>
  <c r="E61" i="44"/>
  <c r="AA18" i="27"/>
  <c r="AL18" i="27" s="1"/>
  <c r="K7" i="53"/>
  <c r="M7" i="53"/>
  <c r="N220" i="30"/>
  <c r="I209" i="30"/>
  <c r="E234" i="30" s="1"/>
  <c r="F234" i="30" s="1"/>
  <c r="D210" i="30"/>
  <c r="I205" i="30"/>
  <c r="E24" i="34"/>
  <c r="E17" i="34"/>
  <c r="F335" i="30"/>
  <c r="P368" i="30"/>
  <c r="P409" i="30" s="1"/>
  <c r="P29" i="44" s="1"/>
  <c r="K77" i="44" s="1"/>
  <c r="AG35" i="27" s="1"/>
  <c r="AR35" i="27" s="1"/>
  <c r="AR37" i="27" s="1"/>
  <c r="G331" i="30"/>
  <c r="F55" i="15"/>
  <c r="F62" i="15" s="1"/>
  <c r="J55" i="15"/>
  <c r="J62" i="15" s="1"/>
  <c r="N55" i="15"/>
  <c r="N62" i="15" s="1"/>
  <c r="H55" i="15"/>
  <c r="H62" i="15" s="1"/>
  <c r="L55" i="15"/>
  <c r="L62" i="15" s="1"/>
  <c r="N356" i="30"/>
  <c r="N398" i="30" s="1"/>
  <c r="N18" i="44" s="1"/>
  <c r="I66" i="44" s="1"/>
  <c r="AE40" i="27" s="1"/>
  <c r="AP40" i="27" s="1"/>
  <c r="D296" i="30"/>
  <c r="E55" i="15"/>
  <c r="E62" i="15" s="1"/>
  <c r="L43" i="44" l="1"/>
  <c r="G54" i="44"/>
  <c r="G90" i="44" s="1"/>
  <c r="L7" i="53"/>
  <c r="E54" i="44"/>
  <c r="E90" i="44" s="1"/>
  <c r="J7" i="53"/>
  <c r="H40" i="53"/>
  <c r="AC18" i="27"/>
  <c r="AN18" i="27" s="1"/>
  <c r="H71" i="44"/>
  <c r="F39" i="53"/>
  <c r="N228" i="30"/>
  <c r="I210" i="30"/>
  <c r="E235" i="30" s="1"/>
  <c r="F235" i="30" s="1"/>
  <c r="N221" i="30"/>
  <c r="I342" i="30"/>
  <c r="E31" i="34"/>
  <c r="F9" i="34"/>
  <c r="P369" i="30"/>
  <c r="P410" i="30" s="1"/>
  <c r="Q365" i="30"/>
  <c r="Q406" i="30" s="1"/>
  <c r="Q26" i="44" s="1"/>
  <c r="L74" i="44" s="1"/>
  <c r="AH32" i="27" s="1"/>
  <c r="AS32" i="27" s="1"/>
  <c r="G334" i="30"/>
  <c r="D297" i="30"/>
  <c r="E292" i="30"/>
  <c r="N360" i="30"/>
  <c r="N402" i="30" s="1"/>
  <c r="N22" i="44" s="1"/>
  <c r="I70" i="44" s="1"/>
  <c r="AE45" i="27" s="1"/>
  <c r="AP45" i="27" s="1"/>
  <c r="E37" i="58" l="1"/>
  <c r="P30" i="44"/>
  <c r="I40" i="53" s="1"/>
  <c r="O9" i="34"/>
  <c r="I386" i="30"/>
  <c r="D422" i="30" s="1"/>
  <c r="Z26" i="27"/>
  <c r="AK26" i="27" s="1"/>
  <c r="N222" i="30"/>
  <c r="I344" i="30" s="1"/>
  <c r="O217" i="30"/>
  <c r="I343" i="30"/>
  <c r="N229" i="30"/>
  <c r="I350" i="30"/>
  <c r="I393" i="30" s="1"/>
  <c r="G335" i="30"/>
  <c r="H331" i="30"/>
  <c r="Q368" i="30"/>
  <c r="Q409" i="30" s="1"/>
  <c r="Q29" i="44" s="1"/>
  <c r="L77" i="44" s="1"/>
  <c r="AH35" i="27" s="1"/>
  <c r="AS35" i="27" s="1"/>
  <c r="AS37" i="27" s="1"/>
  <c r="F24" i="34"/>
  <c r="F17" i="34"/>
  <c r="D8" i="34"/>
  <c r="N361" i="30"/>
  <c r="N403" i="30" s="1"/>
  <c r="F239" i="30"/>
  <c r="O356" i="30"/>
  <c r="O398" i="30" s="1"/>
  <c r="O18" i="44" s="1"/>
  <c r="J66" i="44" s="1"/>
  <c r="AF40" i="27" s="1"/>
  <c r="AQ40" i="27" s="1"/>
  <c r="E296" i="30"/>
  <c r="E297" i="30" s="1"/>
  <c r="F240" i="30"/>
  <c r="K78" i="44" l="1"/>
  <c r="AG36" i="27" s="1"/>
  <c r="AR36" i="27" s="1"/>
  <c r="N23" i="44"/>
  <c r="I71" i="44" s="1"/>
  <c r="AE46" i="27" s="1"/>
  <c r="AP46" i="27" s="1"/>
  <c r="M8" i="34"/>
  <c r="I6" i="44"/>
  <c r="I43" i="44" s="1"/>
  <c r="I387" i="30"/>
  <c r="I7" i="44" s="1"/>
  <c r="Z27" i="27"/>
  <c r="AK27" i="27" s="1"/>
  <c r="AK29" i="27" s="1"/>
  <c r="I388" i="30"/>
  <c r="I8" i="44" s="1"/>
  <c r="Z28" i="27"/>
  <c r="AK28" i="27" s="1"/>
  <c r="O221" i="30"/>
  <c r="O222" i="30" s="1"/>
  <c r="J344" i="30" s="1"/>
  <c r="J340" i="30"/>
  <c r="I13" i="44"/>
  <c r="D423" i="30"/>
  <c r="D426" i="30" s="1"/>
  <c r="N230" i="30"/>
  <c r="I352" i="30" s="1"/>
  <c r="I395" i="30" s="1"/>
  <c r="I15" i="44" s="1"/>
  <c r="B37" i="53" s="1"/>
  <c r="O225" i="30"/>
  <c r="I351" i="30"/>
  <c r="I394" i="30" s="1"/>
  <c r="I14" i="44" s="1"/>
  <c r="F31" i="34"/>
  <c r="R365" i="30"/>
  <c r="R406" i="30" s="1"/>
  <c r="R26" i="44" s="1"/>
  <c r="M74" i="44" s="1"/>
  <c r="AI32" i="27" s="1"/>
  <c r="AT32" i="27" s="1"/>
  <c r="H334" i="30"/>
  <c r="Q369" i="30"/>
  <c r="Q410" i="30" s="1"/>
  <c r="G9" i="34"/>
  <c r="E248" i="30"/>
  <c r="E264" i="30" s="1"/>
  <c r="O350" i="30" s="1"/>
  <c r="H248" i="30"/>
  <c r="H264" i="30" s="1"/>
  <c r="R350" i="30" s="1"/>
  <c r="D248" i="30"/>
  <c r="D264" i="30" s="1"/>
  <c r="N350" i="30" s="1"/>
  <c r="F248" i="30"/>
  <c r="F264" i="30" s="1"/>
  <c r="P350" i="30" s="1"/>
  <c r="G248" i="30"/>
  <c r="G264" i="30" s="1"/>
  <c r="Q350" i="30" s="1"/>
  <c r="E8" i="34"/>
  <c r="O361" i="30"/>
  <c r="O403" i="30" s="1"/>
  <c r="O360" i="30"/>
  <c r="O402" i="30" s="1"/>
  <c r="O22" i="44" s="1"/>
  <c r="J70" i="44" s="1"/>
  <c r="AF45" i="27" s="1"/>
  <c r="AQ45" i="27" s="1"/>
  <c r="F292" i="30"/>
  <c r="D247" i="30"/>
  <c r="D256" i="30" s="1"/>
  <c r="N342" i="30" s="1"/>
  <c r="H247" i="30"/>
  <c r="H256" i="30" s="1"/>
  <c r="R342" i="30" s="1"/>
  <c r="F247" i="30"/>
  <c r="F256" i="30" s="1"/>
  <c r="P342" i="30" s="1"/>
  <c r="E247" i="30"/>
  <c r="E256" i="30" s="1"/>
  <c r="O342" i="30" s="1"/>
  <c r="G247" i="30"/>
  <c r="G256" i="30" s="1"/>
  <c r="Q342" i="30" s="1"/>
  <c r="D25" i="34"/>
  <c r="D18" i="34"/>
  <c r="I47" i="44" l="1"/>
  <c r="I46" i="44"/>
  <c r="F37" i="58"/>
  <c r="G39" i="53"/>
  <c r="D54" i="44"/>
  <c r="I7" i="53"/>
  <c r="D55" i="44"/>
  <c r="I10" i="53"/>
  <c r="B15" i="53" s="1"/>
  <c r="Q30" i="44"/>
  <c r="L78" i="44" s="1"/>
  <c r="AH36" i="27" s="1"/>
  <c r="AS36" i="27" s="1"/>
  <c r="P9" i="34"/>
  <c r="O23" i="44"/>
  <c r="H39" i="53" s="1"/>
  <c r="N8" i="34"/>
  <c r="O386" i="30"/>
  <c r="J422" i="30" s="1"/>
  <c r="E29" i="58"/>
  <c r="E43" i="68" s="1"/>
  <c r="Q393" i="30"/>
  <c r="L423" i="30" s="1"/>
  <c r="G28" i="58"/>
  <c r="G42" i="68" s="1"/>
  <c r="O393" i="30"/>
  <c r="O13" i="44" s="1"/>
  <c r="J61" i="44" s="1"/>
  <c r="AF18" i="27" s="1"/>
  <c r="AQ18" i="27" s="1"/>
  <c r="E28" i="58"/>
  <c r="E42" i="68" s="1"/>
  <c r="P393" i="30"/>
  <c r="P13" i="44" s="1"/>
  <c r="K61" i="44" s="1"/>
  <c r="AG18" i="27" s="1"/>
  <c r="AR18" i="27" s="1"/>
  <c r="F28" i="58"/>
  <c r="F42" i="68" s="1"/>
  <c r="R386" i="30"/>
  <c r="M422" i="30" s="1"/>
  <c r="H29" i="58"/>
  <c r="H43" i="68" s="1"/>
  <c r="N393" i="30"/>
  <c r="I423" i="30" s="1"/>
  <c r="D28" i="58"/>
  <c r="D42" i="68" s="1"/>
  <c r="P386" i="30"/>
  <c r="P6" i="44" s="1"/>
  <c r="F29" i="58"/>
  <c r="F43" i="68" s="1"/>
  <c r="Q386" i="30"/>
  <c r="L422" i="30" s="1"/>
  <c r="G29" i="58"/>
  <c r="G43" i="68" s="1"/>
  <c r="N386" i="30"/>
  <c r="N6" i="44" s="1"/>
  <c r="D29" i="58"/>
  <c r="D43" i="68" s="1"/>
  <c r="R393" i="30"/>
  <c r="M423" i="30" s="1"/>
  <c r="H28" i="58"/>
  <c r="H42" i="68" s="1"/>
  <c r="D56" i="44"/>
  <c r="B38" i="53"/>
  <c r="J71" i="44"/>
  <c r="AF46" i="27" s="1"/>
  <c r="AQ46" i="27" s="1"/>
  <c r="D61" i="44"/>
  <c r="Z18" i="27"/>
  <c r="AK18" i="27" s="1"/>
  <c r="D62" i="44"/>
  <c r="Z19" i="27"/>
  <c r="AK19" i="27" s="1"/>
  <c r="D63" i="44"/>
  <c r="Z20" i="27"/>
  <c r="AK20" i="27" s="1"/>
  <c r="J384" i="30"/>
  <c r="J4" i="44" s="1"/>
  <c r="AA24" i="27"/>
  <c r="AL24" i="27" s="1"/>
  <c r="J388" i="30"/>
  <c r="J8" i="44" s="1"/>
  <c r="AA28" i="27"/>
  <c r="AL28" i="27" s="1"/>
  <c r="I11" i="53"/>
  <c r="J348" i="30"/>
  <c r="J391" i="30" s="1"/>
  <c r="J11" i="44" s="1"/>
  <c r="O229" i="30"/>
  <c r="O230" i="30" s="1"/>
  <c r="J352" i="30" s="1"/>
  <c r="J395" i="30" s="1"/>
  <c r="J15" i="44" s="1"/>
  <c r="C37" i="53" s="1"/>
  <c r="J343" i="30"/>
  <c r="P217" i="30"/>
  <c r="R368" i="30"/>
  <c r="R409" i="30" s="1"/>
  <c r="R29" i="44" s="1"/>
  <c r="M77" i="44" s="1"/>
  <c r="AI35" i="27" s="1"/>
  <c r="AT35" i="27" s="1"/>
  <c r="AT37" i="27" s="1"/>
  <c r="H335" i="30"/>
  <c r="G17" i="34"/>
  <c r="G24" i="34"/>
  <c r="D32" i="34"/>
  <c r="P356" i="30"/>
  <c r="P398" i="30" s="1"/>
  <c r="P18" i="44" s="1"/>
  <c r="K66" i="44" s="1"/>
  <c r="AG40" i="27" s="1"/>
  <c r="AR40" i="27" s="1"/>
  <c r="F296" i="30"/>
  <c r="E25" i="34"/>
  <c r="E18" i="34"/>
  <c r="P43" i="44" l="1"/>
  <c r="D94" i="44"/>
  <c r="D90" i="44"/>
  <c r="D93" i="44"/>
  <c r="J47" i="44"/>
  <c r="J11" i="53" s="1"/>
  <c r="J41" i="44"/>
  <c r="J5" i="53" s="1"/>
  <c r="L426" i="30"/>
  <c r="I42" i="68"/>
  <c r="I43" i="68"/>
  <c r="J40" i="53"/>
  <c r="D38" i="58"/>
  <c r="M426" i="30"/>
  <c r="E52" i="44"/>
  <c r="P7" i="53"/>
  <c r="I422" i="30"/>
  <c r="I426" i="30" s="1"/>
  <c r="R6" i="44"/>
  <c r="K422" i="30"/>
  <c r="J423" i="30"/>
  <c r="J426" i="30" s="1"/>
  <c r="O6" i="44"/>
  <c r="O43" i="44" s="1"/>
  <c r="E32" i="58"/>
  <c r="Q6" i="44"/>
  <c r="K423" i="30"/>
  <c r="Q13" i="44"/>
  <c r="L61" i="44" s="1"/>
  <c r="AH18" i="27" s="1"/>
  <c r="AS18" i="27" s="1"/>
  <c r="F32" i="58"/>
  <c r="G32" i="58"/>
  <c r="R13" i="44"/>
  <c r="M61" i="44" s="1"/>
  <c r="AI18" i="27" s="1"/>
  <c r="AT18" i="27" s="1"/>
  <c r="I29" i="58"/>
  <c r="I28" i="58"/>
  <c r="D32" i="58"/>
  <c r="N13" i="44"/>
  <c r="I61" i="44" s="1"/>
  <c r="AE18" i="27" s="1"/>
  <c r="AP18" i="27" s="1"/>
  <c r="H32" i="58"/>
  <c r="E56" i="44"/>
  <c r="C38" i="53"/>
  <c r="B17" i="53"/>
  <c r="B23" i="53"/>
  <c r="B20" i="53"/>
  <c r="E63" i="44"/>
  <c r="AA20" i="27"/>
  <c r="AL20" i="27" s="1"/>
  <c r="E59" i="44"/>
  <c r="AA16" i="27"/>
  <c r="AL16" i="27" s="1"/>
  <c r="AK21" i="27"/>
  <c r="J387" i="30"/>
  <c r="J7" i="44" s="1"/>
  <c r="AA27" i="27"/>
  <c r="AL27" i="27" s="1"/>
  <c r="AL29" i="27" s="1"/>
  <c r="J351" i="30"/>
  <c r="J394" i="30" s="1"/>
  <c r="J14" i="44" s="1"/>
  <c r="P225" i="30"/>
  <c r="P221" i="30"/>
  <c r="Q217" i="30" s="1"/>
  <c r="K340" i="30"/>
  <c r="H9" i="34"/>
  <c r="R369" i="30"/>
  <c r="R410" i="30" s="1"/>
  <c r="G31" i="34"/>
  <c r="I54" i="44"/>
  <c r="K54" i="44"/>
  <c r="K90" i="44" s="1"/>
  <c r="E32" i="34"/>
  <c r="G292" i="30"/>
  <c r="P360" i="30"/>
  <c r="P402" i="30" s="1"/>
  <c r="P22" i="44" s="1"/>
  <c r="K70" i="44" s="1"/>
  <c r="AG45" i="27" s="1"/>
  <c r="AR45" i="27" s="1"/>
  <c r="F297" i="30"/>
  <c r="E94" i="44" l="1"/>
  <c r="I90" i="44"/>
  <c r="E88" i="44"/>
  <c r="R43" i="44"/>
  <c r="R7" i="53" s="1"/>
  <c r="J46" i="44"/>
  <c r="J10" i="53" s="1"/>
  <c r="C15" i="53" s="1"/>
  <c r="Q43" i="44"/>
  <c r="Q7" i="53" s="1"/>
  <c r="N43" i="44"/>
  <c r="N7" i="53" s="1"/>
  <c r="M54" i="44"/>
  <c r="M90" i="44" s="1"/>
  <c r="E46" i="68"/>
  <c r="E6" i="68"/>
  <c r="H46" i="68"/>
  <c r="H6" i="68"/>
  <c r="F46" i="68"/>
  <c r="F6" i="68"/>
  <c r="D46" i="68"/>
  <c r="D6" i="68"/>
  <c r="I6" i="68" s="1"/>
  <c r="G46" i="68"/>
  <c r="G6" i="68"/>
  <c r="E38" i="58"/>
  <c r="K426" i="30"/>
  <c r="G37" i="58"/>
  <c r="L54" i="44"/>
  <c r="L90" i="44" s="1"/>
  <c r="J54" i="44"/>
  <c r="J90" i="44" s="1"/>
  <c r="O7" i="53"/>
  <c r="E55" i="44"/>
  <c r="R30" i="44"/>
  <c r="K40" i="53" s="1"/>
  <c r="Q9" i="34"/>
  <c r="I32" i="58"/>
  <c r="E62" i="44"/>
  <c r="AA19" i="27"/>
  <c r="AL19" i="27" s="1"/>
  <c r="AL21" i="27" s="1"/>
  <c r="K384" i="30"/>
  <c r="K4" i="44" s="1"/>
  <c r="AB24" i="27"/>
  <c r="AM24" i="27" s="1"/>
  <c r="AG26" i="27"/>
  <c r="AR26" i="27" s="1"/>
  <c r="AE26" i="27"/>
  <c r="AP26" i="27" s="1"/>
  <c r="K343" i="30"/>
  <c r="P229" i="30"/>
  <c r="K348" i="30"/>
  <c r="K391" i="30" s="1"/>
  <c r="K11" i="44" s="1"/>
  <c r="P222" i="30"/>
  <c r="K344" i="30" s="1"/>
  <c r="H17" i="34"/>
  <c r="H24" i="34"/>
  <c r="F8" i="34"/>
  <c r="P361" i="30"/>
  <c r="P403" i="30" s="1"/>
  <c r="Q356" i="30"/>
  <c r="Q398" i="30" s="1"/>
  <c r="Q18" i="44" s="1"/>
  <c r="L66" i="44" s="1"/>
  <c r="AH40" i="27" s="1"/>
  <c r="AS40" i="27" s="1"/>
  <c r="G296" i="30"/>
  <c r="G297" i="30" s="1"/>
  <c r="P230" i="30" l="1"/>
  <c r="K352" i="30" s="1"/>
  <c r="K395" i="30" s="1"/>
  <c r="K15" i="44" s="1"/>
  <c r="D37" i="53" s="1"/>
  <c r="Q225" i="30"/>
  <c r="E93" i="44"/>
  <c r="K41" i="44"/>
  <c r="K5" i="53" s="1"/>
  <c r="AI26" i="27"/>
  <c r="AT26" i="27" s="1"/>
  <c r="I46" i="68"/>
  <c r="AH26" i="27"/>
  <c r="AS26" i="27" s="1"/>
  <c r="AF26" i="27"/>
  <c r="AQ26" i="27" s="1"/>
  <c r="M78" i="44"/>
  <c r="AI36" i="27" s="1"/>
  <c r="AT36" i="27" s="1"/>
  <c r="F52" i="44"/>
  <c r="P23" i="44"/>
  <c r="K71" i="44" s="1"/>
  <c r="AG46" i="27" s="1"/>
  <c r="AR46" i="27" s="1"/>
  <c r="O8" i="34"/>
  <c r="C17" i="53"/>
  <c r="C23" i="53"/>
  <c r="C20" i="53"/>
  <c r="AB20" i="27"/>
  <c r="AM20" i="27" s="1"/>
  <c r="F59" i="44"/>
  <c r="AB16" i="27"/>
  <c r="AM16" i="27" s="1"/>
  <c r="K387" i="30"/>
  <c r="K7" i="44" s="1"/>
  <c r="AB27" i="27"/>
  <c r="AM27" i="27" s="1"/>
  <c r="AM29" i="27" s="1"/>
  <c r="K388" i="30"/>
  <c r="K8" i="44" s="1"/>
  <c r="K47" i="44" s="1"/>
  <c r="AB28" i="27"/>
  <c r="AM28" i="27" s="1"/>
  <c r="Q221" i="30"/>
  <c r="Q222" i="30" s="1"/>
  <c r="L344" i="30" s="1"/>
  <c r="L340" i="30"/>
  <c r="K351" i="30"/>
  <c r="K394" i="30" s="1"/>
  <c r="K14" i="44" s="1"/>
  <c r="H31" i="34"/>
  <c r="G8" i="34"/>
  <c r="Q361" i="30"/>
  <c r="Q403" i="30" s="1"/>
  <c r="Q360" i="30"/>
  <c r="Q402" i="30" s="1"/>
  <c r="Q22" i="44" s="1"/>
  <c r="L70" i="44" s="1"/>
  <c r="AH45" i="27" s="1"/>
  <c r="AS45" i="27" s="1"/>
  <c r="H292" i="30"/>
  <c r="F25" i="34"/>
  <c r="F18" i="34"/>
  <c r="F88" i="44" l="1"/>
  <c r="K46" i="44"/>
  <c r="F63" i="44"/>
  <c r="H37" i="58"/>
  <c r="F55" i="44"/>
  <c r="K10" i="53"/>
  <c r="D15" i="53" s="1"/>
  <c r="I39" i="53"/>
  <c r="Q23" i="44"/>
  <c r="J39" i="53" s="1"/>
  <c r="P8" i="34"/>
  <c r="F56" i="44"/>
  <c r="D38" i="53"/>
  <c r="F62" i="44"/>
  <c r="AB19" i="27"/>
  <c r="AM19" i="27" s="1"/>
  <c r="AM21" i="27" s="1"/>
  <c r="K11" i="53"/>
  <c r="L384" i="30"/>
  <c r="L4" i="44" s="1"/>
  <c r="AC24" i="27"/>
  <c r="AN24" i="27" s="1"/>
  <c r="L388" i="30"/>
  <c r="L8" i="44" s="1"/>
  <c r="AC28" i="27"/>
  <c r="AN28" i="27" s="1"/>
  <c r="Q229" i="30"/>
  <c r="Q230" i="30" s="1"/>
  <c r="L352" i="30" s="1"/>
  <c r="L395" i="30" s="1"/>
  <c r="L15" i="44" s="1"/>
  <c r="E37" i="53" s="1"/>
  <c r="L348" i="30"/>
  <c r="L391" i="30" s="1"/>
  <c r="L11" i="44" s="1"/>
  <c r="L343" i="30"/>
  <c r="R217" i="30"/>
  <c r="H296" i="30"/>
  <c r="R360" i="30" s="1"/>
  <c r="R402" i="30" s="1"/>
  <c r="R22" i="44" s="1"/>
  <c r="M70" i="44" s="1"/>
  <c r="AI45" i="27" s="1"/>
  <c r="AT45" i="27" s="1"/>
  <c r="R356" i="30"/>
  <c r="R398" i="30" s="1"/>
  <c r="R18" i="44" s="1"/>
  <c r="M66" i="44" s="1"/>
  <c r="AI40" i="27" s="1"/>
  <c r="AT40" i="27" s="1"/>
  <c r="F32" i="34"/>
  <c r="G25" i="34"/>
  <c r="G18" i="34"/>
  <c r="F94" i="44" l="1"/>
  <c r="F93" i="44"/>
  <c r="L47" i="44"/>
  <c r="L11" i="53" s="1"/>
  <c r="L41" i="44"/>
  <c r="L5" i="53" s="1"/>
  <c r="I37" i="58"/>
  <c r="F38" i="58"/>
  <c r="L71" i="44"/>
  <c r="AH46" i="27" s="1"/>
  <c r="AS46" i="27" s="1"/>
  <c r="G52" i="44"/>
  <c r="D17" i="53"/>
  <c r="D20" i="53"/>
  <c r="D23" i="53"/>
  <c r="G56" i="44"/>
  <c r="E38" i="53"/>
  <c r="G63" i="44"/>
  <c r="AC20" i="27"/>
  <c r="AN20" i="27" s="1"/>
  <c r="G59" i="44"/>
  <c r="AC16" i="27"/>
  <c r="AN16" i="27" s="1"/>
  <c r="L387" i="30"/>
  <c r="L7" i="44" s="1"/>
  <c r="AC27" i="27"/>
  <c r="AN27" i="27" s="1"/>
  <c r="AN29" i="27" s="1"/>
  <c r="M340" i="30"/>
  <c r="R221" i="30"/>
  <c r="R222" i="30" s="1"/>
  <c r="M344" i="30" s="1"/>
  <c r="R225" i="30"/>
  <c r="L351" i="30"/>
  <c r="L394" i="30" s="1"/>
  <c r="L14" i="44" s="1"/>
  <c r="H297" i="30"/>
  <c r="H8" i="34" s="1"/>
  <c r="G32" i="34"/>
  <c r="G94" i="44" l="1"/>
  <c r="G88" i="44"/>
  <c r="L46" i="44"/>
  <c r="L10" i="53" s="1"/>
  <c r="E15" i="53" s="1"/>
  <c r="G38" i="58"/>
  <c r="G55" i="44"/>
  <c r="G62" i="44"/>
  <c r="AC19" i="27"/>
  <c r="AN19" i="27" s="1"/>
  <c r="AN21" i="27" s="1"/>
  <c r="M388" i="30"/>
  <c r="M8" i="44" s="1"/>
  <c r="AD28" i="27"/>
  <c r="AO28" i="27" s="1"/>
  <c r="M384" i="30"/>
  <c r="M4" i="44" s="1"/>
  <c r="AD24" i="27"/>
  <c r="AO24" i="27" s="1"/>
  <c r="M348" i="30"/>
  <c r="M391" i="30" s="1"/>
  <c r="M11" i="44" s="1"/>
  <c r="R229" i="30"/>
  <c r="R230" i="30" s="1"/>
  <c r="M352" i="30" s="1"/>
  <c r="M395" i="30" s="1"/>
  <c r="M15" i="44" s="1"/>
  <c r="F37" i="53" s="1"/>
  <c r="D253" i="30"/>
  <c r="M343" i="30"/>
  <c r="R361" i="30"/>
  <c r="R403" i="30" s="1"/>
  <c r="H18" i="34"/>
  <c r="H25" i="34"/>
  <c r="G93" i="44" l="1"/>
  <c r="M47" i="44"/>
  <c r="M11" i="53" s="1"/>
  <c r="M41" i="44"/>
  <c r="M5" i="53" s="1"/>
  <c r="F38" i="53"/>
  <c r="H52" i="44"/>
  <c r="R23" i="44"/>
  <c r="M71" i="44" s="1"/>
  <c r="AI46" i="27" s="1"/>
  <c r="AT46" i="27" s="1"/>
  <c r="Q8" i="34"/>
  <c r="E17" i="53"/>
  <c r="E23" i="53"/>
  <c r="E20" i="53"/>
  <c r="H56" i="44"/>
  <c r="H59" i="44"/>
  <c r="AD16" i="27"/>
  <c r="AO16" i="27" s="1"/>
  <c r="H63" i="44"/>
  <c r="AD20" i="27"/>
  <c r="AO20" i="27" s="1"/>
  <c r="M387" i="30"/>
  <c r="M7" i="44" s="1"/>
  <c r="AD27" i="27"/>
  <c r="AO27" i="27" s="1"/>
  <c r="AO29" i="27" s="1"/>
  <c r="N340" i="30"/>
  <c r="N384" i="30" s="1"/>
  <c r="N4" i="44" s="1"/>
  <c r="D257" i="30"/>
  <c r="M351" i="30"/>
  <c r="M394" i="30" s="1"/>
  <c r="M14" i="44" s="1"/>
  <c r="D261" i="30"/>
  <c r="H32" i="34"/>
  <c r="H88" i="44" l="1"/>
  <c r="H94" i="44"/>
  <c r="M46" i="44"/>
  <c r="M10" i="53" s="1"/>
  <c r="F15" i="53" s="1"/>
  <c r="H38" i="58"/>
  <c r="H55" i="44"/>
  <c r="K39" i="53"/>
  <c r="H62" i="44"/>
  <c r="AD19" i="27"/>
  <c r="AO19" i="27" s="1"/>
  <c r="AO21" i="27" s="1"/>
  <c r="D258" i="30"/>
  <c r="E253" i="30"/>
  <c r="N343" i="30"/>
  <c r="N387" i="30" s="1"/>
  <c r="N7" i="44" s="1"/>
  <c r="N348" i="30"/>
  <c r="N391" i="30" s="1"/>
  <c r="N11" i="44" s="1"/>
  <c r="I59" i="44" s="1"/>
  <c r="AE16" i="27" s="1"/>
  <c r="AP16" i="27" s="1"/>
  <c r="D265" i="30"/>
  <c r="D266" i="30" s="1"/>
  <c r="I52" i="44"/>
  <c r="I88" i="44" l="1"/>
  <c r="H93" i="44"/>
  <c r="N41" i="44"/>
  <c r="N5" i="53" s="1"/>
  <c r="I38" i="58"/>
  <c r="F23" i="53"/>
  <c r="F20" i="53"/>
  <c r="AE24" i="27"/>
  <c r="AP24" i="27" s="1"/>
  <c r="I55" i="44"/>
  <c r="I93" i="44" s="1"/>
  <c r="N352" i="30"/>
  <c r="N395" i="30" s="1"/>
  <c r="D7" i="34"/>
  <c r="O340" i="30"/>
  <c r="O384" i="30" s="1"/>
  <c r="O4" i="44" s="1"/>
  <c r="E257" i="30"/>
  <c r="E258" i="30" s="1"/>
  <c r="E261" i="30"/>
  <c r="N351" i="30"/>
  <c r="N394" i="30" s="1"/>
  <c r="N14" i="44" s="1"/>
  <c r="I62" i="44" s="1"/>
  <c r="AE19" i="27" s="1"/>
  <c r="AP19" i="27" s="1"/>
  <c r="AP21" i="27" s="1"/>
  <c r="D6" i="34"/>
  <c r="N344" i="30"/>
  <c r="N388" i="30" s="1"/>
  <c r="F16" i="53"/>
  <c r="F17" i="53"/>
  <c r="N46" i="44" l="1"/>
  <c r="N10" i="53" s="1"/>
  <c r="G15" i="53" s="1"/>
  <c r="AE27" i="27"/>
  <c r="AP27" i="27" s="1"/>
  <c r="AP29" i="27" s="1"/>
  <c r="N15" i="44"/>
  <c r="G37" i="53" s="1"/>
  <c r="M7" i="34"/>
  <c r="N8" i="44"/>
  <c r="M6" i="34"/>
  <c r="O348" i="30"/>
  <c r="O391" i="30" s="1"/>
  <c r="O11" i="44" s="1"/>
  <c r="J59" i="44" s="1"/>
  <c r="AF16" i="27" s="1"/>
  <c r="AQ16" i="27" s="1"/>
  <c r="E265" i="30"/>
  <c r="E266" i="30" s="1"/>
  <c r="D15" i="34"/>
  <c r="D22" i="34"/>
  <c r="E6" i="34"/>
  <c r="O344" i="30"/>
  <c r="O388" i="30" s="1"/>
  <c r="D16" i="34"/>
  <c r="D23" i="34"/>
  <c r="D10" i="34"/>
  <c r="D54" i="68" s="1"/>
  <c r="F253" i="30"/>
  <c r="O343" i="30"/>
  <c r="O387" i="30" s="1"/>
  <c r="O7" i="44" s="1"/>
  <c r="J52" i="44"/>
  <c r="J88" i="44" l="1"/>
  <c r="N47" i="44"/>
  <c r="O41" i="44"/>
  <c r="O5" i="53" s="1"/>
  <c r="N11" i="53"/>
  <c r="G38" i="53"/>
  <c r="I63" i="44"/>
  <c r="AE20" i="27" s="1"/>
  <c r="AP20" i="27" s="1"/>
  <c r="I56" i="44"/>
  <c r="I94" i="44" s="1"/>
  <c r="O8" i="44"/>
  <c r="N6" i="34"/>
  <c r="D88" i="62"/>
  <c r="D89" i="62" s="1"/>
  <c r="D90" i="62" s="1"/>
  <c r="D81" i="62"/>
  <c r="D74" i="62"/>
  <c r="D75" i="62" s="1"/>
  <c r="D76" i="62" s="1"/>
  <c r="D67" i="62"/>
  <c r="D68" i="62" s="1"/>
  <c r="D69" i="62" s="1"/>
  <c r="E7" i="16"/>
  <c r="G23" i="53"/>
  <c r="G20" i="53"/>
  <c r="AF24" i="27"/>
  <c r="AQ24" i="27" s="1"/>
  <c r="G17" i="53"/>
  <c r="G16" i="53"/>
  <c r="M10" i="34"/>
  <c r="O351" i="30"/>
  <c r="O394" i="30" s="1"/>
  <c r="O14" i="44" s="1"/>
  <c r="J62" i="44" s="1"/>
  <c r="AF19" i="27" s="1"/>
  <c r="AQ19" i="27" s="1"/>
  <c r="AQ21" i="27" s="1"/>
  <c r="F261" i="30"/>
  <c r="F257" i="30"/>
  <c r="F258" i="30" s="1"/>
  <c r="P340" i="30"/>
  <c r="P384" i="30" s="1"/>
  <c r="P4" i="44" s="1"/>
  <c r="D19" i="34"/>
  <c r="D29" i="34"/>
  <c r="E7" i="34"/>
  <c r="O352" i="30"/>
  <c r="O395" i="30" s="1"/>
  <c r="J55" i="44"/>
  <c r="J93" i="44" s="1"/>
  <c r="D30" i="34"/>
  <c r="E16" i="34"/>
  <c r="E23" i="34"/>
  <c r="D26" i="34"/>
  <c r="O46" i="44" l="1"/>
  <c r="O10" i="53" s="1"/>
  <c r="H15" i="53" s="1"/>
  <c r="D36" i="58"/>
  <c r="D35" i="58"/>
  <c r="H38" i="53"/>
  <c r="J56" i="44"/>
  <c r="AE28" i="27"/>
  <c r="AP28" i="27" s="1"/>
  <c r="O15" i="44"/>
  <c r="H37" i="53" s="1"/>
  <c r="N7" i="34"/>
  <c r="N10" i="34" s="1"/>
  <c r="D82" i="62"/>
  <c r="D83" i="62" s="1"/>
  <c r="AF27" i="27"/>
  <c r="AQ27" i="27" s="1"/>
  <c r="AQ29" i="27" s="1"/>
  <c r="D33" i="34"/>
  <c r="N15" i="53"/>
  <c r="E30" i="34"/>
  <c r="P344" i="30"/>
  <c r="P388" i="30" s="1"/>
  <c r="F6" i="34"/>
  <c r="E8" i="16"/>
  <c r="E10" i="34"/>
  <c r="E54" i="68" s="1"/>
  <c r="E22" i="34"/>
  <c r="E26" i="34" s="1"/>
  <c r="E15" i="34"/>
  <c r="K52" i="44"/>
  <c r="P348" i="30"/>
  <c r="P391" i="30" s="1"/>
  <c r="P11" i="44" s="1"/>
  <c r="K59" i="44" s="1"/>
  <c r="AG16" i="27" s="1"/>
  <c r="AR16" i="27" s="1"/>
  <c r="F265" i="30"/>
  <c r="P343" i="30"/>
  <c r="P387" i="30" s="1"/>
  <c r="P7" i="44" s="1"/>
  <c r="G253" i="30"/>
  <c r="K88" i="44" l="1"/>
  <c r="O47" i="44"/>
  <c r="O11" i="53" s="1"/>
  <c r="P41" i="44"/>
  <c r="P5" i="53" s="1"/>
  <c r="AG24" i="27"/>
  <c r="AR24" i="27" s="1"/>
  <c r="AF28" i="27"/>
  <c r="AQ28" i="27" s="1"/>
  <c r="E36" i="58"/>
  <c r="D39" i="58"/>
  <c r="J63" i="44"/>
  <c r="AF20" i="27" s="1"/>
  <c r="AQ20" i="27" s="1"/>
  <c r="P8" i="44"/>
  <c r="O6" i="34"/>
  <c r="E81" i="62"/>
  <c r="E82" i="62" s="1"/>
  <c r="E83" i="62" s="1"/>
  <c r="E74" i="62"/>
  <c r="E75" i="62" s="1"/>
  <c r="E76" i="62" s="1"/>
  <c r="E67" i="62"/>
  <c r="E68" i="62" s="1"/>
  <c r="E69" i="62" s="1"/>
  <c r="E88" i="62"/>
  <c r="E89" i="62" s="1"/>
  <c r="E90" i="62" s="1"/>
  <c r="D17" i="62"/>
  <c r="E21" i="16" s="1"/>
  <c r="D24" i="62"/>
  <c r="E22" i="16" s="1"/>
  <c r="D47" i="62"/>
  <c r="E26" i="16" s="1"/>
  <c r="D40" i="62"/>
  <c r="E25" i="16" s="1"/>
  <c r="D91" i="62"/>
  <c r="E33" i="16" s="1"/>
  <c r="D84" i="62"/>
  <c r="E32" i="16" s="1"/>
  <c r="D61" i="62"/>
  <c r="E28" i="16" s="1"/>
  <c r="D54" i="62"/>
  <c r="E27" i="16" s="1"/>
  <c r="D77" i="62"/>
  <c r="E31" i="16" s="1"/>
  <c r="D10" i="62"/>
  <c r="E20" i="16" s="1"/>
  <c r="D70" i="62"/>
  <c r="E30" i="16" s="1"/>
  <c r="D31" i="62"/>
  <c r="E23" i="16" s="1"/>
  <c r="D141" i="62"/>
  <c r="E38" i="16" s="1"/>
  <c r="D129" i="62"/>
  <c r="E37" i="16" s="1"/>
  <c r="D105" i="62"/>
  <c r="E35" i="16" s="1"/>
  <c r="D117" i="62"/>
  <c r="E36" i="16" s="1"/>
  <c r="F7" i="16"/>
  <c r="F8" i="16" s="1"/>
  <c r="H17" i="53"/>
  <c r="H20" i="53"/>
  <c r="H23" i="53"/>
  <c r="H16" i="53"/>
  <c r="Q340" i="30"/>
  <c r="Q384" i="30" s="1"/>
  <c r="Q4" i="44" s="1"/>
  <c r="G257" i="30"/>
  <c r="G258" i="30" s="1"/>
  <c r="F266" i="30"/>
  <c r="P351" i="30"/>
  <c r="P394" i="30" s="1"/>
  <c r="P14" i="44" s="1"/>
  <c r="K62" i="44" s="1"/>
  <c r="AG19" i="27" s="1"/>
  <c r="AR19" i="27" s="1"/>
  <c r="AR21" i="27" s="1"/>
  <c r="G261" i="30"/>
  <c r="F16" i="34"/>
  <c r="F23" i="34"/>
  <c r="K55" i="44"/>
  <c r="E29" i="34"/>
  <c r="E19" i="34"/>
  <c r="K93" i="44" l="1"/>
  <c r="J94" i="44"/>
  <c r="P46" i="44"/>
  <c r="P10" i="53" s="1"/>
  <c r="I15" i="53" s="1"/>
  <c r="D43" i="58"/>
  <c r="D57" i="58" s="1"/>
  <c r="D4" i="66"/>
  <c r="D7" i="68"/>
  <c r="D5" i="66"/>
  <c r="D9" i="66" s="1"/>
  <c r="D13" i="66" s="1"/>
  <c r="AG27" i="27"/>
  <c r="AR27" i="27" s="1"/>
  <c r="AR29" i="27" s="1"/>
  <c r="I38" i="53"/>
  <c r="K56" i="44"/>
  <c r="E31" i="62"/>
  <c r="F23" i="16" s="1"/>
  <c r="E40" i="62"/>
  <c r="F25" i="16" s="1"/>
  <c r="E47" i="62"/>
  <c r="F26" i="16" s="1"/>
  <c r="E61" i="62"/>
  <c r="F28" i="16" s="1"/>
  <c r="E54" i="62"/>
  <c r="F27" i="16" s="1"/>
  <c r="E17" i="62"/>
  <c r="F21" i="16" s="1"/>
  <c r="E24" i="62"/>
  <c r="F22" i="16" s="1"/>
  <c r="E91" i="62"/>
  <c r="F33" i="16" s="1"/>
  <c r="E70" i="62"/>
  <c r="F30" i="16" s="1"/>
  <c r="E10" i="62"/>
  <c r="F20" i="16" s="1"/>
  <c r="E77" i="62"/>
  <c r="F31" i="16" s="1"/>
  <c r="E84" i="62"/>
  <c r="F32" i="16" s="1"/>
  <c r="E105" i="62"/>
  <c r="F35" i="16" s="1"/>
  <c r="E141" i="62"/>
  <c r="F38" i="16" s="1"/>
  <c r="E129" i="62"/>
  <c r="F37" i="16" s="1"/>
  <c r="E117" i="62"/>
  <c r="F36" i="16" s="1"/>
  <c r="E33" i="34"/>
  <c r="E35" i="58"/>
  <c r="O15" i="53"/>
  <c r="F30" i="34"/>
  <c r="F7" i="34"/>
  <c r="P352" i="30"/>
  <c r="P395" i="30" s="1"/>
  <c r="Q344" i="30"/>
  <c r="Q388" i="30" s="1"/>
  <c r="G6" i="34"/>
  <c r="G265" i="30"/>
  <c r="G266" i="30" s="1"/>
  <c r="Q348" i="30"/>
  <c r="Q391" i="30" s="1"/>
  <c r="Q11" i="44" s="1"/>
  <c r="L59" i="44" s="1"/>
  <c r="AH16" i="27" s="1"/>
  <c r="AS16" i="27" s="1"/>
  <c r="Q343" i="30"/>
  <c r="Q387" i="30" s="1"/>
  <c r="Q7" i="44" s="1"/>
  <c r="H253" i="30"/>
  <c r="L52" i="44"/>
  <c r="L88" i="44" l="1"/>
  <c r="Q41" i="44"/>
  <c r="Q5" i="53" s="1"/>
  <c r="D12" i="66"/>
  <c r="D15" i="68"/>
  <c r="D23" i="68" s="1"/>
  <c r="D62" i="68" s="1"/>
  <c r="AH24" i="27"/>
  <c r="AS24" i="27" s="1"/>
  <c r="AG28" i="27"/>
  <c r="AR28" i="27" s="1"/>
  <c r="F36" i="58"/>
  <c r="Q8" i="44"/>
  <c r="P6" i="34"/>
  <c r="P15" i="44"/>
  <c r="P47" i="44" s="1"/>
  <c r="O7" i="34"/>
  <c r="O10" i="34" s="1"/>
  <c r="E39" i="58"/>
  <c r="E43" i="58" s="1"/>
  <c r="E57" i="58" s="1"/>
  <c r="I16" i="53"/>
  <c r="I20" i="53"/>
  <c r="I23" i="53"/>
  <c r="I17" i="53"/>
  <c r="G23" i="34"/>
  <c r="G16" i="34"/>
  <c r="R340" i="30"/>
  <c r="R384" i="30" s="1"/>
  <c r="R4" i="44" s="1"/>
  <c r="H257" i="30"/>
  <c r="R343" i="30" s="1"/>
  <c r="R387" i="30" s="1"/>
  <c r="R7" i="44" s="1"/>
  <c r="Q351" i="30"/>
  <c r="Q394" i="30" s="1"/>
  <c r="Q14" i="44" s="1"/>
  <c r="L62" i="44" s="1"/>
  <c r="AH19" i="27" s="1"/>
  <c r="AS19" i="27" s="1"/>
  <c r="AS21" i="27" s="1"/>
  <c r="H261" i="30"/>
  <c r="L55" i="44"/>
  <c r="F15" i="34"/>
  <c r="F22" i="34"/>
  <c r="F26" i="34" s="1"/>
  <c r="F10" i="34"/>
  <c r="F54" i="68" s="1"/>
  <c r="G7" i="34"/>
  <c r="G10" i="34" s="1"/>
  <c r="G54" i="68" s="1"/>
  <c r="Q352" i="30"/>
  <c r="Q395" i="30" s="1"/>
  <c r="L93" i="44" l="1"/>
  <c r="Q46" i="44"/>
  <c r="L56" i="44"/>
  <c r="Q10" i="53"/>
  <c r="J15" i="53" s="1"/>
  <c r="K63" i="44"/>
  <c r="K94" i="44" s="1"/>
  <c r="D63" i="68"/>
  <c r="E7" i="68"/>
  <c r="E4" i="66"/>
  <c r="E5" i="66"/>
  <c r="E9" i="66" s="1"/>
  <c r="E13" i="66" s="1"/>
  <c r="AH27" i="27"/>
  <c r="AS27" i="27" s="1"/>
  <c r="AS29" i="27" s="1"/>
  <c r="I37" i="53"/>
  <c r="P11" i="53"/>
  <c r="J38" i="53"/>
  <c r="Q15" i="44"/>
  <c r="L63" i="44" s="1"/>
  <c r="AH20" i="27" s="1"/>
  <c r="AS20" i="27" s="1"/>
  <c r="P7" i="34"/>
  <c r="P10" i="34" s="1"/>
  <c r="F74" i="62"/>
  <c r="F75" i="62" s="1"/>
  <c r="F76" i="62" s="1"/>
  <c r="F67" i="62"/>
  <c r="F68" i="62" s="1"/>
  <c r="F69" i="62" s="1"/>
  <c r="F88" i="62"/>
  <c r="F89" i="62" s="1"/>
  <c r="F90" i="62" s="1"/>
  <c r="F81" i="62"/>
  <c r="F82" i="62" s="1"/>
  <c r="F83" i="62" s="1"/>
  <c r="G67" i="62"/>
  <c r="G68" i="62" s="1"/>
  <c r="G69" i="62" s="1"/>
  <c r="G88" i="62"/>
  <c r="G89" i="62" s="1"/>
  <c r="G90" i="62" s="1"/>
  <c r="G81" i="62"/>
  <c r="G82" i="62" s="1"/>
  <c r="G83" i="62" s="1"/>
  <c r="G74" i="62"/>
  <c r="G75" i="62" s="1"/>
  <c r="G76" i="62" s="1"/>
  <c r="H7" i="16"/>
  <c r="H8" i="16" s="1"/>
  <c r="G7" i="16"/>
  <c r="G8" i="16" s="1"/>
  <c r="P15" i="53"/>
  <c r="H258" i="30"/>
  <c r="H6" i="34" s="1"/>
  <c r="G30" i="34"/>
  <c r="H265" i="30"/>
  <c r="R351" i="30" s="1"/>
  <c r="R394" i="30" s="1"/>
  <c r="R14" i="44" s="1"/>
  <c r="M62" i="44" s="1"/>
  <c r="AI19" i="27" s="1"/>
  <c r="AT19" i="27" s="1"/>
  <c r="R348" i="30"/>
  <c r="R391" i="30" s="1"/>
  <c r="R11" i="44" s="1"/>
  <c r="M59" i="44" s="1"/>
  <c r="AI16" i="27" s="1"/>
  <c r="AT16" i="27" s="1"/>
  <c r="G22" i="34"/>
  <c r="G26" i="34" s="1"/>
  <c r="G15" i="34"/>
  <c r="M55" i="44"/>
  <c r="M93" i="44" s="1"/>
  <c r="M52" i="44"/>
  <c r="M88" i="44" s="1"/>
  <c r="F19" i="34"/>
  <c r="F29" i="34"/>
  <c r="E15" i="68" l="1"/>
  <c r="E23" i="68" s="1"/>
  <c r="E62" i="68" s="1"/>
  <c r="AH28" i="27"/>
  <c r="AS28" i="27" s="1"/>
  <c r="L94" i="44"/>
  <c r="Q47" i="44"/>
  <c r="Q11" i="53" s="1"/>
  <c r="R41" i="44"/>
  <c r="R5" i="53" s="1"/>
  <c r="R46" i="44"/>
  <c r="R10" i="53" s="1"/>
  <c r="K15" i="53" s="1"/>
  <c r="AG20" i="27"/>
  <c r="AR20" i="27" s="1"/>
  <c r="E12" i="66"/>
  <c r="D71" i="68"/>
  <c r="D88" i="68" s="1"/>
  <c r="D93" i="68"/>
  <c r="D92" i="68"/>
  <c r="D78" i="68"/>
  <c r="D64" i="68"/>
  <c r="D68" i="68" s="1"/>
  <c r="E63" i="68"/>
  <c r="E71" i="68"/>
  <c r="G36" i="58"/>
  <c r="AI27" i="27"/>
  <c r="AT27" i="27" s="1"/>
  <c r="AI24" i="27"/>
  <c r="AT24" i="27" s="1"/>
  <c r="J37" i="53"/>
  <c r="F77" i="62"/>
  <c r="G31" i="16" s="1"/>
  <c r="F84" i="62"/>
  <c r="G32" i="16" s="1"/>
  <c r="F70" i="62"/>
  <c r="G30" i="16" s="1"/>
  <c r="F91" i="62"/>
  <c r="G33" i="16" s="1"/>
  <c r="F10" i="62"/>
  <c r="G20" i="16" s="1"/>
  <c r="F24" i="62"/>
  <c r="G22" i="16" s="1"/>
  <c r="F159" i="62"/>
  <c r="G41" i="16" s="1"/>
  <c r="F17" i="62"/>
  <c r="G21" i="16" s="1"/>
  <c r="F31" i="62"/>
  <c r="G23" i="16" s="1"/>
  <c r="F54" i="62"/>
  <c r="G27" i="16" s="1"/>
  <c r="F40" i="62"/>
  <c r="G25" i="16" s="1"/>
  <c r="F47" i="62"/>
  <c r="G26" i="16" s="1"/>
  <c r="F105" i="62"/>
  <c r="G35" i="16" s="1"/>
  <c r="F61" i="62"/>
  <c r="G28" i="16" s="1"/>
  <c r="F129" i="62"/>
  <c r="G37" i="16" s="1"/>
  <c r="F141" i="62"/>
  <c r="G38" i="16" s="1"/>
  <c r="F117" i="62"/>
  <c r="G36" i="16" s="1"/>
  <c r="F151" i="62"/>
  <c r="G40" i="16" s="1"/>
  <c r="G84" i="62"/>
  <c r="H32" i="16" s="1"/>
  <c r="G70" i="62"/>
  <c r="H30" i="16" s="1"/>
  <c r="G91" i="62"/>
  <c r="H33" i="16" s="1"/>
  <c r="G77" i="62"/>
  <c r="H31" i="16" s="1"/>
  <c r="G10" i="62"/>
  <c r="H20" i="16" s="1"/>
  <c r="G31" i="62"/>
  <c r="H23" i="16" s="1"/>
  <c r="G17" i="62"/>
  <c r="H21" i="16" s="1"/>
  <c r="G24" i="62"/>
  <c r="H22" i="16" s="1"/>
  <c r="G54" i="62"/>
  <c r="H27" i="16" s="1"/>
  <c r="G40" i="62"/>
  <c r="H25" i="16" s="1"/>
  <c r="G47" i="62"/>
  <c r="H26" i="16" s="1"/>
  <c r="G61" i="62"/>
  <c r="H28" i="16" s="1"/>
  <c r="G105" i="62"/>
  <c r="H35" i="16" s="1"/>
  <c r="G129" i="62"/>
  <c r="H37" i="16" s="1"/>
  <c r="G141" i="62"/>
  <c r="H38" i="16" s="1"/>
  <c r="G117" i="62"/>
  <c r="H36" i="16" s="1"/>
  <c r="F33" i="34"/>
  <c r="F35" i="58"/>
  <c r="AT21" i="27"/>
  <c r="J16" i="53"/>
  <c r="J20" i="53"/>
  <c r="J23" i="53"/>
  <c r="J17" i="53"/>
  <c r="R344" i="30"/>
  <c r="R388" i="30" s="1"/>
  <c r="H266" i="30"/>
  <c r="R352" i="30" s="1"/>
  <c r="R395" i="30" s="1"/>
  <c r="H16" i="34"/>
  <c r="H23" i="34"/>
  <c r="G29" i="34"/>
  <c r="G19" i="34"/>
  <c r="D65" i="68" l="1"/>
  <c r="D85" i="68" s="1"/>
  <c r="D89" i="68"/>
  <c r="D72" i="68"/>
  <c r="D73" i="68" s="1"/>
  <c r="D74" i="68" s="1"/>
  <c r="D67" i="68"/>
  <c r="E5" i="16" s="1"/>
  <c r="E10" i="16" s="1"/>
  <c r="E78" i="68"/>
  <c r="E92" i="68"/>
  <c r="E83" i="68"/>
  <c r="E93" i="68"/>
  <c r="E88" i="68"/>
  <c r="E89" i="68"/>
  <c r="D79" i="68"/>
  <c r="D80" i="68"/>
  <c r="D84" i="68"/>
  <c r="AT29" i="27"/>
  <c r="D66" i="68"/>
  <c r="E4" i="16" s="1"/>
  <c r="E72" i="68"/>
  <c r="E64" i="68"/>
  <c r="E68" i="68" s="1"/>
  <c r="R8" i="44"/>
  <c r="Q6" i="34"/>
  <c r="R15" i="44"/>
  <c r="M63" i="44" s="1"/>
  <c r="AI20" i="27" s="1"/>
  <c r="AT20" i="27" s="1"/>
  <c r="Q7" i="34"/>
  <c r="G33" i="34"/>
  <c r="G35" i="58"/>
  <c r="F39" i="58"/>
  <c r="F43" i="58" s="1"/>
  <c r="F57" i="58" s="1"/>
  <c r="Q15" i="53"/>
  <c r="K16" i="53"/>
  <c r="K23" i="53"/>
  <c r="K20" i="53"/>
  <c r="H7" i="34"/>
  <c r="H22" i="34" s="1"/>
  <c r="H26" i="34" s="1"/>
  <c r="K17" i="53"/>
  <c r="H30" i="34"/>
  <c r="R47" i="44" l="1"/>
  <c r="R11" i="53" s="1"/>
  <c r="E9" i="16"/>
  <c r="F7" i="68"/>
  <c r="F4" i="66"/>
  <c r="F5" i="66"/>
  <c r="F9" i="66" s="1"/>
  <c r="F13" i="66" s="1"/>
  <c r="E65" i="68"/>
  <c r="E67" i="68"/>
  <c r="E73" i="68"/>
  <c r="E74" i="68" s="1"/>
  <c r="H36" i="58"/>
  <c r="K38" i="53"/>
  <c r="M56" i="44"/>
  <c r="M94" i="44" s="1"/>
  <c r="K37" i="53"/>
  <c r="G39" i="58"/>
  <c r="G43" i="58" s="1"/>
  <c r="G57" i="58" s="1"/>
  <c r="H10" i="34"/>
  <c r="H54" i="68" s="1"/>
  <c r="I54" i="68" s="1"/>
  <c r="R15" i="53"/>
  <c r="S15" i="53" s="1"/>
  <c r="H15" i="34"/>
  <c r="H29" i="34" s="1"/>
  <c r="Q10" i="34"/>
  <c r="Q11" i="34" s="1"/>
  <c r="F15" i="68" l="1"/>
  <c r="F23" i="68" s="1"/>
  <c r="F62" i="68" s="1"/>
  <c r="F12" i="66"/>
  <c r="E66" i="68"/>
  <c r="F4" i="16" s="1"/>
  <c r="E79" i="68"/>
  <c r="E85" i="68"/>
  <c r="E80" i="68"/>
  <c r="E84" i="68"/>
  <c r="G7" i="68"/>
  <c r="G15" i="68" s="1"/>
  <c r="G23" i="68" s="1"/>
  <c r="G62" i="68" s="1"/>
  <c r="G5" i="66"/>
  <c r="G9" i="66" s="1"/>
  <c r="G13" i="66" s="1"/>
  <c r="G4" i="66"/>
  <c r="I36" i="58"/>
  <c r="F63" i="68"/>
  <c r="F71" i="68"/>
  <c r="AI28" i="27"/>
  <c r="AT28" i="27" s="1"/>
  <c r="H88" i="62"/>
  <c r="H89" i="62" s="1"/>
  <c r="H90" i="62" s="1"/>
  <c r="H81" i="62"/>
  <c r="H82" i="62" s="1"/>
  <c r="H83" i="62" s="1"/>
  <c r="H74" i="62"/>
  <c r="H75" i="62" s="1"/>
  <c r="H76" i="62" s="1"/>
  <c r="H67" i="62"/>
  <c r="H68" i="62" s="1"/>
  <c r="H69" i="62" s="1"/>
  <c r="I7" i="16"/>
  <c r="I8" i="16" s="1"/>
  <c r="F5" i="16"/>
  <c r="F10" i="16" s="1"/>
  <c r="H33" i="34"/>
  <c r="H34" i="34" s="1"/>
  <c r="H35" i="58"/>
  <c r="H11" i="34"/>
  <c r="H19" i="34"/>
  <c r="B26" i="28"/>
  <c r="G12" i="66" l="1"/>
  <c r="F89" i="68"/>
  <c r="F88" i="68"/>
  <c r="F78" i="68"/>
  <c r="F92" i="68"/>
  <c r="F83" i="68"/>
  <c r="F93" i="68"/>
  <c r="F9" i="16"/>
  <c r="F72" i="68"/>
  <c r="G71" i="68"/>
  <c r="G63" i="68"/>
  <c r="F64" i="68"/>
  <c r="F68" i="68" s="1"/>
  <c r="H91" i="62"/>
  <c r="I33" i="16" s="1"/>
  <c r="J33" i="16" s="1"/>
  <c r="H70" i="62"/>
  <c r="I30" i="16" s="1"/>
  <c r="J30" i="16" s="1"/>
  <c r="H84" i="62"/>
  <c r="I32" i="16" s="1"/>
  <c r="J32" i="16" s="1"/>
  <c r="H77" i="62"/>
  <c r="I31" i="16" s="1"/>
  <c r="J31" i="16" s="1"/>
  <c r="H24" i="62"/>
  <c r="I22" i="16" s="1"/>
  <c r="H17" i="62"/>
  <c r="I21" i="16" s="1"/>
  <c r="H10" i="62"/>
  <c r="I20" i="16" s="1"/>
  <c r="H31" i="62"/>
  <c r="I23" i="16" s="1"/>
  <c r="H61" i="62"/>
  <c r="I28" i="16" s="1"/>
  <c r="H40" i="62"/>
  <c r="I25" i="16" s="1"/>
  <c r="H47" i="62"/>
  <c r="I26" i="16" s="1"/>
  <c r="H54" i="62"/>
  <c r="I27" i="16" s="1"/>
  <c r="H105" i="62"/>
  <c r="I35" i="16" s="1"/>
  <c r="J35" i="16" s="1"/>
  <c r="H141" i="62"/>
  <c r="I38" i="16" s="1"/>
  <c r="J38" i="16" s="1"/>
  <c r="H129" i="62"/>
  <c r="I37" i="16" s="1"/>
  <c r="J37" i="16" s="1"/>
  <c r="H117" i="62"/>
  <c r="I36" i="16" s="1"/>
  <c r="J36" i="16" s="1"/>
  <c r="H39" i="58"/>
  <c r="H43" i="58" s="1"/>
  <c r="H57" i="58" s="1"/>
  <c r="I57" i="58" s="1"/>
  <c r="I35" i="58"/>
  <c r="G83" i="68" l="1"/>
  <c r="G93" i="68"/>
  <c r="G78" i="68"/>
  <c r="G92" i="68"/>
  <c r="G89" i="68"/>
  <c r="G88" i="68"/>
  <c r="H7" i="68"/>
  <c r="H5" i="66"/>
  <c r="H9" i="66" s="1"/>
  <c r="H13" i="66" s="1"/>
  <c r="I13" i="66" s="1"/>
  <c r="H4" i="66"/>
  <c r="G64" i="68"/>
  <c r="G72" i="68"/>
  <c r="G73" i="68" s="1"/>
  <c r="G74" i="68" s="1"/>
  <c r="F65" i="68"/>
  <c r="F67" i="68"/>
  <c r="F73" i="68"/>
  <c r="F74" i="68" s="1"/>
  <c r="I39" i="58"/>
  <c r="H15" i="68" l="1"/>
  <c r="H23" i="68" s="1"/>
  <c r="H62" i="68" s="1"/>
  <c r="I7" i="68"/>
  <c r="H12" i="66"/>
  <c r="I12" i="66" s="1"/>
  <c r="F85" i="68"/>
  <c r="F80" i="68"/>
  <c r="F84" i="68"/>
  <c r="F79" i="68"/>
  <c r="G65" i="68"/>
  <c r="G68" i="68"/>
  <c r="I15" i="68"/>
  <c r="I23" i="68"/>
  <c r="G67" i="68"/>
  <c r="H5" i="16" s="1"/>
  <c r="H10" i="16" s="1"/>
  <c r="F66" i="68"/>
  <c r="G4" i="16" s="1"/>
  <c r="D17" i="66"/>
  <c r="D21" i="66" s="1"/>
  <c r="E17" i="66"/>
  <c r="E21" i="66" s="1"/>
  <c r="I43" i="58"/>
  <c r="G5" i="16"/>
  <c r="G10" i="16" s="1"/>
  <c r="D16" i="66" l="1"/>
  <c r="D20" i="66" s="1"/>
  <c r="E16" i="66"/>
  <c r="E20" i="66" s="1"/>
  <c r="H63" i="68"/>
  <c r="G85" i="68"/>
  <c r="G80" i="68"/>
  <c r="G84" i="68"/>
  <c r="G79" i="68"/>
  <c r="G9" i="16"/>
  <c r="G66" i="68"/>
  <c r="H4" i="16" s="1"/>
  <c r="H9" i="16" s="1"/>
  <c r="I62" i="68"/>
  <c r="H71" i="68"/>
  <c r="H64" i="68" l="1"/>
  <c r="H68" i="68" s="1"/>
  <c r="I63" i="68"/>
  <c r="H89" i="68"/>
  <c r="I89" i="68" s="1"/>
  <c r="H88" i="68"/>
  <c r="I88" i="68" s="1"/>
  <c r="H78" i="68"/>
  <c r="I78" i="68" s="1"/>
  <c r="H92" i="68"/>
  <c r="I92" i="68" s="1"/>
  <c r="H83" i="68"/>
  <c r="I83" i="68" s="1"/>
  <c r="H93" i="68"/>
  <c r="I93" i="68" s="1"/>
  <c r="I71" i="68"/>
  <c r="H72" i="68"/>
  <c r="H73" i="68" s="1"/>
  <c r="I73" i="68" s="1"/>
  <c r="I64" i="68" l="1"/>
  <c r="H67" i="68"/>
  <c r="I67" i="68" s="1"/>
  <c r="H65" i="68"/>
  <c r="H84" i="68" s="1"/>
  <c r="I84" i="68" s="1"/>
  <c r="I72" i="68"/>
  <c r="H74" i="68"/>
  <c r="I74" i="68" s="1"/>
  <c r="H79" i="68" l="1"/>
  <c r="I79" i="68" s="1"/>
  <c r="H85" i="68"/>
  <c r="I85" i="68" s="1"/>
  <c r="H80" i="68"/>
  <c r="I80" i="68" s="1"/>
  <c r="I65" i="68"/>
  <c r="H66" i="68"/>
  <c r="I4" i="16" s="1"/>
  <c r="I5" i="16"/>
  <c r="I10" i="16" s="1"/>
  <c r="I66" i="68" l="1"/>
  <c r="I9" i="16"/>
  <c r="J9" i="16" s="1"/>
  <c r="J4" i="16"/>
  <c r="J7" i="16"/>
  <c r="J8" i="16" l="1"/>
  <c r="F47" i="16" l="1"/>
  <c r="F44" i="16"/>
  <c r="F46" i="16"/>
  <c r="F45" i="16"/>
  <c r="H47" i="16" l="1"/>
  <c r="H46" i="16"/>
  <c r="H44" i="16"/>
  <c r="H45" i="16"/>
  <c r="J40" i="16" l="1"/>
  <c r="J41" i="16"/>
  <c r="G46" i="16" l="1"/>
  <c r="G47" i="16"/>
  <c r="G44" i="16"/>
  <c r="G45" i="16"/>
  <c r="I46" i="16" l="1"/>
  <c r="I47" i="16"/>
  <c r="I45" i="16"/>
  <c r="I44" i="16"/>
  <c r="J20" i="16" l="1"/>
  <c r="J5" i="16"/>
  <c r="E44" i="16" l="1"/>
  <c r="J10" i="16"/>
  <c r="J25" i="16"/>
  <c r="J23" i="16"/>
  <c r="J21" i="16"/>
  <c r="J22" i="16"/>
  <c r="J28" i="16" l="1"/>
  <c r="J47" i="16" s="1"/>
  <c r="E47" i="16"/>
  <c r="J26" i="16"/>
  <c r="J45" i="16" s="1"/>
  <c r="E45" i="16"/>
  <c r="B23" i="45"/>
  <c r="E46" i="16"/>
  <c r="J27" i="16"/>
  <c r="J44" i="16"/>
  <c r="B22" i="45" l="1"/>
  <c r="J46" i="16"/>
  <c r="B25" i="45"/>
  <c r="B24" i="45" l="1"/>
  <c r="I6" i="16" l="1"/>
  <c r="I11" i="16" s="1"/>
  <c r="G6" i="16"/>
  <c r="G11" i="16" s="1"/>
  <c r="F6" i="16"/>
  <c r="H6" i="16"/>
  <c r="H11" i="16" s="1"/>
  <c r="E6" i="16"/>
  <c r="E11" i="16" s="1"/>
  <c r="F11" i="16" l="1"/>
  <c r="J11" i="16" s="1"/>
  <c r="B3" i="45" s="1"/>
  <c r="J6" i="16"/>
  <c r="I68" i="68"/>
</calcChain>
</file>

<file path=xl/sharedStrings.xml><?xml version="1.0" encoding="utf-8"?>
<sst xmlns="http://schemas.openxmlformats.org/spreadsheetml/2006/main" count="4914" uniqueCount="835">
  <si>
    <t>2015/16</t>
  </si>
  <si>
    <t>2016/17</t>
  </si>
  <si>
    <t>2017/18</t>
  </si>
  <si>
    <t>2018/19</t>
  </si>
  <si>
    <t>2019/20</t>
  </si>
  <si>
    <t>2020/21</t>
  </si>
  <si>
    <t>2021/22</t>
  </si>
  <si>
    <t>2022/23</t>
  </si>
  <si>
    <t>2023/24</t>
  </si>
  <si>
    <t>2024/25</t>
  </si>
  <si>
    <t>Units</t>
  </si>
  <si>
    <t>Price base</t>
  </si>
  <si>
    <t>%</t>
  </si>
  <si>
    <t>Index</t>
  </si>
  <si>
    <t>Unit</t>
  </si>
  <si>
    <t>2013/14</t>
  </si>
  <si>
    <t>2014/15</t>
  </si>
  <si>
    <t>Pension deficit</t>
  </si>
  <si>
    <t>Pension deficit repair</t>
  </si>
  <si>
    <t>Professional fees</t>
  </si>
  <si>
    <t>Total</t>
  </si>
  <si>
    <t>000s</t>
  </si>
  <si>
    <t>Apr 2019 CPIH</t>
  </si>
  <si>
    <t xml:space="preserve">Total </t>
  </si>
  <si>
    <t>Group Recharge - by SONI TSO</t>
  </si>
  <si>
    <t>Group Recharge - to SONI TSO</t>
  </si>
  <si>
    <t>SONI TSO Price Control (2020-2025) Business Plan Information Requirement: SONI TSO RAB overview</t>
  </si>
  <si>
    <t>RAB category</t>
  </si>
  <si>
    <t>Description</t>
  </si>
  <si>
    <t>Actual</t>
  </si>
  <si>
    <t>Best estimate</t>
  </si>
  <si>
    <t>Forecast</t>
  </si>
  <si>
    <t>2007/2008</t>
  </si>
  <si>
    <t>2008/09</t>
  </si>
  <si>
    <t>2009/10</t>
  </si>
  <si>
    <t>2010/11</t>
  </si>
  <si>
    <t>2011/12</t>
  </si>
  <si>
    <t>2012/13</t>
  </si>
  <si>
    <t>Building</t>
  </si>
  <si>
    <t>Opening RAB</t>
  </si>
  <si>
    <t>£000s</t>
  </si>
  <si>
    <t>Additions (actual or forecast)</t>
  </si>
  <si>
    <t>Proceeds from disposal</t>
  </si>
  <si>
    <t>Write offs/Impairments</t>
  </si>
  <si>
    <t>RAB depreciation</t>
  </si>
  <si>
    <t>Closing RAB</t>
  </si>
  <si>
    <t>Average RAB</t>
  </si>
  <si>
    <t>Non-building</t>
  </si>
  <si>
    <t>Special projects</t>
  </si>
  <si>
    <t>Write-offs/Impairments</t>
  </si>
  <si>
    <t>Pre-construction projects</t>
  </si>
  <si>
    <t>Proceeds from transfer to NIE</t>
  </si>
  <si>
    <t>Nominal</t>
  </si>
  <si>
    <t>Asset Number</t>
  </si>
  <si>
    <t>April 2019 CPIH</t>
  </si>
  <si>
    <t>CPIH conversion factor from nominal to base year 2018/19</t>
  </si>
  <si>
    <t>CPIH conversion factor from BPDT to nominal</t>
  </si>
  <si>
    <t>Nominal prices</t>
  </si>
  <si>
    <t>Buildings</t>
  </si>
  <si>
    <t>Non-building RAB</t>
  </si>
  <si>
    <t>Additions</t>
  </si>
  <si>
    <t>Depreciation</t>
  </si>
  <si>
    <t>Building RAB</t>
  </si>
  <si>
    <t>TNPP RAB</t>
  </si>
  <si>
    <t>Transfers to NIE</t>
  </si>
  <si>
    <t>CPIH stripped (April 2019)</t>
  </si>
  <si>
    <t>RAB additions</t>
  </si>
  <si>
    <t>Special projects RAB</t>
  </si>
  <si>
    <t>Gearing</t>
  </si>
  <si>
    <t>Total market return</t>
  </si>
  <si>
    <t>Risk free rate</t>
  </si>
  <si>
    <t>Equity risk premium</t>
  </si>
  <si>
    <t>Asset beta</t>
  </si>
  <si>
    <t>Debt beta</t>
  </si>
  <si>
    <t>Cost of debt</t>
  </si>
  <si>
    <t>Calculations</t>
  </si>
  <si>
    <t>Equity beta</t>
  </si>
  <si>
    <t>Post tax cost of equity</t>
  </si>
  <si>
    <t>Pre-tax cost of equity</t>
  </si>
  <si>
    <t>Pre-tax WACC</t>
  </si>
  <si>
    <t>Vanilla WACC</t>
  </si>
  <si>
    <t>Months in period</t>
  </si>
  <si>
    <t>pre 1/11/07</t>
  </si>
  <si>
    <t>30/09/2009 (Dt)</t>
  </si>
  <si>
    <t>30/03/2010 (Dt)</t>
  </si>
  <si>
    <t>Additions (allowed)</t>
  </si>
  <si>
    <t>Transfer to NIE</t>
  </si>
  <si>
    <t>Non-Building</t>
  </si>
  <si>
    <t>Pre-construction assets</t>
  </si>
  <si>
    <t>Pre-tax return on equity</t>
  </si>
  <si>
    <t>Pre-tax remuneration for debt finance</t>
  </si>
  <si>
    <t>Other risk remuneration</t>
  </si>
  <si>
    <t>SONI TSO Price Control (2020-2025) Business Plan Information Requirement: SONI TSO Finance Parameters</t>
  </si>
  <si>
    <t>Actual/Best estimate</t>
  </si>
  <si>
    <t>WACC Parameters (for notional efficient TSO)</t>
  </si>
  <si>
    <t>Risk free rate (CPIH stripped)</t>
  </si>
  <si>
    <t>Equity risk Premium</t>
  </si>
  <si>
    <t>Debt Beta</t>
  </si>
  <si>
    <t>Asset Beta</t>
  </si>
  <si>
    <t>Equity Beta</t>
  </si>
  <si>
    <t>Cost of Debt (CPIH stripped)</t>
  </si>
  <si>
    <t>Effective corporation tax rate used to calculate Pre-tax WACC</t>
  </si>
  <si>
    <t>Post-tax Cost of Equity (CPIH stripped)</t>
  </si>
  <si>
    <t>Pre-tax Cost of Equity (CPIH stripped)</t>
  </si>
  <si>
    <t>Vanilla WACC (CPIH stripped)</t>
  </si>
  <si>
    <t>Pre-tax WACC (CPIH stripped)</t>
  </si>
  <si>
    <t>Inflation parameters</t>
  </si>
  <si>
    <t>CPIH (actual/forecast)</t>
  </si>
  <si>
    <t>CPIH growth</t>
  </si>
  <si>
    <t>RPI (actual/forecast)</t>
  </si>
  <si>
    <t>RPI growth</t>
  </si>
  <si>
    <t>CPI (actual/forecast)</t>
  </si>
  <si>
    <t>CPI growth</t>
  </si>
  <si>
    <t>Margin</t>
  </si>
  <si>
    <t>Qualifying revenues</t>
  </si>
  <si>
    <t>Transmission Use of System (TUoS) revenues</t>
  </si>
  <si>
    <t>Apr 2019 (CPIH)</t>
  </si>
  <si>
    <t>System Support Services (SSS) revenues</t>
  </si>
  <si>
    <t xml:space="preserve">Imperfection Charge (DBC) revenues </t>
  </si>
  <si>
    <t>Other (please specify)</t>
  </si>
  <si>
    <t>Total Forecast qualifying revenues</t>
  </si>
  <si>
    <t>Margin rate (%)</t>
  </si>
  <si>
    <t>Parent Company Guarantee</t>
  </si>
  <si>
    <t>PCG value (Notional Efficient TSO)</t>
  </si>
  <si>
    <t>Value of Parent Company Guarantee (PCG) supporting notional efficient TSO</t>
  </si>
  <si>
    <t>PCG remuneration</t>
  </si>
  <si>
    <t>PCG remuneration rate (%)</t>
  </si>
  <si>
    <t>SONI TSO Price Control (2020-2025) Business Plan Information Requirement: Build up of the SONI TSO price control</t>
  </si>
  <si>
    <t>ACTUAL</t>
  </si>
  <si>
    <t>BEST ESTIMATE</t>
  </si>
  <si>
    <t>FORECAST</t>
  </si>
  <si>
    <t>Opex allowances (recovered through revenue in year)</t>
  </si>
  <si>
    <t>1. Allowances on an ex ante basis subject to sharing factor (baseline)</t>
  </si>
  <si>
    <t>2. Allowances for costs up to approved cap (actual/forecast baseline)</t>
  </si>
  <si>
    <t>3. Recovery of costs incurred without cap (actual/central forecast)</t>
  </si>
  <si>
    <t>RAB depreciation and write-offs</t>
  </si>
  <si>
    <t>Total RAB depreciation</t>
  </si>
  <si>
    <t>Write offs</t>
  </si>
  <si>
    <t>Side RAB</t>
  </si>
  <si>
    <t>Pre-construction projects abandoned and expensed in year</t>
  </si>
  <si>
    <t>Remuneration of equity capital and debt finance</t>
  </si>
  <si>
    <t>Return on RAB (Building and Non-Building)</t>
  </si>
  <si>
    <t>Return on pre-construction assets RAB</t>
  </si>
  <si>
    <t>Margin on collection agent revenues</t>
  </si>
  <si>
    <t>Asjustment for asymmetric risk (if applicable)</t>
  </si>
  <si>
    <t>Incentive and other adjustments</t>
  </si>
  <si>
    <t>Proposed reward (penalty) from business plan assessment</t>
  </si>
  <si>
    <t>Adjustment for cost-risk sharing incentive (forecast/actual)</t>
  </si>
  <si>
    <t>DBC incentive (forecast/actual)</t>
  </si>
  <si>
    <t>K factor - in Tariff</t>
  </si>
  <si>
    <t>Qt - Adjustment Factor</t>
  </si>
  <si>
    <t>Total maximum regulated revenue</t>
  </si>
  <si>
    <t>Breakdown of total maximum regulated revenue</t>
  </si>
  <si>
    <t>Recovered through TUoS charges</t>
  </si>
  <si>
    <t>Recovered through SSS charges</t>
  </si>
  <si>
    <t>Recovered through Moyle Interconnector charges</t>
  </si>
  <si>
    <t>check</t>
  </si>
  <si>
    <t>Allowed capex (added to RAB in year)</t>
  </si>
  <si>
    <t>Asymmetric risk allowance</t>
  </si>
  <si>
    <t>Margin on qualifying revenues</t>
  </si>
  <si>
    <t>Notional RAB equity</t>
  </si>
  <si>
    <t>SONI TSO Price Control (2020-2025) Business Plan Information Requirement: Detailed Revenues &amp; Costs (Actual company)</t>
  </si>
  <si>
    <t>Actual Company</t>
  </si>
  <si>
    <t>Licence term</t>
  </si>
  <si>
    <t>Revenue elements</t>
  </si>
  <si>
    <t>System Support Services (SSS) charges</t>
  </si>
  <si>
    <t>Transmission Use of System (TUoS) charges</t>
  </si>
  <si>
    <t>Moyle interconnector charges (CAIRt)</t>
  </si>
  <si>
    <t>K factor provision (SSS, TUoS and CAIRt)</t>
  </si>
  <si>
    <t>Connections</t>
  </si>
  <si>
    <t>Income from transfer of pre-construction assets to NIEN</t>
  </si>
  <si>
    <t>Other Income Moyle Collection Agreement)</t>
  </si>
  <si>
    <t>Other Income (Interco GTUoS)</t>
  </si>
  <si>
    <t>Other Income (Countertrading Income) - Dt</t>
  </si>
  <si>
    <t>Other Income (please specify)</t>
  </si>
  <si>
    <t>Total Revenue</t>
  </si>
  <si>
    <t>Direct Costs (Central forecast)</t>
  </si>
  <si>
    <t>System Support Services (Ancillary Services)</t>
  </si>
  <si>
    <t>Other Direct Costs (Interco GTUoS)</t>
  </si>
  <si>
    <t>Other Direct Costs (Countertrading Costs) - Dt</t>
  </si>
  <si>
    <t>Other Direct Costs ENTSOe (ITC Costs) - Dt</t>
  </si>
  <si>
    <t>Total Direct Costs</t>
  </si>
  <si>
    <t>Gross Profit</t>
  </si>
  <si>
    <t>Other Operating Costs (Central forecast)</t>
  </si>
  <si>
    <t>Payroll (including indirect staff costs)</t>
  </si>
  <si>
    <t>Telecoms and IT</t>
  </si>
  <si>
    <t>Facilities</t>
  </si>
  <si>
    <t>Group recharges (net)</t>
  </si>
  <si>
    <t>Other opex</t>
  </si>
  <si>
    <t>Accounting depreciation</t>
  </si>
  <si>
    <t>Payroll (including indirect staff costs) (non Bt) - 5 Connections Staff</t>
  </si>
  <si>
    <t>Professional fees (non Bt) - CMA Cost Order Submission</t>
  </si>
  <si>
    <t>Other costs (Entsoe membership) Dt</t>
  </si>
  <si>
    <t>Other costs (Coreso) Dt</t>
  </si>
  <si>
    <t>Other costs (Licence Fee) Dt - includes UR CMA costs 2019</t>
  </si>
  <si>
    <t>Other costs (Derogation Costs) Dt</t>
  </si>
  <si>
    <t>Other costs (Moyle ICMP) Dt</t>
  </si>
  <si>
    <t>Other costs (TDPNI) Dt</t>
  </si>
  <si>
    <t>Other costs (I-SEM Reopeners) Dt</t>
  </si>
  <si>
    <t>Other costs (Section 75 Pension Costs)</t>
  </si>
  <si>
    <t>Total Operating Costs</t>
  </si>
  <si>
    <t>Operating Profit/(Loss)</t>
  </si>
  <si>
    <t>Interest income received</t>
  </si>
  <si>
    <t>Interest paid</t>
  </si>
  <si>
    <t>Other finance costs (K Factor)</t>
  </si>
  <si>
    <t>Total Interest Income and Finance Costs</t>
  </si>
  <si>
    <t>Profit/(Loss) before Tax</t>
  </si>
  <si>
    <t>Corporation tax (charge)/credit</t>
  </si>
  <si>
    <t>RPI conversion factor to nominal (historical)</t>
  </si>
  <si>
    <t>RPI conversion factor to nominal (forecast)</t>
  </si>
  <si>
    <t>RPI conversion factor to nominal</t>
  </si>
  <si>
    <t>Corporation tax rate</t>
  </si>
  <si>
    <t>RoRE analysis</t>
  </si>
  <si>
    <t>CPIH conversion factor from nominal to base year 2018/19 (forecast)</t>
  </si>
  <si>
    <t>CPIH conversion factor from nominal to base year 2018/19 (historical)</t>
  </si>
  <si>
    <t>Asset life assumptions for regulatory depreciation</t>
  </si>
  <si>
    <t>Non-building assets</t>
  </si>
  <si>
    <t>Building assets</t>
  </si>
  <si>
    <t>April 2014 RPI</t>
  </si>
  <si>
    <t xml:space="preserve">Additions before 31/03/2010 </t>
  </si>
  <si>
    <t>DT additions before 31/03/2010</t>
  </si>
  <si>
    <t>Hardcoded depreciation allowances for pre-2007 assets</t>
  </si>
  <si>
    <t>Hardcoded depreciation allowances for assets funded through Dt (1)</t>
  </si>
  <si>
    <t>Hardcoded depreciation allowances for assets funded through Dt (2)</t>
  </si>
  <si>
    <t>Allowed RAB additions for 01/10/2015 to 30/09/2020</t>
  </si>
  <si>
    <t>Allowed RAB additions for 01/04/2010 to 30/09/2015</t>
  </si>
  <si>
    <t>Depreciation calculations</t>
  </si>
  <si>
    <t>For RAB additions in period ending</t>
  </si>
  <si>
    <t>Allowed RAB additions 1/04/2010 to 30/09/2015</t>
  </si>
  <si>
    <t>Opening value on 1 May 2014</t>
  </si>
  <si>
    <t>Years</t>
  </si>
  <si>
    <t>Special projects (5 year assets)</t>
  </si>
  <si>
    <t>Special Projects</t>
  </si>
  <si>
    <t>TNPP Transfers to NIE</t>
  </si>
  <si>
    <t>TNPP write-offs</t>
  </si>
  <si>
    <t>1.5-3%</t>
  </si>
  <si>
    <t>-</t>
  </si>
  <si>
    <t>Average</t>
  </si>
  <si>
    <t>Nominal cost of debt</t>
  </si>
  <si>
    <t>RoRE impact of upside and downside scenarios</t>
  </si>
  <si>
    <t>High opex overspend (as a percentage of opex allowance)</t>
  </si>
  <si>
    <t>High opex underspend (as a percentage of opex allowance)</t>
  </si>
  <si>
    <t>WACC parameters</t>
  </si>
  <si>
    <t xml:space="preserve">IT &amp; Communications </t>
  </si>
  <si>
    <t xml:space="preserve">Other Opex </t>
  </si>
  <si>
    <t>Forecast TNPP transfers to NIE and write-offs</t>
  </si>
  <si>
    <t>Write-offs/impairments</t>
  </si>
  <si>
    <t>Actual reported capital expenditure for 01/10/2015 to 30/09/2020</t>
  </si>
  <si>
    <t>31/09/2021</t>
  </si>
  <si>
    <t>31/09/2022</t>
  </si>
  <si>
    <t>31/09/2023</t>
  </si>
  <si>
    <t>31/09/2024</t>
  </si>
  <si>
    <t>31/09/2025</t>
  </si>
  <si>
    <t>Indexation</t>
  </si>
  <si>
    <t>Allowed depreciation in the licence for 2015-20</t>
  </si>
  <si>
    <t>Allowed RAB additions post 50% cost sharing for 01/10/2015 to 30/09/2020</t>
  </si>
  <si>
    <t>Reported RPI in April of the year (e.g. April 2014 for 2013/14)</t>
  </si>
  <si>
    <t>Actual reported expenditure (2015-20)</t>
  </si>
  <si>
    <t>Allowed RAB additions (caps) (2015-20)</t>
  </si>
  <si>
    <t>Conversion from April 2019 CPIH to nominal</t>
  </si>
  <si>
    <t>Earnings before interest and taxation (EBIT) using accounting depreciation</t>
  </si>
  <si>
    <t>Profit (loss) using accounting depreciation</t>
  </si>
  <si>
    <t>Profit after tax using accounting depreciation</t>
  </si>
  <si>
    <t>Additions (50% cost sharing during 2015-20 period)</t>
  </si>
  <si>
    <t>Split</t>
  </si>
  <si>
    <t>Modelled depreciation (after 50% cost sharing during 2015-20 period)</t>
  </si>
  <si>
    <t>Modelled RAB up to 30 September 2020</t>
  </si>
  <si>
    <t>Modelled depreciaton</t>
  </si>
  <si>
    <t>Difference</t>
  </si>
  <si>
    <t>In April 2014 RPI terms</t>
  </si>
  <si>
    <t>In April 2019 CPIH terms</t>
  </si>
  <si>
    <t>Profile (for building and non-building RAB)</t>
  </si>
  <si>
    <t>Profiled adjustment to modelled depreciation</t>
  </si>
  <si>
    <t>Allowed additions</t>
  </si>
  <si>
    <t>Modelled depreciation</t>
  </si>
  <si>
    <t>Adjustment to modelled depreciation</t>
  </si>
  <si>
    <t>RAB depreciation (Nominal)</t>
  </si>
  <si>
    <t>Inflation indices</t>
  </si>
  <si>
    <t>UR DD</t>
  </si>
  <si>
    <t>Additions in the price control for 01/04/2010 to 30/09/2015</t>
  </si>
  <si>
    <t>Allowed additions for 01/04/2010 to 30/09/2015</t>
  </si>
  <si>
    <t>Forecast RAB additions for 01/10/2015 to 30/09/2020</t>
  </si>
  <si>
    <t>Depreciation allowance for 01/10/2015 to 30/09/2020</t>
  </si>
  <si>
    <t>RAB additions after the application of 50% cost sharing</t>
  </si>
  <si>
    <t>Legacy (pre-2015) additions and depreciation</t>
  </si>
  <si>
    <t>2015-20 additions and depreciation</t>
  </si>
  <si>
    <t>Period ending</t>
  </si>
  <si>
    <t>Legacy (pre-2015) additions</t>
  </si>
  <si>
    <t>Modelled depreciation on pre-2020 assets</t>
  </si>
  <si>
    <t>Modelled depreciation on post-2020 assets</t>
  </si>
  <si>
    <t>Start date</t>
  </si>
  <si>
    <t>End date</t>
  </si>
  <si>
    <t>Legacy (pre-2015) RAB additions and depreciation</t>
  </si>
  <si>
    <t>Dt additions before 31/03/2010</t>
  </si>
  <si>
    <t>2015-20 RAB additions and depreciation in the post-CMA model</t>
  </si>
  <si>
    <t>Transfers to NIE approved by UR (2015-20)</t>
  </si>
  <si>
    <t>Write-offs/Impairments approved by UR (2015-20)</t>
  </si>
  <si>
    <t>Split between Non-building and building RABs</t>
  </si>
  <si>
    <t>Reported overspends by SONI during 2010-15</t>
  </si>
  <si>
    <t>Reported CPIH in April of the year (e.g. April 2019 for 2018/19)</t>
  </si>
  <si>
    <t>Total return on RAB</t>
  </si>
  <si>
    <t>Transition of RAB indexation from RPI to CPIH</t>
  </si>
  <si>
    <t>Uplift to be applied to 2019/20 RAB (in RPI) to calculate 2020/21 RAB (in CPIH)</t>
  </si>
  <si>
    <t>Factor</t>
  </si>
  <si>
    <t>Non-Building assets - Application of 50% cost sharing for the 2015-20 period</t>
  </si>
  <si>
    <t>Building assets - Application of 50% cost sharing for the 2015-20 period</t>
  </si>
  <si>
    <t>Modelled depreciation forecasts for 2020-25</t>
  </si>
  <si>
    <t>Total depreciation forecast for 2020-25</t>
  </si>
  <si>
    <t xml:space="preserve">Allowed RAB additions for Capex overspends during 2010-2015 </t>
  </si>
  <si>
    <t>Implied depreciation allowed through the BIt term</t>
  </si>
  <si>
    <t>Post-reconciliation RAB up to 2019/20</t>
  </si>
  <si>
    <t>Earnings and profit metrics</t>
  </si>
  <si>
    <t>Adjusted interest coverage ratio (AICR)</t>
  </si>
  <si>
    <t>Calculation</t>
  </si>
  <si>
    <t>EBIT/revenue including TUoS and DBC</t>
  </si>
  <si>
    <t>EBIT/revenue including TUoS excluding DBC</t>
  </si>
  <si>
    <t>EBIT/Notional interest (using regulatory depreciation)</t>
  </si>
  <si>
    <t>EBIT/Notional interest (using accounting depreciation)</t>
  </si>
  <si>
    <t>(EBITDA-interest-tax)/(notional debt element of RAB)</t>
  </si>
  <si>
    <t>(EBITDA-RAB depreciation-tax)/Notional interest</t>
  </si>
  <si>
    <t>Profit Margin (including DBC revenues)</t>
  </si>
  <si>
    <t>Profit Margin (excluding DBC revenues)</t>
  </si>
  <si>
    <t>FFO/Net debt</t>
  </si>
  <si>
    <t>PMICR</t>
  </si>
  <si>
    <t>SONI/ KPMG threshold</t>
  </si>
  <si>
    <t>Financial ratios</t>
  </si>
  <si>
    <t>High capex overspend (on non-building assets in year 1)</t>
  </si>
  <si>
    <t>Moderate capex overspend (on non-building assets in year 1)</t>
  </si>
  <si>
    <t>High capex underspend (on non-building assets in year 1)</t>
  </si>
  <si>
    <t>Moderate capex underspend (on non-building assets in year 1)</t>
  </si>
  <si>
    <t>RAB additions during 01/10/2020 to 30/09/2025</t>
  </si>
  <si>
    <t>RAB Summary</t>
  </si>
  <si>
    <t>Opening value</t>
  </si>
  <si>
    <t>Closing value</t>
  </si>
  <si>
    <t>Factor to convert RAB to nominal terms</t>
  </si>
  <si>
    <t>RAB Summary (April 2019 CPIH indexed)</t>
  </si>
  <si>
    <t>All RABs</t>
  </si>
  <si>
    <t>TNPP transfers to NIE</t>
  </si>
  <si>
    <t>In period ending</t>
  </si>
  <si>
    <t>RAB: Non-Building assets</t>
  </si>
  <si>
    <t>RAB: Building assets</t>
  </si>
  <si>
    <t>–</t>
  </si>
  <si>
    <t>RAB forecasts for the 2020-25 period (Building and non-building assets)</t>
  </si>
  <si>
    <t>Non-Building assets</t>
  </si>
  <si>
    <t>RAB: Pre-construction assets</t>
  </si>
  <si>
    <t>RAB: Special Projects</t>
  </si>
  <si>
    <t>Depreciaton period ending</t>
  </si>
  <si>
    <t>Depreciation calculations for RAB additions in period ending</t>
  </si>
  <si>
    <t>RAB: TNPP</t>
  </si>
  <si>
    <t>Opening value on 1 November 2007</t>
  </si>
  <si>
    <t>Opening value on 1 October 2010</t>
  </si>
  <si>
    <t>Price basis conversion factors</t>
  </si>
  <si>
    <t>RAB: SONI BP data tables (Appendix U)</t>
  </si>
  <si>
    <t>RAB additions: SONI BP data tables (Appendix U)</t>
  </si>
  <si>
    <t>RAB depreciation: SONI BP data tables (Appendix U)</t>
  </si>
  <si>
    <t>RAB Summary (Nominal)</t>
  </si>
  <si>
    <t>Impact on RAB return</t>
  </si>
  <si>
    <t>Non-Buildings</t>
  </si>
  <si>
    <t>Depreciation according to SONI's regulatory accounts (2015/16 to 2017/18)</t>
  </si>
  <si>
    <t>Actual depreciation submitted by SONI for tariff setting (BIt)</t>
  </si>
  <si>
    <t>Combined scenarios</t>
  </si>
  <si>
    <t>Extreme downside</t>
  </si>
  <si>
    <t>Moderate downside</t>
  </si>
  <si>
    <t>Extreme upside</t>
  </si>
  <si>
    <t>Moderate upside</t>
  </si>
  <si>
    <t>TSO</t>
  </si>
  <si>
    <t>Incentive reward</t>
  </si>
  <si>
    <t>Incentive penalty</t>
  </si>
  <si>
    <t>Debt cost (positive)</t>
  </si>
  <si>
    <t>Debt cost (negative)</t>
  </si>
  <si>
    <t>Notional TSO</t>
  </si>
  <si>
    <t>ANH</t>
  </si>
  <si>
    <t>HDD</t>
  </si>
  <si>
    <t>NES</t>
  </si>
  <si>
    <t>SVT</t>
  </si>
  <si>
    <t>SWT</t>
  </si>
  <si>
    <t>SRN</t>
  </si>
  <si>
    <t>TMS</t>
  </si>
  <si>
    <t>UU</t>
  </si>
  <si>
    <t>WSH</t>
  </si>
  <si>
    <t>WSX</t>
  </si>
  <si>
    <t>YKY</t>
  </si>
  <si>
    <t>AFW</t>
  </si>
  <si>
    <t>BRL</t>
  </si>
  <si>
    <t>PRT</t>
  </si>
  <si>
    <t>SEW</t>
  </si>
  <si>
    <t>SSC</t>
  </si>
  <si>
    <t>SES</t>
  </si>
  <si>
    <t>Retail Costs</t>
  </si>
  <si>
    <t>Retail Costs -</t>
  </si>
  <si>
    <t>C-Mex &amp; D-Mex</t>
  </si>
  <si>
    <t>C-Mex &amp; D-Mex -</t>
  </si>
  <si>
    <t>Revenue</t>
  </si>
  <si>
    <t>Revenue -</t>
  </si>
  <si>
    <t>Financing costs</t>
  </si>
  <si>
    <t>Financing costs -</t>
  </si>
  <si>
    <t>ODIs</t>
  </si>
  <si>
    <t>ODIs -</t>
  </si>
  <si>
    <t>Costs (exc retail)</t>
  </si>
  <si>
    <t>Costs (exc retail) -</t>
  </si>
  <si>
    <t>Base return on equity</t>
  </si>
  <si>
    <t>Maximum upside</t>
  </si>
  <si>
    <t>Maximum downside</t>
  </si>
  <si>
    <t>TNPP</t>
  </si>
  <si>
    <t>Severn Trent</t>
  </si>
  <si>
    <t>South West Water</t>
  </si>
  <si>
    <t>United Utilities</t>
  </si>
  <si>
    <t>High opex overspend</t>
  </si>
  <si>
    <t>Moderate opex overspend</t>
  </si>
  <si>
    <t>High opex underspend</t>
  </si>
  <si>
    <t>Cost incentive factor (1- pass-through percentage)</t>
  </si>
  <si>
    <t>Opex scenarios</t>
  </si>
  <si>
    <t>All water company average</t>
  </si>
  <si>
    <t>Listed company average</t>
  </si>
  <si>
    <t>Listed water company average</t>
  </si>
  <si>
    <t>Highest upside scenario</t>
  </si>
  <si>
    <t>Highest downside scenario</t>
  </si>
  <si>
    <t>RAB: Total</t>
  </si>
  <si>
    <t>RAB charts</t>
  </si>
  <si>
    <t>RAB closing value</t>
  </si>
  <si>
    <t>Notional debt at 55% gearing</t>
  </si>
  <si>
    <t>Notional debt at 30% gearing</t>
  </si>
  <si>
    <t>April 2019 RPI</t>
  </si>
  <si>
    <t>Conversion factor from BPDT to nominal</t>
  </si>
  <si>
    <t>CPI Inflation forecasts</t>
  </si>
  <si>
    <t>Bank of England (Monetary Policy Report, May 2020)</t>
  </si>
  <si>
    <t>OBR (Economic and Fiscal Outlook, March 2020)</t>
  </si>
  <si>
    <t>HM Treasury (Forecasts for the UK economy, April 2020) Q4</t>
  </si>
  <si>
    <t>Inflation forecasts used in this model</t>
  </si>
  <si>
    <t>Cost and performance incentives</t>
  </si>
  <si>
    <t>Cost and performance incentives (downside)</t>
  </si>
  <si>
    <t>Cost and performance incentives (upside)</t>
  </si>
  <si>
    <t>Financing costs (downside)</t>
  </si>
  <si>
    <t>Financing costs (upside)</t>
  </si>
  <si>
    <t>Depreciation figures reported by SONI for the 2015-20 period</t>
  </si>
  <si>
    <t>Capital expenditure reported by SONI for the 2015-20 period</t>
  </si>
  <si>
    <t>Table B-4 of Appendix B of SONI's business plan submission</t>
  </si>
  <si>
    <t>Allowed IT capex</t>
  </si>
  <si>
    <t>Actual IT capex</t>
  </si>
  <si>
    <t>Table B-6 of Appendix B of SONI's business plan submission</t>
  </si>
  <si>
    <t>Actual facilities capex</t>
  </si>
  <si>
    <t>Allowed facilities capex</t>
  </si>
  <si>
    <t>Actual non-building capex (labelled as IT capex)</t>
  </si>
  <si>
    <t>Assumed and forecast actual depreciation for the BIt term in the TSO licence</t>
  </si>
  <si>
    <t>Response to query UR 109</t>
  </si>
  <si>
    <t>Non-building RAB additions</t>
  </si>
  <si>
    <t>Building RAB additions</t>
  </si>
  <si>
    <t>Table 4 of SONI's BPDT submission</t>
  </si>
  <si>
    <t>RAB depreciation according to SONI's BPDT Table 4</t>
  </si>
  <si>
    <t>RAB depreciation according to response to query UR 109</t>
  </si>
  <si>
    <t>Depreciation allowed through tariffs through the Bt and BIt terms</t>
  </si>
  <si>
    <t>Depreciation allowed through tariffs through Bt and BIt</t>
  </si>
  <si>
    <t>000s, Nominal</t>
  </si>
  <si>
    <t>Difference between modelled depreciation and depreciation allowed through tariffs (2015-20)</t>
  </si>
  <si>
    <t>Modelled depreciation (2015-20)</t>
  </si>
  <si>
    <t>Depreciation allowed through tariffs (2015-20)</t>
  </si>
  <si>
    <t>Forecasts of depreciation used for tariff setting in the 2015-20 period</t>
  </si>
  <si>
    <t>Adjustment to depreciation during the 2020-25 period</t>
  </si>
  <si>
    <t>Ratio of modelled depreciation for building and non-building assets</t>
  </si>
  <si>
    <t>Actual depreciation</t>
  </si>
  <si>
    <t>Capex overspend for 2010-15</t>
  </si>
  <si>
    <t>Allowances for Capex overspends in the 2010-15 period</t>
  </si>
  <si>
    <t>Allowed RAB additions</t>
  </si>
  <si>
    <t>Allowed depreciation</t>
  </si>
  <si>
    <t>RAB: UR modelled and forecast</t>
  </si>
  <si>
    <t>Writeoffs</t>
  </si>
  <si>
    <t>RAB comparison</t>
  </si>
  <si>
    <t>Sensitivity analysis</t>
  </si>
  <si>
    <t>Risk remuneration rate on qualifying expenditure</t>
  </si>
  <si>
    <t>SONI BPDT RAB (averages)</t>
  </si>
  <si>
    <t>UR RAB (averages)</t>
  </si>
  <si>
    <t>Notional equity at 55% gearing</t>
  </si>
  <si>
    <t>PCG</t>
  </si>
  <si>
    <t>Notional equity at 30% gearing</t>
  </si>
  <si>
    <t>UR assumptions for DD</t>
  </si>
  <si>
    <t>WACC calculations</t>
  </si>
  <si>
    <t>Inputs from the post-CMA financial model for 2015-20</t>
  </si>
  <si>
    <t>Other RAB inputs</t>
  </si>
  <si>
    <t>Expenditure allowances subject to conditional cost-sharing</t>
  </si>
  <si>
    <t>Payroll (excluding network planning staff)</t>
  </si>
  <si>
    <t>IS Infrastructure</t>
  </si>
  <si>
    <t>Corporate Systems</t>
  </si>
  <si>
    <t>Energy Management Systems- All Island Operations</t>
  </si>
  <si>
    <t>Facilities improvements</t>
  </si>
  <si>
    <t>Telecomms</t>
  </si>
  <si>
    <t>Data &amp; Analytics</t>
  </si>
  <si>
    <t>All Island Metering</t>
  </si>
  <si>
    <t>Near Time Smart Outage</t>
  </si>
  <si>
    <t>Alternative DRBC Site</t>
  </si>
  <si>
    <t>Physical Security</t>
  </si>
  <si>
    <t>Cyber Security</t>
  </si>
  <si>
    <t>Control Centre Training</t>
  </si>
  <si>
    <t>Capacity Market</t>
  </si>
  <si>
    <t>DSU Compliance with State Aid</t>
  </si>
  <si>
    <t>Cloud Adoption</t>
  </si>
  <si>
    <t>Operating Model</t>
  </si>
  <si>
    <t>Control Centre Tools</t>
  </si>
  <si>
    <t>DS30</t>
  </si>
  <si>
    <t>Clean Energy Package (Early Stages)</t>
  </si>
  <si>
    <t>Real Price Effects (RPEs)</t>
  </si>
  <si>
    <t xml:space="preserve">Other remuneration </t>
  </si>
  <si>
    <t>Forecast expenditure subject to conditional cost-sharing</t>
  </si>
  <si>
    <t>EA1: Initial ex ante opex allowances (expensed in-year)</t>
  </si>
  <si>
    <t>EA2: Initial ex ante allowances for RAB additions: Non-building RAB</t>
  </si>
  <si>
    <t>EA3: Initial ex ante allowances for RAB additions: Building RAB</t>
  </si>
  <si>
    <t>Expenditure against capped opex allowances (subject to cap CA1)</t>
  </si>
  <si>
    <t>Write-offs/impairments deducted from TNPP RAB</t>
  </si>
  <si>
    <t>System Support Services (SSS) costs</t>
  </si>
  <si>
    <t>SONI TSO Price Control (2020-2025) Business Plan Information Requirement: Detailed Revenues &amp; Costs (Notional Efficient TSO)</t>
  </si>
  <si>
    <t>Notional Efficient TSO</t>
  </si>
  <si>
    <t>Income from transfer of pre-construction assets to NIE</t>
  </si>
  <si>
    <t>Other finance costs (please specify)</t>
  </si>
  <si>
    <t>Amounts payable to NIE for Transmission Use of System (TUoS)</t>
  </si>
  <si>
    <t>Other costs payable by the TSO (Interco GTUoS)</t>
  </si>
  <si>
    <t xml:space="preserve">Connections </t>
  </si>
  <si>
    <t xml:space="preserve">Percentage of over/underspends recovered through tariffs under conditional cost-sharing </t>
  </si>
  <si>
    <t>Ex ante allowances</t>
  </si>
  <si>
    <t>Moyle collection agreement</t>
  </si>
  <si>
    <t>2020-25 forecast RAB additions (after conditional cost sharing)</t>
  </si>
  <si>
    <t>Forecast RAB additions (2020-25)</t>
  </si>
  <si>
    <t>Forecast transfers to NIE (2020-25)</t>
  </si>
  <si>
    <t>Forecast write-offs/Impairments (2020-25)</t>
  </si>
  <si>
    <t>Actual reported and SONI forecast expenditure (2015-20)</t>
  </si>
  <si>
    <t>2015-20 period (Actual reported and forecast)</t>
  </si>
  <si>
    <t>RAB: Pre-construction assets (actual and forecasts)</t>
  </si>
  <si>
    <t>2020-25 period (forecast)</t>
  </si>
  <si>
    <t>RAB up to 2020 (actual and forecast)</t>
  </si>
  <si>
    <t>RAB from 2020 onwards (forecast)</t>
  </si>
  <si>
    <t>Actual and forecast reported RAB additions (2015-20)</t>
  </si>
  <si>
    <t>Average RAB (forecast)</t>
  </si>
  <si>
    <t>Return on RAB (forecast)</t>
  </si>
  <si>
    <t>Opex and other costs expensed in year</t>
  </si>
  <si>
    <t>Building assets RAB</t>
  </si>
  <si>
    <t>Non-building assets RAB</t>
  </si>
  <si>
    <t>Special Projects RAB</t>
  </si>
  <si>
    <t>Revenue from the transfer of TNPP assets to NIEN</t>
  </si>
  <si>
    <t>TNPP assets RAB</t>
  </si>
  <si>
    <t>RAB return</t>
  </si>
  <si>
    <t>Moyle interconnector charges</t>
  </si>
  <si>
    <t>Connections revenue</t>
  </si>
  <si>
    <t>Regulatory depreciation and TNPP revenues/write-offs</t>
  </si>
  <si>
    <t xml:space="preserve">June 19 </t>
  </si>
  <si>
    <t>Asset Class</t>
  </si>
  <si>
    <t>Acquisition Price</t>
  </si>
  <si>
    <t>Monthly Depreciation</t>
  </si>
  <si>
    <t>Service Life (Yrs)</t>
  </si>
  <si>
    <t>Service Life (Mths)</t>
  </si>
  <si>
    <t xml:space="preserve">Comssion Date </t>
  </si>
  <si>
    <t>End of Useful Life</t>
  </si>
  <si>
    <t>Opening Balance Oct 18</t>
  </si>
  <si>
    <t>2019/20 Additions</t>
  </si>
  <si>
    <t>2020/21 Additions</t>
  </si>
  <si>
    <t>2021/22 Additions</t>
  </si>
  <si>
    <t>2022/23 Additions</t>
  </si>
  <si>
    <t>2023/24 Additions</t>
  </si>
  <si>
    <t>2024/25 Additions</t>
  </si>
  <si>
    <t>18/19</t>
  </si>
  <si>
    <t>19/20</t>
  </si>
  <si>
    <t>20/21</t>
  </si>
  <si>
    <t>21/22</t>
  </si>
  <si>
    <t>22/23</t>
  </si>
  <si>
    <t>23/24</t>
  </si>
  <si>
    <t>24/25</t>
  </si>
  <si>
    <t>(£)</t>
  </si>
  <si>
    <t>Opening Balance</t>
  </si>
  <si>
    <t>NBV</t>
  </si>
  <si>
    <t>Debt finance costs</t>
  </si>
  <si>
    <t>Earnings before interest, tax, depreciation (EBITDA)</t>
  </si>
  <si>
    <t>Other inputs</t>
  </si>
  <si>
    <t>Performance evaluation framework</t>
  </si>
  <si>
    <t>Rewards/(penalties) subject to global cap</t>
  </si>
  <si>
    <t>K factor forecasts</t>
  </si>
  <si>
    <t>Forecast K factor adjustment</t>
  </si>
  <si>
    <t>Performance evalution framework reward/penalty</t>
  </si>
  <si>
    <t>K factor adjustment</t>
  </si>
  <si>
    <t>RoRE scenarios</t>
  </si>
  <si>
    <t>Impact on profit (loss)</t>
  </si>
  <si>
    <t>Impact on corporation tax liability</t>
  </si>
  <si>
    <t>Net impact on profit after tax for RoRe</t>
  </si>
  <si>
    <t>Impact on RoRE</t>
  </si>
  <si>
    <t>Performance evaluation framework incentive scenarios</t>
  </si>
  <si>
    <t>Maximum penalty (£1m)</t>
  </si>
  <si>
    <t>Maximum reward (£1m)</t>
  </si>
  <si>
    <t>Moderate penalty (£0.5m)</t>
  </si>
  <si>
    <t>Moderate reward (£0.5m)</t>
  </si>
  <si>
    <t>Maximum incentive penalty</t>
  </si>
  <si>
    <t>Maximum incentive reward</t>
  </si>
  <si>
    <t>Moderate incentive penalty</t>
  </si>
  <si>
    <t>Moderate incentive reward</t>
  </si>
  <si>
    <t>Debt interest rate scenarios</t>
  </si>
  <si>
    <t>Over/underspend</t>
  </si>
  <si>
    <t>Penalty/reward</t>
  </si>
  <si>
    <t>High interest rates</t>
  </si>
  <si>
    <t>Moderately high interest rates</t>
  </si>
  <si>
    <t>Low interest rates</t>
  </si>
  <si>
    <t>Moderately low incentive rates</t>
  </si>
  <si>
    <t>Difference relative to forecast nominal rate</t>
  </si>
  <si>
    <t>High capex overspend in year 1</t>
  </si>
  <si>
    <t>Amount of over/underspend</t>
  </si>
  <si>
    <t>Allowed change in RAB additions</t>
  </si>
  <si>
    <t>Impact on RAB depreciation</t>
  </si>
  <si>
    <t>Moderate capex overspend in year 1</t>
  </si>
  <si>
    <t>High capex underspend in year 1</t>
  </si>
  <si>
    <t>Moderate capex underspend in year 1</t>
  </si>
  <si>
    <t>Disallowance against expenditure subject to capping</t>
  </si>
  <si>
    <t xml:space="preserve">High disallowance </t>
  </si>
  <si>
    <t>Disallowance (% of total capped allowance)</t>
  </si>
  <si>
    <t>Revenue impact of disallowance</t>
  </si>
  <si>
    <t xml:space="preserve">Moderately high disallowance </t>
  </si>
  <si>
    <t>Net book value</t>
  </si>
  <si>
    <t>Accounting depreciation (based on SONI's response to UR-110 + UR forecast capex for 2020-25)</t>
  </si>
  <si>
    <t>SONI Limited</t>
  </si>
  <si>
    <t>Fixed Asset Reconciliation</t>
  </si>
  <si>
    <t>Total Maximum Regulated SSS/TUoS revenues</t>
  </si>
  <si>
    <t>Revenues relating to TSO "internal" costs</t>
  </si>
  <si>
    <t>Forecasts of "external" costs included in Maximum Regulated SSS/TUoS revenue</t>
  </si>
  <si>
    <t>Revenues outside maximum regulated revenues (SSS/TUoS)</t>
  </si>
  <si>
    <t>Maximum regulated revenue (Forecasts)</t>
  </si>
  <si>
    <t>Forecasts of other costs recoverable through SSS/TUoS revenue control</t>
  </si>
  <si>
    <t>Forecasts of TSO revenue streams outside SSS/TUoS revenue control</t>
  </si>
  <si>
    <t>Expenditure and revenue forecasts</t>
  </si>
  <si>
    <t xml:space="preserve">Forecast of TSO costs outside SSS/TUoS revenue control </t>
  </si>
  <si>
    <t>Forecast expenditure subject to pre-approved  caps (after any DIWE deductions)</t>
  </si>
  <si>
    <t>Forecasts of costs that qualify for a margin</t>
  </si>
  <si>
    <t>Network projects scoping and feasibility (including network planning staff)</t>
  </si>
  <si>
    <t>Base case (Notional TSO)</t>
  </si>
  <si>
    <t>Earnings before interest and taxation (EBIT) for the notional TSO</t>
  </si>
  <si>
    <t>Profit (loss) for the notional TSO</t>
  </si>
  <si>
    <t>Corporation tax for the notional TSO</t>
  </si>
  <si>
    <t>Profit after tax for the notional TSO</t>
  </si>
  <si>
    <t>For the notional TSO (using regulatory depreciation)</t>
  </si>
  <si>
    <t>For the notional TSO (using estimated actual accounting depreciation)</t>
  </si>
  <si>
    <t>Corporation tax (actual and forecast) using accounting depreciation</t>
  </si>
  <si>
    <t>Profit after tax for RoRE (excluding margin and asymmetric risk allowance)</t>
  </si>
  <si>
    <t>Profit after tax for RoRE (excluding margin on revenue collection)</t>
  </si>
  <si>
    <t>Debt financeability metrics for the notional TSO</t>
  </si>
  <si>
    <t>Other metrics</t>
  </si>
  <si>
    <t>Debt financeability metrics for the notional TSO excluding collection agent margin</t>
  </si>
  <si>
    <t>Connections costs (including connections staff costs)</t>
  </si>
  <si>
    <t>RAB: Capex overspends for 2010-15</t>
  </si>
  <si>
    <t>Capex overspends for 2010-15</t>
  </si>
  <si>
    <t>Reported expenditure on non-building RAB assets (against allowance EA2)</t>
  </si>
  <si>
    <t>Reported expenditure on building RAB assets (against allowance EA3)</t>
  </si>
  <si>
    <t>Conditional cost sharing calculations (forecasts)</t>
  </si>
  <si>
    <t>Forecasts of additional ex ante allowances (in period)</t>
  </si>
  <si>
    <t>EA1: Additional ex ante opex allowances approved during the price control period</t>
  </si>
  <si>
    <t>EA2: Additional ex ante non-building RAB additions approved during the price control period</t>
  </si>
  <si>
    <t>EA3: Additional ex ante building RAB additions approved during the price control period</t>
  </si>
  <si>
    <t>Forecast DIWE deductions on expenditure subject to conditional cost-sharing</t>
  </si>
  <si>
    <t>Forecast overspends against ex ante allowances that is not subject to conditional cost-sharing</t>
  </si>
  <si>
    <t>Reported expenditure on opex (against allowance EA1)</t>
  </si>
  <si>
    <t xml:space="preserve">DIWE deductions against opex </t>
  </si>
  <si>
    <t>DIWE deductions on non-building RAB additions</t>
  </si>
  <si>
    <t>DIWE deductions on building RAB additions</t>
  </si>
  <si>
    <t>Opex overspends not subject to conditional cost sharing</t>
  </si>
  <si>
    <t>Non-building RAB additions overspends not subject to conditional cost sharing</t>
  </si>
  <si>
    <t>Building RAB additions overspends not subject to conditional cost sharing</t>
  </si>
  <si>
    <t>Forecast underspends against ex ante allowances that is not subject to conditional cost-sharing</t>
  </si>
  <si>
    <t>Opex underspends not subject to conditional cost sharing</t>
  </si>
  <si>
    <t>Non-building RAB additions underspends not subject to conditional cost sharing</t>
  </si>
  <si>
    <t>Building RAB additions underspends not subject to conditional cost sharing</t>
  </si>
  <si>
    <t>Reported expenditure against EA1</t>
  </si>
  <si>
    <t>DIWE deductions</t>
  </si>
  <si>
    <t>Overspends excluded from conditional cost sharing</t>
  </si>
  <si>
    <t>Underspends excluded from conditional cost sharing</t>
  </si>
  <si>
    <t>Initial ex ante allowances</t>
  </si>
  <si>
    <t>Additional allowances approved during the price control period</t>
  </si>
  <si>
    <t>Total ex ante allowances</t>
  </si>
  <si>
    <t>EA1: Opex and other costs expensed in year</t>
  </si>
  <si>
    <t>EA2: Non-building RAB additions</t>
  </si>
  <si>
    <t>EA3: Building RAB additions</t>
  </si>
  <si>
    <t>Reported expenditure against EA2</t>
  </si>
  <si>
    <t>Reported expenditure against EA3</t>
  </si>
  <si>
    <t>Approach A (UR/SONI 2015-20 comparator data)</t>
  </si>
  <si>
    <t>Gearing for comparators</t>
  </si>
  <si>
    <t>Equity beta at assumed regulatory gearing and assumed debt beta</t>
  </si>
  <si>
    <t>Debt beta assumption that is in line with the UR's position for SONI</t>
  </si>
  <si>
    <t>Asset beta for comparator if debt beta had been assumed to be as per UR's position</t>
  </si>
  <si>
    <t>Operating cash flow (OCF) measure for comparator companies</t>
  </si>
  <si>
    <t>Approach B (Updated using Ofwat PR19)</t>
  </si>
  <si>
    <t>Allowed return (£m)</t>
  </si>
  <si>
    <t>Total allowed revenue</t>
  </si>
  <si>
    <t>Allowed RCV depreciation</t>
  </si>
  <si>
    <t>Ratio of allowed return + depreciation to allowed revenue</t>
  </si>
  <si>
    <t>Parameters for the CMA Bristol adjustment to asset beta</t>
  </si>
  <si>
    <t>Operating cash flow measures (Numerator)</t>
  </si>
  <si>
    <t>OCF1 numerator: Return + Depreciation on all RAB + SONI forecast transfers to NIE</t>
  </si>
  <si>
    <t>Operating cash flow measures (Denominator)</t>
  </si>
  <si>
    <t>Ratio</t>
  </si>
  <si>
    <t>Operating cash flow measures for the notional TSO</t>
  </si>
  <si>
    <t>Adjustment factor</t>
  </si>
  <si>
    <t>Approach A</t>
  </si>
  <si>
    <t>Approach B</t>
  </si>
  <si>
    <t>OCF 1 (using SONI forecast NIE transfers)</t>
  </si>
  <si>
    <t>Implied asset beta for the notional TSO</t>
  </si>
  <si>
    <t>Asset beta calculations for the notional TSO using the CMA Bristol Water method</t>
  </si>
  <si>
    <t>Forecast of maximum regulated revenues (SSS/TUoS)</t>
  </si>
  <si>
    <t>AICR for the notional TSO using estimated accounting depreciation</t>
  </si>
  <si>
    <t>Adjusted interest coverage ratio (AICR) (Including collection agent margin)</t>
  </si>
  <si>
    <t>Adjusted interest coverage ratio (AICR) (Excluding collection agent margin)</t>
  </si>
  <si>
    <t>Ofwat PR19 data for RoRE charts</t>
  </si>
  <si>
    <t>Source: Ofwat</t>
  </si>
  <si>
    <t xml:space="preserve"> </t>
  </si>
  <si>
    <t>Forecast of revenues</t>
  </si>
  <si>
    <t>Total forecast TSO revenue</t>
  </si>
  <si>
    <t>Forecast of costs</t>
  </si>
  <si>
    <t>Maximum regulated SSS/TUoS revenues</t>
  </si>
  <si>
    <t xml:space="preserve">   Connection income attributable to recovery of overheads/other costs funded through ex ante allowances</t>
  </si>
  <si>
    <t>Adjustments in light of reported expenditure</t>
  </si>
  <si>
    <t>Revenue adjustment after conditional cost sharing and DIWE for EA1</t>
  </si>
  <si>
    <t>RAB addition adjustment after conditional cost sharing and DIWE for EA2</t>
  </si>
  <si>
    <t>RAB addition adjustment after conditional cost sharing and DIWE for EA3</t>
  </si>
  <si>
    <t>Conditional cost sharing and DIWE adjustment for EA1</t>
  </si>
  <si>
    <t>Profit after tax for RoRE</t>
  </si>
  <si>
    <t>RAB Summary (Nominal terms): Estimates/Forecasts</t>
  </si>
  <si>
    <t>RAB additions estimated by SONI for the 2015-20 period</t>
  </si>
  <si>
    <t>RAB depreciation allowances and TNPP write-offs</t>
  </si>
  <si>
    <t>Profit after tax (excluding margin on revenue collection)</t>
  </si>
  <si>
    <t>Profit after tax (excluding margin and asymmetric risk allowance)</t>
  </si>
  <si>
    <t>RoRE</t>
  </si>
  <si>
    <t>RoRE (excluding margin on revenue collection)</t>
  </si>
  <si>
    <t>RoRE (excluding asymmetric risk allowances and collecton agent margins)</t>
  </si>
  <si>
    <t>Earnings and financial ratios for the Notional TSO</t>
  </si>
  <si>
    <t>Index of tabs</t>
  </si>
  <si>
    <t>Tab name</t>
  </si>
  <si>
    <t>Overview of contents</t>
  </si>
  <si>
    <t>Main inputs</t>
  </si>
  <si>
    <t>Category</t>
  </si>
  <si>
    <t>Inflation</t>
  </si>
  <si>
    <t>RAB inputs</t>
  </si>
  <si>
    <t>DD allowances</t>
  </si>
  <si>
    <t>DD forecasts</t>
  </si>
  <si>
    <t>RoRE inputs</t>
  </si>
  <si>
    <t>Calcs</t>
  </si>
  <si>
    <t>WACC</t>
  </si>
  <si>
    <t>CCS</t>
  </si>
  <si>
    <t>Return</t>
  </si>
  <si>
    <t>Results</t>
  </si>
  <si>
    <t>Regulated revenue</t>
  </si>
  <si>
    <t>Earnings</t>
  </si>
  <si>
    <t>RAB summary</t>
  </si>
  <si>
    <t>Scenarios</t>
  </si>
  <si>
    <t>This sheet contains input data for the calculation of the notional TSO's RAB. It draws on the post-CMA financial model for the 2015-20 period, the current TSO licence, SONI's Business Plan submission for the 2020-25 period and SONI's regulatory accounts.</t>
  </si>
  <si>
    <t>This sheet sets out the inflation indices used in the model</t>
  </si>
  <si>
    <t>This sheet sets out our forecasts for different elements of the notional TSO's revenues and costs</t>
  </si>
  <si>
    <t>This sheet contains the input parameters to estimate the notional TSO's WACC.</t>
  </si>
  <si>
    <t>This sheet contains the ex ante expenditure allowances, expenditure caps and revenue allowances determined by the UR and operational during the 2020-25 period</t>
  </si>
  <si>
    <t xml:space="preserve">This sheet contains data received from Ofwat on the impact of its PR19 price control package on returns to equity for water companies. These are used as comparators for the Notional TSO. </t>
  </si>
  <si>
    <t>This sheet contains a summary of the estimated accounting depreciation for the Notional TSO. These figures are based on a response from SONI to a query from the UR, which is set out in sheet "Accounting depreciation" in the "Other inputs" group.</t>
  </si>
  <si>
    <t>This sheet calculates the WACC for the Notional TSO based on the parameters set out in the "WACC parameters" sheet.  It also presents analysis of the sensitivity of the WACC to different assumptions for the input parameters.</t>
  </si>
  <si>
    <t>The sheet applies the conditional cost sharing mechanism and any DIWE adjustments to forecast actual expenditure.</t>
  </si>
  <si>
    <t>RAB</t>
  </si>
  <si>
    <t>This sheet calculates forecasts of the different elements of the Notional TSO's RAB for the 2020-2025 period.</t>
  </si>
  <si>
    <t>This sheet calculates forecasts of the return on different elements of the Notional TSO's RAB for the 2020-2025 period.</t>
  </si>
  <si>
    <t>This sheet calculates an asset beta range for the Notional TSO using approaches based on the CMA Bristol Water method.  The ranges calculated in this sheet are not directly used to calculate the Notional TSO's WACC. Instead, they have been considered alongside evidence from other sources.</t>
  </si>
  <si>
    <t>This sheet sets out a summary of the build up of the maximum regulated revenue of the Notional TSO</t>
  </si>
  <si>
    <t>This shee calculates different measures of profit and debt financeability metrics for the Notional TSO</t>
  </si>
  <si>
    <t>This sheet contains the underlying the calculations for different upside and downside scenarios modelled in the RoRE sheet</t>
  </si>
  <si>
    <t>This sheet contains the Accounting depreciation calculations received from SONI in response to a query from the UR</t>
  </si>
  <si>
    <t>5B Revenues &amp; Costs (notional)</t>
  </si>
  <si>
    <t>This sheet is copied from SONI's BPDT submission</t>
  </si>
  <si>
    <t>5A Revenues &amp; Costs (Actual)</t>
  </si>
  <si>
    <t>SONI BPDT RAB</t>
  </si>
  <si>
    <t>This sheet contains the result of pre-processing carried out on RAB figures reported by SONI in its BPDT</t>
  </si>
  <si>
    <t>1 Price control buildup</t>
  </si>
  <si>
    <t>3 Finance</t>
  </si>
  <si>
    <t>4 RAB Overview</t>
  </si>
  <si>
    <t>Other items that might arise during the period</t>
  </si>
  <si>
    <t>Total forecast expenditure against capped opex allowances</t>
  </si>
  <si>
    <t>Expenditure against capped TNPP allowances</t>
  </si>
  <si>
    <t>Total forecast expenditure against capped allowances</t>
  </si>
  <si>
    <t>Expenditure against capped Special Projects allowances</t>
  </si>
  <si>
    <t>Forecast pension deficit repair costs</t>
  </si>
  <si>
    <t>Allowance for pension deficit repair</t>
  </si>
  <si>
    <t>Forecast expenditure on pension deficit repair</t>
  </si>
  <si>
    <t>Forecast opex (against allowance EA1)</t>
  </si>
  <si>
    <t>EA1: Ex ante opex allowances</t>
  </si>
  <si>
    <t>Opex and other items expensed in year subject to conditional cost sharing</t>
  </si>
  <si>
    <t>Total ex ante opex allowances</t>
  </si>
  <si>
    <t>Additional ex ante opex allowances approved during the period</t>
  </si>
  <si>
    <t>Other opex allowances</t>
  </si>
  <si>
    <t>Adjustments to opex allowances for overheads funded through connection income</t>
  </si>
  <si>
    <t>Recovery of expenditure against capped allowances</t>
  </si>
  <si>
    <t>Forecasts of other costs</t>
  </si>
  <si>
    <t>Costs recognised in P&amp;L in relation TNPP assets transferred to NIEN</t>
  </si>
  <si>
    <t>OCF 2 (No NIE transfers)</t>
  </si>
  <si>
    <t>OCF2 numerator: Return + Depreciation on all RAB + No transfers to NIE</t>
  </si>
  <si>
    <t>Moderate opex overspend (as a percentage of opex allowance)</t>
  </si>
  <si>
    <t>Moderate opex underspend (as a percentage of opex allowance)</t>
  </si>
  <si>
    <t>High debt costs</t>
  </si>
  <si>
    <t>Low debt costs</t>
  </si>
  <si>
    <t>Moderately high debt costs</t>
  </si>
  <si>
    <t>Moderately low debt costs</t>
  </si>
  <si>
    <t>High TNPP disallowance in year 1 (with revenue impact in year 3)</t>
  </si>
  <si>
    <t>Moderately high TNPP disallowance in year 1 (with revenue impact in year 3)</t>
  </si>
  <si>
    <t>Capex (non-building assets) scenarios</t>
  </si>
  <si>
    <t>Imperfection Charge (DBC) revenues</t>
  </si>
  <si>
    <t>Actual write-offs/Impairments (2015-20)</t>
  </si>
  <si>
    <t>Actual reported and SONI forecast transfers to NIE (2015-20)</t>
  </si>
  <si>
    <t>Assumed annual growth rate in CPIH (from 2020/21 onwards) (consistent with SONI BP)</t>
  </si>
  <si>
    <t>Revenue in relation to Interco GTUoS</t>
  </si>
  <si>
    <t>Ex ante fixed annual allowance for asymmetric risk</t>
  </si>
  <si>
    <t>RAB: Capex overspend for 2010-15</t>
  </si>
  <si>
    <t>Allowed Bt depreciation in the 2015-20 licence</t>
  </si>
  <si>
    <t>Charts</t>
  </si>
  <si>
    <t>RoRE charts</t>
  </si>
  <si>
    <t>This sheet presents a set of charts on the impact on RoRE of different scenarios relating to value of input data items.</t>
  </si>
  <si>
    <t>UR - TSO Price control 2020-25 (Draft Determinations)</t>
  </si>
  <si>
    <t>Allowances in Draft Determinations</t>
  </si>
  <si>
    <t>Forecasts used in Draft Determinations</t>
  </si>
  <si>
    <t>RAB calculations</t>
  </si>
  <si>
    <t>RAB returns</t>
  </si>
  <si>
    <t>UR - TSO Price control 2020-25 - Financial model (Draft Determinations)</t>
  </si>
  <si>
    <t>This model is provided by Reckon LLP "as is" and any express or implied warranties, including, but not limited to, the implied warranties of merchantability and fitness for a particular purpose are disclaimed. In no event shall Reckon LLP or its staff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model, even if advised of the possibility of such damage.</t>
  </si>
  <si>
    <t>This model version is a draft and it is intended that improvements to the model will be made following detailed review by SONI (including but not limited to resolution of any errors that may be detected).</t>
  </si>
  <si>
    <t>This model was produced by Reckon LLP for the Utility Regulator for the purposes of producing estimates and forecasts to be used by the Utility Regulator in its consultation on its draft determinations of the 2020-25 TSO price control. Reckon LLP makes no representation about the suitability of this model for any purposes beyond the purpose stated above.</t>
  </si>
  <si>
    <t>Base case (excluding asymmetric allowance)</t>
  </si>
  <si>
    <t>This sheet presents a set of charts on the evolution of the estimated/forecast RAB under different assumptions for notional gearing.</t>
  </si>
  <si>
    <t>This sheet presents a summary of the estimated/forecast TSO RABs</t>
  </si>
  <si>
    <t>This sheet calculates the RoRE of the Notional TSO in the base case and under different scenarios for upside and downside outcomes during the 2020-2025 period.</t>
  </si>
  <si>
    <t>Note</t>
  </si>
  <si>
    <t>Water company comparators (PR19 Final Determinations)</t>
  </si>
  <si>
    <t>Difference in notional debt</t>
  </si>
  <si>
    <t>Difference in notional equity</t>
  </si>
  <si>
    <t>OCF1 numerator + operating expenditure</t>
  </si>
  <si>
    <t>OCF2 numerator + operating expenditure</t>
  </si>
  <si>
    <t>Sheet</t>
  </si>
  <si>
    <t>Change</t>
  </si>
  <si>
    <t>Cell ranges affected</t>
  </si>
  <si>
    <t>Removed double counting of revenues from TNPP transfers to NIEN in the denominator of the OCF calculation</t>
  </si>
  <si>
    <t>D8:H8</t>
  </si>
  <si>
    <t>Asset Name (NAMES REDACTED AT SONI's REQUEST)</t>
  </si>
  <si>
    <t>Redacted information on assets in the asset database at SONI's request</t>
  </si>
  <si>
    <t>J8:J223, B8:C125</t>
  </si>
  <si>
    <t>This sheet records material changes to the model compared to the reference version v1.0 shared with SONI on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</si>
</sst>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00"/>
    <numFmt numFmtId="167" formatCode="0.0"/>
    <numFmt numFmtId="168" formatCode="0_ ;[Red]\-0\ "/>
    <numFmt numFmtId="169" formatCode="#,##0_ ;[Red]\-#,##0\ "/>
    <numFmt numFmtId="170" formatCode="0.000_ ;[Red]\-0.000\ "/>
    <numFmt numFmtId="171" formatCode="&quot;£&quot;#,##0"/>
    <numFmt numFmtId="172" formatCode="&quot;£&quot;#,##0.00"/>
    <numFmt numFmtId="173" formatCode="#,##0_ ;\-#,##0\ "/>
    <numFmt numFmtId="174" formatCode="0.00%;[Red]\-0.00%"/>
    <numFmt numFmtId="175" formatCode="0.0000"/>
    <numFmt numFmtId="176" formatCode="&quot;to &quot;0.0000;&quot;to &quot;\-0.0000;&quot;to 0&quot;"/>
    <numFmt numFmtId="177" formatCode="#,##0;\-#,##0;\-"/>
    <numFmt numFmtId="178" formatCode="[&lt;0.0001]&quot;&lt;0.0001&quot;;0.0000"/>
    <numFmt numFmtId="179" formatCode="#,##0.0,,;\-#,##0.0,,;\-"/>
    <numFmt numFmtId="180" formatCode="#,##0,;\-#,##0,;\-"/>
    <numFmt numFmtId="181" formatCode="0.0%;\-0.0%;\-"/>
    <numFmt numFmtId="182" formatCode="#,##0.0,,;\-#,##0.0,,"/>
    <numFmt numFmtId="183" formatCode="#,##0,;\-#,##0,"/>
    <numFmt numFmtId="184" formatCode="0.0%;\-0.0%"/>
    <numFmt numFmtId="185" formatCode="#,##0.0_-;\(#,##0.0\);_-* &quot;-&quot;??_-"/>
    <numFmt numFmtId="186" formatCode="_-[$€-2]* #,##0.00_-;\-[$€-2]* #,##0.00_-;_-[$€-2]* &quot;-&quot;??_-"/>
    <numFmt numFmtId="187" formatCode="[$-F800]dddd\,\ mmmm\ dd\,\ yyyy"/>
    <numFmt numFmtId="188" formatCode="#,##0.000000_ ;\-#,##0.000000\ "/>
  </numFmts>
  <fonts count="81">
    <font>
      <sz val="11"/>
      <color theme="1"/>
      <name val="Calibri"/>
      <family val="2"/>
      <scheme val="minor"/>
    </font>
    <font>
      <sz val="11"/>
      <color theme="1"/>
      <name val="Calibri"/>
      <family val="2"/>
      <scheme val="minor"/>
    </font>
    <font>
      <b/>
      <sz val="11"/>
      <color theme="1"/>
      <name val="Calibri"/>
      <family val="2"/>
      <scheme val="minor"/>
    </font>
    <font>
      <sz val="12"/>
      <name val="Arial MT"/>
    </font>
    <font>
      <sz val="10"/>
      <name val="Arial"/>
      <family val="2"/>
    </font>
    <font>
      <b/>
      <sz val="10"/>
      <name val="Arial"/>
      <family val="2"/>
    </font>
    <font>
      <b/>
      <sz val="18"/>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b/>
      <i/>
      <sz val="11"/>
      <color theme="1"/>
      <name val="Calibri"/>
      <family val="2"/>
      <scheme val="minor"/>
    </font>
    <font>
      <sz val="11"/>
      <color rgb="FF00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rgb="FFFFFF00"/>
      <name val="Calibri"/>
      <family val="2"/>
      <scheme val="minor"/>
    </font>
    <font>
      <sz val="11"/>
      <color indexed="8"/>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12"/>
      <color theme="1"/>
      <name val="Arial"/>
      <family val="2"/>
    </font>
    <font>
      <sz val="12"/>
      <name val="Arial"/>
      <family val="2"/>
    </font>
    <font>
      <b/>
      <u/>
      <sz val="10"/>
      <name val="Arial"/>
      <family val="2"/>
    </font>
    <font>
      <b/>
      <sz val="11"/>
      <color theme="0"/>
      <name val="Calibri"/>
      <family val="2"/>
      <scheme val="minor"/>
    </font>
    <font>
      <b/>
      <sz val="12"/>
      <color theme="1"/>
      <name val="Calibri"/>
      <family val="2"/>
      <scheme val="minor"/>
    </font>
    <font>
      <u/>
      <sz val="11"/>
      <color theme="10"/>
      <name val="Calibri"/>
      <family val="2"/>
      <scheme val="minor"/>
    </font>
    <font>
      <sz val="11"/>
      <color theme="0"/>
      <name val="Calibri"/>
      <family val="2"/>
      <scheme val="minor"/>
    </font>
  </fonts>
  <fills count="7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rgb="FFFF99CC"/>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1" tint="0.499984740745262"/>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99CCFF"/>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7"/>
        <bgColor indexed="64"/>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CCFF99"/>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7030A0"/>
        <bgColor indexed="64"/>
      </patternFill>
    </fill>
    <fill>
      <patternFill patternType="solid">
        <fgColor rgb="FFBCA8D0"/>
        <bgColor indexed="64"/>
      </patternFill>
    </fill>
    <fill>
      <patternFill patternType="solid">
        <fgColor theme="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s>
  <cellStyleXfs count="327">
    <xf numFmtId="0" fontId="0" fillId="0" borderId="0"/>
    <xf numFmtId="9" fontId="1"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 fillId="0" borderId="0"/>
    <xf numFmtId="0" fontId="19" fillId="0" borderId="45" applyNumberFormat="0" applyFill="0" applyProtection="0">
      <alignment horizontal="center"/>
    </xf>
    <xf numFmtId="167" fontId="4" fillId="0" borderId="0" applyFont="0" applyFill="0" applyBorder="0" applyProtection="0">
      <alignment horizontal="right"/>
    </xf>
    <xf numFmtId="167" fontId="4" fillId="0" borderId="0" applyFont="0" applyFill="0" applyBorder="0" applyProtection="0">
      <alignment horizontal="right"/>
    </xf>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166" fontId="4" fillId="0" borderId="0" applyFont="0" applyFill="0" applyBorder="0" applyProtection="0">
      <alignment horizontal="right"/>
    </xf>
    <xf numFmtId="166" fontId="4" fillId="0" borderId="0" applyFont="0" applyFill="0" applyBorder="0" applyProtection="0">
      <alignment horizontal="right"/>
    </xf>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175" fontId="4" fillId="0" borderId="0" applyFont="0" applyFill="0" applyBorder="0" applyProtection="0">
      <alignment horizontal="right"/>
    </xf>
    <xf numFmtId="175" fontId="4" fillId="0" borderId="0" applyFont="0" applyFill="0" applyBorder="0" applyProtection="0">
      <alignment horizontal="right"/>
    </xf>
    <xf numFmtId="0" fontId="37" fillId="31"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2"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8" fillId="22" borderId="0" applyNumberFormat="0" applyBorder="0" applyAlignment="0" applyProtection="0"/>
    <xf numFmtId="185" fontId="4" fillId="0" borderId="0" applyBorder="0"/>
    <xf numFmtId="0" fontId="39" fillId="40" borderId="46" applyNumberFormat="0" applyAlignment="0" applyProtection="0"/>
    <xf numFmtId="0" fontId="40" fillId="41" borderId="47" applyNumberFormat="0" applyAlignment="0" applyProtection="0"/>
    <xf numFmtId="175" fontId="20" fillId="0" borderId="0" applyFont="0" applyFill="0" applyBorder="0" applyProtection="0">
      <alignment horizontal="right"/>
    </xf>
    <xf numFmtId="176" fontId="20"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3" fillId="0" borderId="17" applyNumberFormat="0" applyBorder="0" applyAlignment="0" applyProtection="0">
      <alignment horizontal="right" vertical="center"/>
    </xf>
    <xf numFmtId="186" fontId="4" fillId="0" borderId="0" applyFont="0" applyFill="0" applyBorder="0" applyAlignment="0" applyProtection="0"/>
    <xf numFmtId="0" fontId="41" fillId="0" borderId="0" applyNumberFormat="0" applyFill="0" applyBorder="0" applyAlignment="0" applyProtection="0"/>
    <xf numFmtId="0" fontId="54" fillId="0" borderId="0">
      <alignment horizontal="right"/>
      <protection locked="0"/>
    </xf>
    <xf numFmtId="0" fontId="21" fillId="0" borderId="0">
      <alignment horizontal="left"/>
    </xf>
    <xf numFmtId="0" fontId="22"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0" fontId="42" fillId="23" borderId="0" applyNumberFormat="0" applyBorder="0" applyAlignment="0" applyProtection="0"/>
    <xf numFmtId="38" fontId="36" fillId="9" borderId="0" applyNumberFormat="0" applyBorder="0" applyAlignment="0" applyProtection="0"/>
    <xf numFmtId="0" fontId="23" fillId="42" borderId="48" applyProtection="0">
      <alignment horizontal="right"/>
    </xf>
    <xf numFmtId="0" fontId="24" fillId="42" borderId="0" applyProtection="0">
      <alignment horizontal="left"/>
    </xf>
    <xf numFmtId="0" fontId="43" fillId="0" borderId="49" applyNumberFormat="0" applyFill="0" applyAlignment="0" applyProtection="0"/>
    <xf numFmtId="0" fontId="55" fillId="0" borderId="0">
      <alignment vertical="top" wrapText="1"/>
    </xf>
    <xf numFmtId="0" fontId="55" fillId="0" borderId="0">
      <alignment vertical="top" wrapText="1"/>
    </xf>
    <xf numFmtId="0" fontId="55" fillId="0" borderId="0">
      <alignment vertical="top" wrapText="1"/>
    </xf>
    <xf numFmtId="0" fontId="55" fillId="0" borderId="0">
      <alignment vertical="top" wrapText="1"/>
    </xf>
    <xf numFmtId="0" fontId="44" fillId="0" borderId="50" applyNumberFormat="0" applyFill="0" applyAlignment="0" applyProtection="0"/>
    <xf numFmtId="177" fontId="56" fillId="0" borderId="0" applyNumberFormat="0" applyFill="0" applyAlignment="0" applyProtection="0"/>
    <xf numFmtId="0" fontId="45" fillId="0" borderId="51" applyNumberFormat="0" applyFill="0" applyAlignment="0" applyProtection="0"/>
    <xf numFmtId="177" fontId="57" fillId="0" borderId="0" applyNumberFormat="0" applyFill="0" applyAlignment="0" applyProtection="0"/>
    <xf numFmtId="0" fontId="45" fillId="0" borderId="0" applyNumberFormat="0" applyFill="0" applyBorder="0" applyAlignment="0" applyProtection="0"/>
    <xf numFmtId="177" fontId="5" fillId="0" borderId="0" applyNumberFormat="0" applyFill="0" applyAlignment="0" applyProtection="0"/>
    <xf numFmtId="177" fontId="25" fillId="0" borderId="0" applyNumberFormat="0" applyFill="0" applyAlignment="0" applyProtection="0"/>
    <xf numFmtId="177" fontId="26" fillId="0" borderId="0" applyNumberFormat="0" applyFill="0" applyAlignment="0" applyProtection="0"/>
    <xf numFmtId="177" fontId="26" fillId="0" borderId="0" applyNumberFormat="0" applyFont="0" applyFill="0" applyBorder="0" applyAlignment="0" applyProtection="0"/>
    <xf numFmtId="177" fontId="26" fillId="0" borderId="0" applyNumberFormat="0" applyFont="0" applyFill="0" applyBorder="0" applyAlignment="0" applyProtection="0"/>
    <xf numFmtId="0" fontId="58" fillId="0" borderId="0" applyNumberFormat="0" applyFill="0" applyBorder="0" applyAlignment="0" applyProtection="0">
      <alignment vertical="top"/>
      <protection locked="0"/>
    </xf>
    <xf numFmtId="0" fontId="27" fillId="0" borderId="0" applyFill="0" applyBorder="0" applyProtection="0">
      <alignment horizontal="left"/>
    </xf>
    <xf numFmtId="10" fontId="36" fillId="7" borderId="19" applyNumberFormat="0" applyBorder="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46" fillId="26" borderId="46" applyNumberFormat="0" applyAlignment="0" applyProtection="0"/>
    <xf numFmtId="0" fontId="23" fillId="0" borderId="52" applyProtection="0">
      <alignment horizontal="right"/>
    </xf>
    <xf numFmtId="0" fontId="23" fillId="0" borderId="48" applyProtection="0">
      <alignment horizontal="right"/>
    </xf>
    <xf numFmtId="0" fontId="23" fillId="0" borderId="53" applyProtection="0">
      <alignment horizontal="center"/>
      <protection locked="0"/>
    </xf>
    <xf numFmtId="0" fontId="47" fillId="0" borderId="54" applyNumberFormat="0" applyFill="0" applyAlignment="0" applyProtection="0"/>
    <xf numFmtId="0" fontId="4" fillId="0" borderId="0"/>
    <xf numFmtId="0" fontId="4" fillId="0" borderId="0"/>
    <xf numFmtId="0" fontId="4" fillId="0" borderId="0"/>
    <xf numFmtId="1" fontId="4" fillId="0" borderId="0" applyFont="0" applyFill="0" applyBorder="0" applyProtection="0">
      <alignment horizontal="right"/>
    </xf>
    <xf numFmtId="1" fontId="4" fillId="0" borderId="0" applyFont="0" applyFill="0" applyBorder="0" applyProtection="0">
      <alignment horizontal="right"/>
    </xf>
    <xf numFmtId="0" fontId="48" fillId="33"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18"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8" fillId="0" borderId="0"/>
    <xf numFmtId="0" fontId="1" fillId="0" borderId="0"/>
    <xf numFmtId="0" fontId="18"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43" borderId="55" applyNumberFormat="0" applyFont="0" applyAlignment="0" applyProtection="0"/>
    <xf numFmtId="0" fontId="49" fillId="40" borderId="56" applyNumberFormat="0" applyAlignment="0" applyProtection="0"/>
    <xf numFmtId="40" fontId="60" fillId="5" borderId="0">
      <alignment horizontal="right"/>
    </xf>
    <xf numFmtId="0" fontId="61" fillId="5" borderId="0">
      <alignment horizontal="right"/>
    </xf>
    <xf numFmtId="0" fontId="62" fillId="5" borderId="15"/>
    <xf numFmtId="0" fontId="62" fillId="0" borderId="0" applyBorder="0">
      <alignment horizontal="centerContinuous"/>
    </xf>
    <xf numFmtId="0" fontId="63" fillId="0" borderId="0" applyBorder="0">
      <alignment horizontal="centerContinuous"/>
    </xf>
    <xf numFmtId="178" fontId="4" fillId="0" borderId="0" applyFont="0" applyFill="0" applyBorder="0" applyProtection="0">
      <alignment horizontal="right"/>
    </xf>
    <xf numFmtId="178" fontId="4" fillId="0" borderId="0" applyFont="0" applyFill="0" applyBorder="0" applyProtection="0">
      <alignment horizontal="right"/>
    </xf>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 fillId="0" borderId="0"/>
    <xf numFmtId="2" fontId="64" fillId="44" borderId="12" applyAlignment="0" applyProtection="0">
      <protection locked="0"/>
    </xf>
    <xf numFmtId="0" fontId="65" fillId="7" borderId="12" applyNumberFormat="0" applyAlignment="0" applyProtection="0"/>
    <xf numFmtId="0" fontId="66" fillId="45" borderId="19" applyNumberFormat="0" applyAlignment="0" applyProtection="0">
      <alignment horizontal="center" vertical="center"/>
    </xf>
    <xf numFmtId="4" fontId="28" fillId="4" borderId="56" applyNumberFormat="0" applyProtection="0">
      <alignment vertical="center"/>
    </xf>
    <xf numFmtId="4" fontId="67" fillId="4" borderId="56" applyNumberFormat="0" applyProtection="0">
      <alignment vertical="center"/>
    </xf>
    <xf numFmtId="4" fontId="28" fillId="4" borderId="56" applyNumberFormat="0" applyProtection="0">
      <alignment horizontal="left" vertical="center" indent="1"/>
    </xf>
    <xf numFmtId="4" fontId="28" fillId="4" borderId="56" applyNumberFormat="0" applyProtection="0">
      <alignment horizontal="left" vertical="center" indent="1"/>
    </xf>
    <xf numFmtId="0" fontId="4" fillId="46" borderId="56" applyNumberFormat="0" applyProtection="0">
      <alignment horizontal="left" vertical="center" indent="1"/>
    </xf>
    <xf numFmtId="4" fontId="28" fillId="47" borderId="56" applyNumberFormat="0" applyProtection="0">
      <alignment horizontal="right" vertical="center"/>
    </xf>
    <xf numFmtId="4" fontId="28" fillId="48" borderId="56" applyNumberFormat="0" applyProtection="0">
      <alignment horizontal="right" vertical="center"/>
    </xf>
    <xf numFmtId="4" fontId="28" fillId="49" borderId="56" applyNumberFormat="0" applyProtection="0">
      <alignment horizontal="right" vertical="center"/>
    </xf>
    <xf numFmtId="4" fontId="28" fillId="50" borderId="56" applyNumberFormat="0" applyProtection="0">
      <alignment horizontal="right" vertical="center"/>
    </xf>
    <xf numFmtId="4" fontId="28" fillId="51" borderId="56" applyNumberFormat="0" applyProtection="0">
      <alignment horizontal="right" vertical="center"/>
    </xf>
    <xf numFmtId="4" fontId="28" fillId="52" borderId="56" applyNumberFormat="0" applyProtection="0">
      <alignment horizontal="right" vertical="center"/>
    </xf>
    <xf numFmtId="4" fontId="28" fillId="53" borderId="56" applyNumberFormat="0" applyProtection="0">
      <alignment horizontal="right" vertical="center"/>
    </xf>
    <xf numFmtId="4" fontId="28" fillId="54" borderId="56" applyNumberFormat="0" applyProtection="0">
      <alignment horizontal="right" vertical="center"/>
    </xf>
    <xf numFmtId="4" fontId="28" fillId="55" borderId="56" applyNumberFormat="0" applyProtection="0">
      <alignment horizontal="right" vertical="center"/>
    </xf>
    <xf numFmtId="4" fontId="68" fillId="56" borderId="56" applyNumberFormat="0" applyProtection="0">
      <alignment horizontal="left" vertical="center" indent="1"/>
    </xf>
    <xf numFmtId="4" fontId="28" fillId="57" borderId="57" applyNumberFormat="0" applyProtection="0">
      <alignment horizontal="left" vertical="center" indent="1"/>
    </xf>
    <xf numFmtId="4" fontId="69" fillId="58" borderId="0" applyNumberFormat="0" applyProtection="0">
      <alignment horizontal="left" vertical="center" indent="1"/>
    </xf>
    <xf numFmtId="0" fontId="4" fillId="46" borderId="56" applyNumberFormat="0" applyProtection="0">
      <alignment horizontal="left" vertical="center" indent="1"/>
    </xf>
    <xf numFmtId="4" fontId="28" fillId="57" borderId="56" applyNumberFormat="0" applyProtection="0">
      <alignment horizontal="left" vertical="center" indent="1"/>
    </xf>
    <xf numFmtId="4" fontId="28" fillId="59" borderId="56" applyNumberFormat="0" applyProtection="0">
      <alignment horizontal="left" vertical="center" indent="1"/>
    </xf>
    <xf numFmtId="0" fontId="4" fillId="59" borderId="56" applyNumberFormat="0" applyProtection="0">
      <alignment horizontal="left" vertical="center" indent="1"/>
    </xf>
    <xf numFmtId="0" fontId="4" fillId="59" borderId="56" applyNumberFormat="0" applyProtection="0">
      <alignment horizontal="left" vertical="center" indent="1"/>
    </xf>
    <xf numFmtId="0" fontId="4" fillId="45" borderId="56" applyNumberFormat="0" applyProtection="0">
      <alignment horizontal="left" vertical="center" indent="1"/>
    </xf>
    <xf numFmtId="0" fontId="4" fillId="45" borderId="56" applyNumberFormat="0" applyProtection="0">
      <alignment horizontal="left" vertical="center" indent="1"/>
    </xf>
    <xf numFmtId="0" fontId="4" fillId="9" borderId="56" applyNumberFormat="0" applyProtection="0">
      <alignment horizontal="left" vertical="center" indent="1"/>
    </xf>
    <xf numFmtId="0" fontId="4" fillId="9" borderId="56" applyNumberFormat="0" applyProtection="0">
      <alignment horizontal="left" vertical="center" indent="1"/>
    </xf>
    <xf numFmtId="0" fontId="4" fillId="46" borderId="56" applyNumberFormat="0" applyProtection="0">
      <alignment horizontal="left" vertical="center" indent="1"/>
    </xf>
    <xf numFmtId="0" fontId="4" fillId="46" borderId="56" applyNumberFormat="0" applyProtection="0">
      <alignment horizontal="left" vertical="center" indent="1"/>
    </xf>
    <xf numFmtId="4" fontId="28" fillId="7" borderId="56" applyNumberFormat="0" applyProtection="0">
      <alignment vertical="center"/>
    </xf>
    <xf numFmtId="4" fontId="67" fillId="7" borderId="56" applyNumberFormat="0" applyProtection="0">
      <alignment vertical="center"/>
    </xf>
    <xf numFmtId="4" fontId="28" fillId="7" borderId="56" applyNumberFormat="0" applyProtection="0">
      <alignment horizontal="left" vertical="center" indent="1"/>
    </xf>
    <xf numFmtId="4" fontId="28" fillId="7" borderId="56" applyNumberFormat="0" applyProtection="0">
      <alignment horizontal="left" vertical="center" indent="1"/>
    </xf>
    <xf numFmtId="4" fontId="28" fillId="57" borderId="56" applyNumberFormat="0" applyProtection="0">
      <alignment horizontal="right" vertical="center"/>
    </xf>
    <xf numFmtId="4" fontId="67" fillId="57" borderId="56" applyNumberFormat="0" applyProtection="0">
      <alignment horizontal="right" vertical="center"/>
    </xf>
    <xf numFmtId="0" fontId="4" fillId="46" borderId="56" applyNumberFormat="0" applyProtection="0">
      <alignment horizontal="left" vertical="center" indent="1"/>
    </xf>
    <xf numFmtId="0" fontId="4" fillId="46" borderId="56" applyNumberFormat="0" applyProtection="0">
      <alignment horizontal="left" vertical="center" indent="1"/>
    </xf>
    <xf numFmtId="0" fontId="70" fillId="0" borderId="0"/>
    <xf numFmtId="4" fontId="71" fillId="57" borderId="56" applyNumberFormat="0" applyProtection="0">
      <alignment horizontal="right" vertical="center"/>
    </xf>
    <xf numFmtId="0" fontId="4" fillId="0" borderId="0"/>
    <xf numFmtId="0" fontId="29" fillId="5" borderId="21">
      <alignment horizontal="center"/>
    </xf>
    <xf numFmtId="3" fontId="30" fillId="5" borderId="0"/>
    <xf numFmtId="3" fontId="29" fillId="5" borderId="0"/>
    <xf numFmtId="0" fontId="30" fillId="5" borderId="0"/>
    <xf numFmtId="0" fontId="29" fillId="5" borderId="0"/>
    <xf numFmtId="0" fontId="30" fillId="5" borderId="0">
      <alignment horizontal="center"/>
    </xf>
    <xf numFmtId="0" fontId="31" fillId="0" borderId="0">
      <alignment wrapText="1"/>
    </xf>
    <xf numFmtId="0" fontId="31" fillId="0" borderId="0">
      <alignment wrapText="1"/>
    </xf>
    <xf numFmtId="0" fontId="31" fillId="0" borderId="0">
      <alignment wrapText="1"/>
    </xf>
    <xf numFmtId="0" fontId="31" fillId="0" borderId="0">
      <alignment wrapText="1"/>
    </xf>
    <xf numFmtId="0" fontId="32" fillId="60" borderId="0">
      <alignment horizontal="right" vertical="top" wrapText="1"/>
    </xf>
    <xf numFmtId="0" fontId="32" fillId="60" borderId="0">
      <alignment horizontal="right" vertical="top" wrapText="1"/>
    </xf>
    <xf numFmtId="0" fontId="32" fillId="60" borderId="0">
      <alignment horizontal="right" vertical="top" wrapText="1"/>
    </xf>
    <xf numFmtId="0" fontId="32" fillId="60" borderId="0">
      <alignment horizontal="right" vertical="top" wrapText="1"/>
    </xf>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5" fillId="0" borderId="0"/>
    <xf numFmtId="0" fontId="35" fillId="0" borderId="0"/>
    <xf numFmtId="0" fontId="35" fillId="0" borderId="0"/>
    <xf numFmtId="179" fontId="36" fillId="0" borderId="0">
      <alignment wrapText="1"/>
      <protection locked="0"/>
    </xf>
    <xf numFmtId="179" fontId="36" fillId="0" borderId="0">
      <alignment wrapText="1"/>
      <protection locked="0"/>
    </xf>
    <xf numFmtId="179" fontId="32" fillId="61" borderId="0">
      <alignment wrapText="1"/>
      <protection locked="0"/>
    </xf>
    <xf numFmtId="179" fontId="32" fillId="61" borderId="0">
      <alignment wrapText="1"/>
      <protection locked="0"/>
    </xf>
    <xf numFmtId="179" fontId="32" fillId="61" borderId="0">
      <alignment wrapText="1"/>
      <protection locked="0"/>
    </xf>
    <xf numFmtId="179" fontId="32" fillId="61" borderId="0">
      <alignment wrapText="1"/>
      <protection locked="0"/>
    </xf>
    <xf numFmtId="179" fontId="36" fillId="0" borderId="0">
      <alignment wrapText="1"/>
      <protection locked="0"/>
    </xf>
    <xf numFmtId="180" fontId="36" fillId="0" borderId="0">
      <alignment wrapText="1"/>
      <protection locked="0"/>
    </xf>
    <xf numFmtId="180" fontId="36" fillId="0" borderId="0">
      <alignment wrapText="1"/>
      <protection locked="0"/>
    </xf>
    <xf numFmtId="180" fontId="36" fillId="0" borderId="0">
      <alignment wrapText="1"/>
      <protection locked="0"/>
    </xf>
    <xf numFmtId="180" fontId="32" fillId="61" borderId="0">
      <alignment wrapText="1"/>
      <protection locked="0"/>
    </xf>
    <xf numFmtId="180" fontId="32" fillId="61" borderId="0">
      <alignment wrapText="1"/>
      <protection locked="0"/>
    </xf>
    <xf numFmtId="180" fontId="32" fillId="61" borderId="0">
      <alignment wrapText="1"/>
      <protection locked="0"/>
    </xf>
    <xf numFmtId="180" fontId="32" fillId="61" borderId="0">
      <alignment wrapText="1"/>
      <protection locked="0"/>
    </xf>
    <xf numFmtId="180" fontId="32" fillId="61" borderId="0">
      <alignment wrapText="1"/>
      <protection locked="0"/>
    </xf>
    <xf numFmtId="180" fontId="36" fillId="0" borderId="0">
      <alignment wrapText="1"/>
      <protection locked="0"/>
    </xf>
    <xf numFmtId="181" fontId="36" fillId="0" borderId="0">
      <alignment wrapText="1"/>
      <protection locked="0"/>
    </xf>
    <xf numFmtId="181" fontId="36" fillId="0" borderId="0">
      <alignment wrapText="1"/>
      <protection locked="0"/>
    </xf>
    <xf numFmtId="181" fontId="32" fillId="61" borderId="0">
      <alignment wrapText="1"/>
      <protection locked="0"/>
    </xf>
    <xf numFmtId="181" fontId="32" fillId="61" borderId="0">
      <alignment wrapText="1"/>
      <protection locked="0"/>
    </xf>
    <xf numFmtId="181" fontId="32" fillId="61" borderId="0">
      <alignment wrapText="1"/>
      <protection locked="0"/>
    </xf>
    <xf numFmtId="181" fontId="32" fillId="61" borderId="0">
      <alignment wrapText="1"/>
      <protection locked="0"/>
    </xf>
    <xf numFmtId="181" fontId="36" fillId="0" borderId="0">
      <alignment wrapText="1"/>
      <protection locked="0"/>
    </xf>
    <xf numFmtId="182" fontId="32" fillId="60" borderId="58">
      <alignment wrapText="1"/>
    </xf>
    <xf numFmtId="182" fontId="32" fillId="60" borderId="58">
      <alignment wrapText="1"/>
    </xf>
    <xf numFmtId="182" fontId="32" fillId="60" borderId="58">
      <alignment wrapText="1"/>
    </xf>
    <xf numFmtId="183" fontId="32" fillId="60" borderId="58">
      <alignment wrapText="1"/>
    </xf>
    <xf numFmtId="183" fontId="32" fillId="60" borderId="58">
      <alignment wrapText="1"/>
    </xf>
    <xf numFmtId="183" fontId="32" fillId="60" borderId="58">
      <alignment wrapText="1"/>
    </xf>
    <xf numFmtId="183" fontId="32" fillId="60" borderId="58">
      <alignment wrapText="1"/>
    </xf>
    <xf numFmtId="184" fontId="32" fillId="60" borderId="58">
      <alignment wrapText="1"/>
    </xf>
    <xf numFmtId="184" fontId="32" fillId="60" borderId="58">
      <alignment wrapText="1"/>
    </xf>
    <xf numFmtId="184" fontId="32" fillId="60" borderId="58">
      <alignment wrapText="1"/>
    </xf>
    <xf numFmtId="0" fontId="33" fillId="0" borderId="59">
      <alignment horizontal="right"/>
    </xf>
    <xf numFmtId="0" fontId="33" fillId="0" borderId="59">
      <alignment horizontal="right"/>
    </xf>
    <xf numFmtId="0" fontId="33" fillId="0" borderId="59">
      <alignment horizontal="right"/>
    </xf>
    <xf numFmtId="0" fontId="33" fillId="0" borderId="59">
      <alignment horizontal="right"/>
    </xf>
    <xf numFmtId="40" fontId="72" fillId="0" borderId="0"/>
    <xf numFmtId="0" fontId="50" fillId="0" borderId="0" applyNumberFormat="0" applyFill="0" applyBorder="0" applyAlignment="0" applyProtection="0"/>
    <xf numFmtId="0" fontId="73" fillId="0" borderId="0" applyNumberFormat="0" applyFill="0" applyBorder="0" applyProtection="0">
      <alignment horizontal="left" vertical="center" indent="10"/>
    </xf>
    <xf numFmtId="0" fontId="73" fillId="0" borderId="0" applyNumberFormat="0" applyFill="0" applyBorder="0" applyProtection="0">
      <alignment horizontal="left" vertical="center" indent="10"/>
    </xf>
    <xf numFmtId="0" fontId="51" fillId="0" borderId="60" applyNumberFormat="0" applyFill="0" applyAlignment="0" applyProtection="0"/>
    <xf numFmtId="0" fontId="52" fillId="0" borderId="0" applyNumberFormat="0" applyFill="0" applyBorder="0" applyAlignment="0" applyProtection="0"/>
    <xf numFmtId="0" fontId="3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37" fontId="75" fillId="0" borderId="0"/>
    <xf numFmtId="0" fontId="79" fillId="0" borderId="0" applyNumberFormat="0" applyFill="0" applyBorder="0" applyAlignment="0" applyProtection="0"/>
  </cellStyleXfs>
  <cellXfs count="491">
    <xf numFmtId="0" fontId="0" fillId="0" borderId="0" xfId="0"/>
    <xf numFmtId="0" fontId="2" fillId="0" borderId="0" xfId="0" applyFont="1"/>
    <xf numFmtId="10" fontId="0" fillId="0" borderId="0" xfId="1" applyNumberFormat="1" applyFont="1"/>
    <xf numFmtId="17" fontId="0" fillId="0" borderId="0" xfId="0" applyNumberFormat="1"/>
    <xf numFmtId="2" fontId="0" fillId="0" borderId="0" xfId="0" applyNumberFormat="1"/>
    <xf numFmtId="1" fontId="0" fillId="0" borderId="0" xfId="0" applyNumberFormat="1"/>
    <xf numFmtId="0" fontId="6" fillId="2" borderId="0" xfId="3" applyFont="1" applyFill="1" applyProtection="1">
      <protection locked="0"/>
    </xf>
    <xf numFmtId="0" fontId="1" fillId="2" borderId="0" xfId="3" applyFill="1" applyProtection="1">
      <protection locked="0"/>
    </xf>
    <xf numFmtId="0" fontId="1" fillId="2" borderId="0" xfId="3" applyFill="1"/>
    <xf numFmtId="3" fontId="1" fillId="2" borderId="0" xfId="3" applyNumberFormat="1" applyFill="1"/>
    <xf numFmtId="0" fontId="1" fillId="0" borderId="0" xfId="3"/>
    <xf numFmtId="0" fontId="6" fillId="2" borderId="0" xfId="3" applyFont="1" applyFill="1"/>
    <xf numFmtId="0" fontId="2" fillId="3" borderId="19" xfId="3" applyFont="1" applyFill="1" applyBorder="1" applyAlignment="1">
      <alignment horizontal="center" vertical="center" wrapText="1"/>
    </xf>
    <xf numFmtId="0" fontId="9" fillId="3" borderId="11" xfId="3" applyFont="1" applyFill="1" applyBorder="1" applyAlignment="1">
      <alignment horizontal="center" vertical="center" wrapText="1"/>
    </xf>
    <xf numFmtId="0" fontId="2" fillId="3" borderId="19" xfId="3" applyFont="1" applyFill="1" applyBorder="1" applyAlignment="1">
      <alignment horizontal="center"/>
    </xf>
    <xf numFmtId="0" fontId="2" fillId="0" borderId="9" xfId="3" applyFont="1" applyBorder="1"/>
    <xf numFmtId="0" fontId="1" fillId="0" borderId="10" xfId="3" applyBorder="1"/>
    <xf numFmtId="0" fontId="1" fillId="0" borderId="9" xfId="3" applyBorder="1"/>
    <xf numFmtId="0" fontId="1" fillId="0" borderId="13" xfId="3" applyBorder="1"/>
    <xf numFmtId="168" fontId="1" fillId="6" borderId="10" xfId="3" applyNumberFormat="1" applyFill="1" applyBorder="1"/>
    <xf numFmtId="3" fontId="1" fillId="6" borderId="10" xfId="3" applyNumberFormat="1" applyFill="1" applyBorder="1"/>
    <xf numFmtId="3" fontId="1" fillId="6" borderId="13" xfId="3" applyNumberFormat="1" applyFill="1" applyBorder="1"/>
    <xf numFmtId="3" fontId="1" fillId="8" borderId="9" xfId="3" applyNumberFormat="1" applyFill="1" applyBorder="1"/>
    <xf numFmtId="3" fontId="1" fillId="8" borderId="13" xfId="3" applyNumberFormat="1" applyFill="1" applyBorder="1"/>
    <xf numFmtId="3" fontId="1" fillId="8" borderId="10" xfId="3" applyNumberFormat="1" applyFill="1" applyBorder="1"/>
    <xf numFmtId="0" fontId="1" fillId="0" borderId="14" xfId="3" applyBorder="1"/>
    <xf numFmtId="0" fontId="1" fillId="0" borderId="15" xfId="3" applyBorder="1"/>
    <xf numFmtId="168" fontId="1" fillId="6" borderId="0" xfId="3" applyNumberFormat="1" applyFill="1"/>
    <xf numFmtId="3" fontId="1" fillId="6" borderId="0" xfId="3" applyNumberFormat="1" applyFill="1"/>
    <xf numFmtId="3" fontId="1" fillId="6" borderId="15" xfId="3" applyNumberFormat="1" applyFill="1" applyBorder="1"/>
    <xf numFmtId="3" fontId="1" fillId="8" borderId="14" xfId="3" applyNumberFormat="1" applyFill="1" applyBorder="1"/>
    <xf numFmtId="3" fontId="1" fillId="8" borderId="15" xfId="3" applyNumberFormat="1" applyFill="1" applyBorder="1"/>
    <xf numFmtId="3" fontId="1" fillId="8" borderId="0" xfId="3" applyNumberFormat="1" applyFill="1"/>
    <xf numFmtId="0" fontId="1" fillId="0" borderId="16" xfId="3" applyBorder="1"/>
    <xf numFmtId="0" fontId="1" fillId="0" borderId="23" xfId="3" applyBorder="1"/>
    <xf numFmtId="0" fontId="1" fillId="0" borderId="17" xfId="3" applyBorder="1"/>
    <xf numFmtId="168" fontId="1" fillId="6" borderId="23" xfId="3" applyNumberFormat="1" applyFill="1" applyBorder="1"/>
    <xf numFmtId="3" fontId="1" fillId="6" borderId="23" xfId="3" applyNumberFormat="1" applyFill="1" applyBorder="1"/>
    <xf numFmtId="3" fontId="1" fillId="6" borderId="17" xfId="3" applyNumberFormat="1" applyFill="1" applyBorder="1"/>
    <xf numFmtId="3" fontId="1" fillId="8" borderId="16" xfId="3" applyNumberFormat="1" applyFill="1" applyBorder="1"/>
    <xf numFmtId="3" fontId="1" fillId="8" borderId="17" xfId="3" applyNumberFormat="1" applyFill="1" applyBorder="1"/>
    <xf numFmtId="3" fontId="1" fillId="8" borderId="23" xfId="3" applyNumberFormat="1" applyFill="1" applyBorder="1"/>
    <xf numFmtId="0" fontId="1" fillId="10" borderId="14" xfId="3" applyFill="1" applyBorder="1"/>
    <xf numFmtId="0" fontId="1" fillId="10" borderId="15" xfId="3" applyFill="1" applyBorder="1"/>
    <xf numFmtId="0" fontId="1" fillId="10" borderId="0" xfId="3" applyFill="1"/>
    <xf numFmtId="168" fontId="1" fillId="10" borderId="14" xfId="3" applyNumberFormat="1" applyFill="1" applyBorder="1"/>
    <xf numFmtId="168" fontId="1" fillId="10" borderId="0" xfId="3" applyNumberFormat="1" applyFill="1"/>
    <xf numFmtId="3" fontId="1" fillId="10" borderId="0" xfId="3" applyNumberFormat="1" applyFill="1"/>
    <xf numFmtId="3" fontId="1" fillId="10" borderId="15" xfId="3" applyNumberFormat="1" applyFill="1" applyBorder="1"/>
    <xf numFmtId="3" fontId="1" fillId="10" borderId="14" xfId="3" applyNumberFormat="1" applyFill="1" applyBorder="1"/>
    <xf numFmtId="168" fontId="1" fillId="6" borderId="9" xfId="3" applyNumberFormat="1" applyFill="1" applyBorder="1"/>
    <xf numFmtId="168" fontId="1" fillId="6" borderId="14" xfId="3" applyNumberFormat="1" applyFill="1" applyBorder="1"/>
    <xf numFmtId="168" fontId="1" fillId="6" borderId="16" xfId="3" applyNumberFormat="1" applyFill="1" applyBorder="1"/>
    <xf numFmtId="168" fontId="1" fillId="10" borderId="6" xfId="3" applyNumberFormat="1" applyFill="1" applyBorder="1"/>
    <xf numFmtId="168" fontId="1" fillId="10" borderId="7" xfId="3" applyNumberFormat="1" applyFill="1" applyBorder="1"/>
    <xf numFmtId="3" fontId="1" fillId="10" borderId="7" xfId="3" applyNumberFormat="1" applyFill="1" applyBorder="1"/>
    <xf numFmtId="3" fontId="1" fillId="10" borderId="8" xfId="3" applyNumberFormat="1" applyFill="1" applyBorder="1"/>
    <xf numFmtId="168" fontId="1" fillId="0" borderId="14" xfId="3" applyNumberFormat="1" applyBorder="1"/>
    <xf numFmtId="168" fontId="1" fillId="0" borderId="0" xfId="3" applyNumberFormat="1"/>
    <xf numFmtId="3" fontId="1" fillId="0" borderId="0" xfId="3" applyNumberFormat="1"/>
    <xf numFmtId="3" fontId="1" fillId="0" borderId="10" xfId="3" applyNumberFormat="1" applyBorder="1"/>
    <xf numFmtId="3" fontId="1" fillId="0" borderId="15" xfId="3" applyNumberFormat="1" applyBorder="1"/>
    <xf numFmtId="0" fontId="9" fillId="2" borderId="0" xfId="0" applyFont="1" applyFill="1"/>
    <xf numFmtId="0" fontId="0" fillId="2" borderId="0" xfId="0" applyFill="1"/>
    <xf numFmtId="14" fontId="0" fillId="2" borderId="0" xfId="0" applyNumberFormat="1" applyFill="1"/>
    <xf numFmtId="0" fontId="2" fillId="2" borderId="0" xfId="0" applyFont="1" applyFill="1"/>
    <xf numFmtId="165" fontId="0" fillId="0" borderId="0" xfId="8" applyNumberFormat="1" applyFont="1"/>
    <xf numFmtId="165" fontId="0" fillId="13" borderId="0" xfId="8" applyNumberFormat="1" applyFont="1" applyFill="1"/>
    <xf numFmtId="165" fontId="0" fillId="14" borderId="0" xfId="8" applyNumberFormat="1" applyFont="1" applyFill="1"/>
    <xf numFmtId="165" fontId="2" fillId="12" borderId="14" xfId="8" applyNumberFormat="1" applyFont="1" applyFill="1" applyBorder="1"/>
    <xf numFmtId="165" fontId="0" fillId="14" borderId="14" xfId="8" applyNumberFormat="1" applyFont="1" applyFill="1" applyBorder="1"/>
    <xf numFmtId="165" fontId="0" fillId="0" borderId="0" xfId="0" applyNumberFormat="1"/>
    <xf numFmtId="0" fontId="2" fillId="0" borderId="0" xfId="0" applyFont="1" applyAlignment="1">
      <alignment horizontal="center"/>
    </xf>
    <xf numFmtId="9" fontId="0" fillId="0" borderId="0" xfId="1" applyFont="1"/>
    <xf numFmtId="10" fontId="0" fillId="0" borderId="0" xfId="0" applyNumberFormat="1"/>
    <xf numFmtId="9" fontId="0" fillId="0" borderId="0" xfId="0" applyNumberFormat="1"/>
    <xf numFmtId="0" fontId="9" fillId="3" borderId="28" xfId="3" applyFont="1" applyFill="1" applyBorder="1" applyAlignment="1">
      <alignment horizontal="center" vertical="center" wrapText="1"/>
    </xf>
    <xf numFmtId="0" fontId="2" fillId="3" borderId="29" xfId="3" applyFont="1" applyFill="1" applyBorder="1" applyAlignment="1">
      <alignment horizontal="center"/>
    </xf>
    <xf numFmtId="0" fontId="2" fillId="3" borderId="30" xfId="3" applyFont="1" applyFill="1" applyBorder="1" applyAlignment="1">
      <alignment horizontal="center"/>
    </xf>
    <xf numFmtId="0" fontId="2" fillId="3" borderId="31" xfId="3" applyFont="1" applyFill="1" applyBorder="1" applyAlignment="1">
      <alignment horizontal="center"/>
    </xf>
    <xf numFmtId="0" fontId="9" fillId="2" borderId="28" xfId="3" applyFont="1" applyFill="1" applyBorder="1" applyAlignment="1">
      <alignment horizontal="center" vertical="center" wrapText="1"/>
    </xf>
    <xf numFmtId="0" fontId="2" fillId="0" borderId="29" xfId="3" applyFont="1" applyBorder="1" applyAlignment="1">
      <alignment horizontal="center"/>
    </xf>
    <xf numFmtId="0" fontId="2" fillId="0" borderId="30" xfId="3" applyFont="1" applyBorder="1" applyAlignment="1">
      <alignment horizontal="center"/>
    </xf>
    <xf numFmtId="0" fontId="2" fillId="0" borderId="31" xfId="3" applyFont="1" applyBorder="1" applyAlignment="1">
      <alignment horizontal="center"/>
    </xf>
    <xf numFmtId="0" fontId="1" fillId="0" borderId="12" xfId="3" applyBorder="1"/>
    <xf numFmtId="9" fontId="1" fillId="6" borderId="14" xfId="4" applyFont="1" applyFill="1" applyBorder="1" applyAlignment="1">
      <alignment horizontal="center"/>
    </xf>
    <xf numFmtId="9" fontId="1" fillId="6" borderId="0" xfId="4" applyFont="1" applyFill="1" applyBorder="1" applyAlignment="1">
      <alignment horizontal="center"/>
    </xf>
    <xf numFmtId="9" fontId="1" fillId="8" borderId="0" xfId="4" applyFont="1" applyFill="1" applyBorder="1" applyAlignment="1">
      <alignment horizontal="center"/>
    </xf>
    <xf numFmtId="9" fontId="1" fillId="8" borderId="15" xfId="4" applyFont="1" applyFill="1" applyBorder="1" applyAlignment="1">
      <alignment horizontal="center"/>
    </xf>
    <xf numFmtId="10" fontId="1" fillId="6" borderId="14" xfId="4" applyNumberFormat="1" applyFont="1" applyFill="1" applyBorder="1" applyAlignment="1">
      <alignment horizontal="center"/>
    </xf>
    <xf numFmtId="10" fontId="1" fillId="6" borderId="0" xfId="4" applyNumberFormat="1" applyFont="1" applyFill="1" applyBorder="1" applyAlignment="1">
      <alignment horizontal="center"/>
    </xf>
    <xf numFmtId="10" fontId="1" fillId="8" borderId="0" xfId="4" applyNumberFormat="1" applyFont="1" applyFill="1" applyBorder="1" applyAlignment="1">
      <alignment horizontal="center"/>
    </xf>
    <xf numFmtId="164" fontId="1" fillId="8" borderId="0" xfId="4" applyNumberFormat="1" applyFont="1" applyFill="1" applyBorder="1" applyAlignment="1">
      <alignment horizontal="center"/>
    </xf>
    <xf numFmtId="164" fontId="1" fillId="8" borderId="15" xfId="4" applyNumberFormat="1" applyFont="1" applyFill="1" applyBorder="1" applyAlignment="1">
      <alignment horizontal="center"/>
    </xf>
    <xf numFmtId="0" fontId="1" fillId="2" borderId="12" xfId="3" applyFill="1" applyBorder="1"/>
    <xf numFmtId="10" fontId="1" fillId="8" borderId="15" xfId="4" applyNumberFormat="1" applyFont="1" applyFill="1" applyBorder="1" applyAlignment="1">
      <alignment horizontal="center"/>
    </xf>
    <xf numFmtId="43" fontId="1" fillId="6" borderId="14" xfId="7" applyFont="1" applyFill="1" applyBorder="1" applyAlignment="1">
      <alignment horizontal="left"/>
    </xf>
    <xf numFmtId="43" fontId="1" fillId="6" borderId="0" xfId="7" applyFont="1" applyFill="1" applyBorder="1" applyAlignment="1">
      <alignment horizontal="left"/>
    </xf>
    <xf numFmtId="43" fontId="1" fillId="8" borderId="0" xfId="7" applyFont="1" applyFill="1" applyBorder="1" applyAlignment="1">
      <alignment horizontal="left"/>
    </xf>
    <xf numFmtId="43" fontId="1" fillId="8" borderId="15" xfId="7" applyFont="1" applyFill="1" applyBorder="1" applyAlignment="1">
      <alignment horizontal="left"/>
    </xf>
    <xf numFmtId="0" fontId="1" fillId="2" borderId="12" xfId="3" applyFill="1" applyBorder="1" applyAlignment="1">
      <alignment vertical="center" wrapText="1"/>
    </xf>
    <xf numFmtId="0" fontId="8" fillId="2" borderId="12" xfId="3" applyFont="1" applyFill="1" applyBorder="1"/>
    <xf numFmtId="0" fontId="2" fillId="0" borderId="14" xfId="3" applyFont="1" applyBorder="1" applyAlignment="1">
      <alignment horizontal="center"/>
    </xf>
    <xf numFmtId="0" fontId="2" fillId="0" borderId="0" xfId="3" applyFont="1" applyAlignment="1">
      <alignment horizontal="center"/>
    </xf>
    <xf numFmtId="0" fontId="2" fillId="0" borderId="15" xfId="3" applyFont="1" applyBorder="1" applyAlignment="1">
      <alignment horizontal="center"/>
    </xf>
    <xf numFmtId="0" fontId="1" fillId="0" borderId="28" xfId="3" applyBorder="1"/>
    <xf numFmtId="0" fontId="1" fillId="6" borderId="14" xfId="3" applyFill="1" applyBorder="1" applyAlignment="1">
      <alignment horizontal="center"/>
    </xf>
    <xf numFmtId="0" fontId="1" fillId="6" borderId="0" xfId="3" applyFill="1" applyAlignment="1">
      <alignment horizontal="center"/>
    </xf>
    <xf numFmtId="167" fontId="1" fillId="8" borderId="0" xfId="3" applyNumberFormat="1" applyFill="1" applyAlignment="1">
      <alignment horizontal="center"/>
    </xf>
    <xf numFmtId="167" fontId="1" fillId="8" borderId="15" xfId="3" applyNumberFormat="1" applyFill="1" applyBorder="1" applyAlignment="1">
      <alignment horizontal="center"/>
    </xf>
    <xf numFmtId="0" fontId="2" fillId="6" borderId="14" xfId="3" applyFont="1" applyFill="1" applyBorder="1" applyAlignment="1">
      <alignment horizontal="center"/>
    </xf>
    <xf numFmtId="0" fontId="11" fillId="2" borderId="12" xfId="3" applyFont="1" applyFill="1" applyBorder="1"/>
    <xf numFmtId="0" fontId="1" fillId="8" borderId="0" xfId="3" applyFill="1" applyAlignment="1">
      <alignment horizontal="center"/>
    </xf>
    <xf numFmtId="0" fontId="1" fillId="0" borderId="18" xfId="3" applyBorder="1"/>
    <xf numFmtId="0" fontId="2" fillId="0" borderId="16" xfId="3" applyFont="1" applyBorder="1" applyAlignment="1">
      <alignment horizontal="center"/>
    </xf>
    <xf numFmtId="0" fontId="2" fillId="0" borderId="23" xfId="3" applyFont="1" applyBorder="1" applyAlignment="1">
      <alignment horizontal="center"/>
    </xf>
    <xf numFmtId="0" fontId="2" fillId="0" borderId="17" xfId="3" applyFont="1" applyBorder="1" applyAlignment="1">
      <alignment horizontal="center"/>
    </xf>
    <xf numFmtId="0" fontId="2" fillId="2" borderId="29" xfId="3" applyFont="1" applyFill="1" applyBorder="1" applyAlignment="1">
      <alignment horizontal="left" vertical="center" wrapText="1"/>
    </xf>
    <xf numFmtId="0" fontId="9" fillId="2" borderId="12" xfId="3" applyFont="1" applyFill="1" applyBorder="1" applyAlignment="1">
      <alignment horizontal="center" vertical="center" wrapText="1"/>
    </xf>
    <xf numFmtId="0" fontId="1" fillId="0" borderId="12" xfId="3" applyBorder="1" applyAlignment="1">
      <alignment wrapText="1"/>
    </xf>
    <xf numFmtId="165" fontId="1" fillId="6" borderId="0" xfId="7" applyNumberFormat="1" applyFont="1" applyFill="1" applyBorder="1"/>
    <xf numFmtId="165" fontId="1" fillId="8" borderId="0" xfId="7" applyNumberFormat="1" applyFont="1" applyFill="1" applyBorder="1"/>
    <xf numFmtId="165" fontId="1" fillId="8" borderId="15" xfId="7" applyNumberFormat="1" applyFont="1" applyFill="1" applyBorder="1"/>
    <xf numFmtId="0" fontId="1" fillId="6" borderId="0" xfId="3" applyFill="1"/>
    <xf numFmtId="0" fontId="1" fillId="8" borderId="0" xfId="3" applyFill="1"/>
    <xf numFmtId="0" fontId="1" fillId="8" borderId="15" xfId="3" applyFill="1" applyBorder="1"/>
    <xf numFmtId="0" fontId="2" fillId="0" borderId="12" xfId="3" applyFont="1" applyBorder="1"/>
    <xf numFmtId="165" fontId="1" fillId="6" borderId="0" xfId="3" applyNumberFormat="1" applyFill="1"/>
    <xf numFmtId="164" fontId="1" fillId="6" borderId="0" xfId="4" applyNumberFormat="1" applyFont="1" applyFill="1" applyBorder="1"/>
    <xf numFmtId="164" fontId="1" fillId="8" borderId="0" xfId="4" applyNumberFormat="1" applyFont="1" applyFill="1" applyBorder="1"/>
    <xf numFmtId="164" fontId="1" fillId="8" borderId="15" xfId="4" applyNumberFormat="1" applyFont="1" applyFill="1" applyBorder="1"/>
    <xf numFmtId="0" fontId="1" fillId="0" borderId="18" xfId="3" applyBorder="1" applyAlignment="1">
      <alignment wrapText="1"/>
    </xf>
    <xf numFmtId="165" fontId="1" fillId="6" borderId="23" xfId="7" applyNumberFormat="1" applyFont="1" applyFill="1" applyBorder="1"/>
    <xf numFmtId="165" fontId="1" fillId="8" borderId="23" xfId="7" applyNumberFormat="1" applyFont="1" applyFill="1" applyBorder="1"/>
    <xf numFmtId="165" fontId="1" fillId="8" borderId="17" xfId="7" applyNumberFormat="1" applyFont="1" applyFill="1" applyBorder="1"/>
    <xf numFmtId="10" fontId="1" fillId="6" borderId="0" xfId="3" applyNumberFormat="1" applyFill="1"/>
    <xf numFmtId="10" fontId="1" fillId="8" borderId="0" xfId="4" applyNumberFormat="1" applyFont="1" applyFill="1" applyBorder="1"/>
    <xf numFmtId="10" fontId="1" fillId="8" borderId="15" xfId="4" applyNumberFormat="1" applyFont="1" applyFill="1" applyBorder="1"/>
    <xf numFmtId="3" fontId="1" fillId="2" borderId="0" xfId="3" applyNumberFormat="1" applyFill="1" applyAlignment="1">
      <alignment horizontal="right"/>
    </xf>
    <xf numFmtId="0" fontId="9" fillId="3" borderId="32" xfId="3" applyFont="1" applyFill="1" applyBorder="1" applyAlignment="1">
      <alignment horizontal="left" vertical="center" wrapText="1"/>
    </xf>
    <xf numFmtId="0" fontId="9" fillId="3" borderId="37" xfId="3" applyFont="1" applyFill="1" applyBorder="1" applyAlignment="1">
      <alignment horizontal="left" vertical="center" wrapText="1"/>
    </xf>
    <xf numFmtId="0" fontId="2" fillId="3" borderId="26" xfId="3" applyFont="1" applyFill="1" applyBorder="1" applyAlignment="1">
      <alignment horizontal="center" vertical="center"/>
    </xf>
    <xf numFmtId="0" fontId="2" fillId="3" borderId="27" xfId="3" applyFont="1" applyFill="1" applyBorder="1" applyAlignment="1">
      <alignment horizontal="center" vertical="center"/>
    </xf>
    <xf numFmtId="0" fontId="2" fillId="3" borderId="38" xfId="3" applyFont="1" applyFill="1" applyBorder="1" applyAlignment="1">
      <alignment horizontal="center" vertical="center"/>
    </xf>
    <xf numFmtId="0" fontId="1" fillId="2" borderId="1" xfId="3" applyFill="1" applyBorder="1"/>
    <xf numFmtId="0" fontId="1" fillId="2" borderId="2" xfId="3" applyFill="1" applyBorder="1"/>
    <xf numFmtId="7" fontId="1" fillId="2" borderId="2" xfId="3" applyNumberFormat="1" applyFill="1" applyBorder="1"/>
    <xf numFmtId="0" fontId="1" fillId="2" borderId="3" xfId="3" applyFill="1" applyBorder="1"/>
    <xf numFmtId="0" fontId="2" fillId="2" borderId="4" xfId="3" applyFont="1" applyFill="1" applyBorder="1"/>
    <xf numFmtId="7" fontId="1" fillId="2" borderId="0" xfId="3" applyNumberFormat="1" applyFill="1"/>
    <xf numFmtId="0" fontId="1" fillId="2" borderId="5" xfId="3" applyFill="1" applyBorder="1"/>
    <xf numFmtId="0" fontId="1" fillId="2" borderId="4" xfId="3" applyFill="1" applyBorder="1"/>
    <xf numFmtId="5" fontId="1" fillId="6" borderId="0" xfId="3" applyNumberFormat="1" applyFill="1"/>
    <xf numFmtId="5" fontId="1" fillId="8" borderId="0" xfId="3" applyNumberFormat="1" applyFill="1"/>
    <xf numFmtId="5" fontId="1" fillId="8" borderId="5" xfId="3" applyNumberFormat="1" applyFill="1" applyBorder="1"/>
    <xf numFmtId="5" fontId="1" fillId="2" borderId="0" xfId="3" applyNumberFormat="1" applyFill="1"/>
    <xf numFmtId="5" fontId="1" fillId="2" borderId="5" xfId="3" applyNumberFormat="1" applyFill="1" applyBorder="1"/>
    <xf numFmtId="0" fontId="2" fillId="2" borderId="20" xfId="3" applyFont="1" applyFill="1" applyBorder="1"/>
    <xf numFmtId="5" fontId="2" fillId="6" borderId="21" xfId="3" applyNumberFormat="1" applyFont="1" applyFill="1" applyBorder="1"/>
    <xf numFmtId="5" fontId="2" fillId="11" borderId="21" xfId="3" applyNumberFormat="1" applyFont="1" applyFill="1" applyBorder="1"/>
    <xf numFmtId="5" fontId="2" fillId="11" borderId="22" xfId="3" applyNumberFormat="1" applyFont="1" applyFill="1" applyBorder="1"/>
    <xf numFmtId="0" fontId="1" fillId="0" borderId="4" xfId="3" applyBorder="1"/>
    <xf numFmtId="5" fontId="2" fillId="6" borderId="0" xfId="3" applyNumberFormat="1" applyFont="1" applyFill="1"/>
    <xf numFmtId="5" fontId="2" fillId="11" borderId="0" xfId="3" applyNumberFormat="1" applyFont="1" applyFill="1"/>
    <xf numFmtId="5" fontId="2" fillId="11" borderId="5" xfId="3" applyNumberFormat="1" applyFont="1" applyFill="1" applyBorder="1"/>
    <xf numFmtId="0" fontId="1" fillId="2" borderId="20" xfId="3" applyFill="1" applyBorder="1"/>
    <xf numFmtId="0" fontId="1" fillId="2" borderId="21" xfId="3" applyFill="1" applyBorder="1"/>
    <xf numFmtId="0" fontId="1" fillId="2" borderId="22" xfId="3" applyFill="1" applyBorder="1"/>
    <xf numFmtId="171" fontId="1" fillId="6" borderId="0" xfId="3" applyNumberFormat="1" applyFill="1"/>
    <xf numFmtId="171" fontId="1" fillId="8" borderId="0" xfId="3" applyNumberFormat="1" applyFill="1"/>
    <xf numFmtId="171" fontId="1" fillId="8" borderId="5" xfId="3" applyNumberFormat="1" applyFill="1" applyBorder="1"/>
    <xf numFmtId="0" fontId="11" fillId="2" borderId="0" xfId="3" applyFont="1" applyFill="1"/>
    <xf numFmtId="172" fontId="1" fillId="2" borderId="0" xfId="3" applyNumberFormat="1" applyFill="1"/>
    <xf numFmtId="172" fontId="1" fillId="2" borderId="5" xfId="3" applyNumberFormat="1" applyFill="1" applyBorder="1"/>
    <xf numFmtId="0" fontId="2" fillId="2" borderId="0" xfId="3" applyFont="1" applyFill="1"/>
    <xf numFmtId="171" fontId="2" fillId="6" borderId="0" xfId="3" applyNumberFormat="1" applyFont="1" applyFill="1"/>
    <xf numFmtId="171" fontId="2" fillId="11" borderId="0" xfId="3" applyNumberFormat="1" applyFont="1" applyFill="1"/>
    <xf numFmtId="171" fontId="2" fillId="11" borderId="5" xfId="3" applyNumberFormat="1" applyFont="1" applyFill="1" applyBorder="1"/>
    <xf numFmtId="172" fontId="1" fillId="6" borderId="0" xfId="3" applyNumberFormat="1" applyFill="1"/>
    <xf numFmtId="172" fontId="1" fillId="8" borderId="0" xfId="3" applyNumberFormat="1" applyFill="1"/>
    <xf numFmtId="172" fontId="1" fillId="8" borderId="5" xfId="3" applyNumberFormat="1" applyFill="1" applyBorder="1"/>
    <xf numFmtId="9" fontId="0" fillId="2" borderId="4" xfId="9" applyFont="1" applyFill="1" applyBorder="1"/>
    <xf numFmtId="9" fontId="0" fillId="2" borderId="0" xfId="9" applyFont="1" applyFill="1" applyBorder="1"/>
    <xf numFmtId="1" fontId="0" fillId="2" borderId="0" xfId="9" applyNumberFormat="1" applyFont="1" applyFill="1" applyBorder="1"/>
    <xf numFmtId="1" fontId="0" fillId="2" borderId="5" xfId="9" applyNumberFormat="1" applyFont="1" applyFill="1" applyBorder="1"/>
    <xf numFmtId="5" fontId="1" fillId="15" borderId="0" xfId="3" applyNumberFormat="1" applyFill="1"/>
    <xf numFmtId="5" fontId="1" fillId="15" borderId="5" xfId="3" applyNumberFormat="1" applyFill="1" applyBorder="1"/>
    <xf numFmtId="0" fontId="2" fillId="0" borderId="0" xfId="3" applyFont="1" applyFill="1" applyBorder="1"/>
    <xf numFmtId="0" fontId="2" fillId="3" borderId="39" xfId="3" applyFont="1" applyFill="1" applyBorder="1" applyProtection="1">
      <protection locked="0"/>
    </xf>
    <xf numFmtId="0" fontId="1" fillId="3" borderId="41" xfId="3" applyFill="1" applyBorder="1" applyProtection="1">
      <protection locked="0"/>
    </xf>
    <xf numFmtId="0" fontId="2" fillId="3" borderId="19" xfId="3" applyFont="1" applyFill="1" applyBorder="1" applyAlignment="1" applyProtection="1">
      <alignment horizontal="center"/>
      <protection locked="0"/>
    </xf>
    <xf numFmtId="0" fontId="2" fillId="3" borderId="26" xfId="3" applyFont="1" applyFill="1" applyBorder="1" applyAlignment="1" applyProtection="1">
      <alignment horizontal="center" vertical="center"/>
      <protection locked="0"/>
    </xf>
    <xf numFmtId="0" fontId="2" fillId="3" borderId="19" xfId="3" applyFont="1" applyFill="1" applyBorder="1" applyAlignment="1" applyProtection="1">
      <alignment horizontal="center" vertical="center"/>
      <protection locked="0"/>
    </xf>
    <xf numFmtId="0" fontId="2" fillId="3" borderId="42" xfId="3" applyFont="1" applyFill="1" applyBorder="1" applyAlignment="1" applyProtection="1">
      <alignment horizontal="center" vertical="center"/>
      <protection locked="0"/>
    </xf>
    <xf numFmtId="0" fontId="2" fillId="2" borderId="43" xfId="3" applyFont="1" applyFill="1" applyBorder="1" applyProtection="1">
      <protection locked="0"/>
    </xf>
    <xf numFmtId="0" fontId="1" fillId="2" borderId="28" xfId="3" applyFill="1" applyBorder="1" applyAlignment="1" applyProtection="1">
      <alignment horizontal="center"/>
      <protection locked="0"/>
    </xf>
    <xf numFmtId="0" fontId="1" fillId="2" borderId="0" xfId="3" applyFill="1" applyAlignment="1" applyProtection="1">
      <alignment horizontal="center"/>
      <protection locked="0"/>
    </xf>
    <xf numFmtId="0" fontId="1" fillId="2" borderId="5" xfId="3" applyFill="1" applyBorder="1" applyAlignment="1" applyProtection="1">
      <alignment horizontal="center"/>
      <protection locked="0"/>
    </xf>
    <xf numFmtId="0" fontId="2" fillId="2" borderId="4" xfId="3" applyFont="1" applyFill="1" applyBorder="1" applyProtection="1">
      <protection locked="0"/>
    </xf>
    <xf numFmtId="0" fontId="1" fillId="2" borderId="12" xfId="3" applyFill="1" applyBorder="1" applyProtection="1">
      <protection locked="0"/>
    </xf>
    <xf numFmtId="0" fontId="1" fillId="2" borderId="5" xfId="3" applyFill="1" applyBorder="1" applyProtection="1">
      <protection locked="0"/>
    </xf>
    <xf numFmtId="0" fontId="1" fillId="2" borderId="4" xfId="3" applyFill="1" applyBorder="1" applyProtection="1">
      <protection locked="0"/>
    </xf>
    <xf numFmtId="173" fontId="0" fillId="6" borderId="0" xfId="10" applyNumberFormat="1" applyFont="1" applyFill="1" applyBorder="1" applyProtection="1"/>
    <xf numFmtId="173" fontId="0" fillId="8" borderId="0" xfId="10" applyNumberFormat="1" applyFont="1" applyFill="1" applyBorder="1" applyProtection="1">
      <protection locked="0"/>
    </xf>
    <xf numFmtId="173" fontId="0" fillId="8" borderId="5" xfId="10" applyNumberFormat="1" applyFont="1" applyFill="1" applyBorder="1" applyProtection="1">
      <protection locked="0"/>
    </xf>
    <xf numFmtId="0" fontId="12" fillId="2" borderId="4" xfId="3" applyFont="1" applyFill="1" applyBorder="1" applyProtection="1">
      <protection locked="0"/>
    </xf>
    <xf numFmtId="173" fontId="0" fillId="2" borderId="0" xfId="10" applyNumberFormat="1" applyFont="1" applyFill="1" applyBorder="1" applyProtection="1"/>
    <xf numFmtId="173" fontId="0" fillId="2" borderId="0" xfId="10" applyNumberFormat="1" applyFont="1" applyFill="1" applyBorder="1" applyProtection="1">
      <protection locked="0"/>
    </xf>
    <xf numFmtId="173" fontId="0" fillId="2" borderId="5" xfId="10" applyNumberFormat="1" applyFont="1" applyFill="1" applyBorder="1" applyProtection="1">
      <protection locked="0"/>
    </xf>
    <xf numFmtId="173" fontId="0" fillId="16" borderId="25" xfId="10" applyNumberFormat="1" applyFont="1" applyFill="1" applyBorder="1" applyProtection="1"/>
    <xf numFmtId="173" fontId="0" fillId="16" borderId="25" xfId="10" applyNumberFormat="1" applyFont="1" applyFill="1" applyBorder="1" applyProtection="1">
      <protection locked="0"/>
    </xf>
    <xf numFmtId="173" fontId="0" fillId="16" borderId="44" xfId="10" applyNumberFormat="1" applyFont="1" applyFill="1" applyBorder="1" applyProtection="1">
      <protection locked="0"/>
    </xf>
    <xf numFmtId="173" fontId="1" fillId="2" borderId="0" xfId="3" applyNumberFormat="1" applyFill="1" applyProtection="1">
      <protection locked="0"/>
    </xf>
    <xf numFmtId="0" fontId="1" fillId="2" borderId="20" xfId="3" applyFill="1" applyBorder="1" applyProtection="1">
      <protection locked="0"/>
    </xf>
    <xf numFmtId="0" fontId="1" fillId="2" borderId="18" xfId="3" applyFill="1" applyBorder="1" applyProtection="1">
      <protection locked="0"/>
    </xf>
    <xf numFmtId="41" fontId="0" fillId="2" borderId="21" xfId="10" applyNumberFormat="1" applyFont="1" applyFill="1" applyBorder="1" applyProtection="1"/>
    <xf numFmtId="41" fontId="0" fillId="2" borderId="21" xfId="10" applyNumberFormat="1" applyFont="1" applyFill="1" applyBorder="1" applyProtection="1">
      <protection locked="0"/>
    </xf>
    <xf numFmtId="41" fontId="0" fillId="2" borderId="22" xfId="10" applyNumberFormat="1" applyFont="1" applyFill="1" applyBorder="1" applyProtection="1">
      <protection locked="0"/>
    </xf>
    <xf numFmtId="173" fontId="1" fillId="2" borderId="0" xfId="3" applyNumberFormat="1" applyFill="1"/>
    <xf numFmtId="1" fontId="1" fillId="2" borderId="0" xfId="3" applyNumberFormat="1" applyFill="1" applyProtection="1">
      <protection locked="0"/>
    </xf>
    <xf numFmtId="1" fontId="1" fillId="2" borderId="0" xfId="3" applyNumberFormat="1" applyFill="1"/>
    <xf numFmtId="1" fontId="1" fillId="0" borderId="0" xfId="3" applyNumberFormat="1"/>
    <xf numFmtId="0" fontId="0" fillId="0" borderId="0" xfId="0" applyFont="1"/>
    <xf numFmtId="14" fontId="0" fillId="0" borderId="0" xfId="0" applyNumberFormat="1"/>
    <xf numFmtId="164" fontId="0" fillId="0" borderId="0" xfId="1" applyNumberFormat="1" applyFont="1"/>
    <xf numFmtId="174" fontId="0" fillId="0" borderId="0" xfId="1" applyNumberFormat="1" applyFont="1"/>
    <xf numFmtId="43" fontId="0" fillId="0" borderId="0" xfId="0" applyNumberFormat="1"/>
    <xf numFmtId="1" fontId="0" fillId="2" borderId="0" xfId="0" applyNumberFormat="1" applyFill="1"/>
    <xf numFmtId="0" fontId="2" fillId="0" borderId="0" xfId="0" applyFont="1" applyAlignment="1">
      <alignment horizontal="right"/>
    </xf>
    <xf numFmtId="14" fontId="2" fillId="0" borderId="0" xfId="0" applyNumberFormat="1" applyFont="1" applyAlignment="1">
      <alignment horizontal="right"/>
    </xf>
    <xf numFmtId="0" fontId="0" fillId="0" borderId="0" xfId="0" applyBorder="1"/>
    <xf numFmtId="1" fontId="0" fillId="0" borderId="0" xfId="0" applyNumberFormat="1" applyFont="1" applyBorder="1"/>
    <xf numFmtId="0" fontId="0" fillId="0" borderId="0" xfId="0" applyAlignment="1">
      <alignment horizontal="right"/>
    </xf>
    <xf numFmtId="0" fontId="1" fillId="0" borderId="0" xfId="3" applyBorder="1"/>
    <xf numFmtId="0" fontId="0" fillId="2" borderId="0" xfId="0" applyFont="1" applyFill="1"/>
    <xf numFmtId="0" fontId="2" fillId="2" borderId="0" xfId="0" applyFont="1" applyFill="1" applyAlignment="1">
      <alignment horizontal="center"/>
    </xf>
    <xf numFmtId="169" fontId="0" fillId="2" borderId="0" xfId="0" applyNumberFormat="1" applyFill="1"/>
    <xf numFmtId="0" fontId="2" fillId="0" borderId="0" xfId="0" applyFont="1" applyBorder="1"/>
    <xf numFmtId="0" fontId="2" fillId="2" borderId="0" xfId="0" applyFont="1" applyFill="1" applyAlignment="1">
      <alignment horizontal="right"/>
    </xf>
    <xf numFmtId="14" fontId="0" fillId="2" borderId="0" xfId="0" applyNumberFormat="1" applyFill="1" applyAlignment="1">
      <alignment horizontal="center"/>
    </xf>
    <xf numFmtId="14" fontId="0" fillId="2" borderId="0" xfId="0" applyNumberFormat="1" applyFill="1" applyAlignment="1">
      <alignment horizontal="left"/>
    </xf>
    <xf numFmtId="0" fontId="0" fillId="2" borderId="0" xfId="0" applyFill="1" applyAlignment="1">
      <alignment horizontal="center"/>
    </xf>
    <xf numFmtId="0" fontId="0" fillId="2" borderId="0" xfId="0" applyFill="1" applyAlignment="1">
      <alignment horizontal="left"/>
    </xf>
    <xf numFmtId="17" fontId="0" fillId="2" borderId="0" xfId="0" applyNumberFormat="1" applyFill="1"/>
    <xf numFmtId="2" fontId="0" fillId="2" borderId="0" xfId="0" applyNumberFormat="1" applyFill="1"/>
    <xf numFmtId="14" fontId="2" fillId="2" borderId="0" xfId="0" applyNumberFormat="1" applyFont="1" applyFill="1" applyAlignment="1">
      <alignment horizontal="center"/>
    </xf>
    <xf numFmtId="14" fontId="2" fillId="2" borderId="0" xfId="0" applyNumberFormat="1" applyFont="1" applyFill="1"/>
    <xf numFmtId="14" fontId="2" fillId="2" borderId="0" xfId="0" applyNumberFormat="1" applyFont="1" applyFill="1" applyAlignment="1">
      <alignment horizontal="right"/>
    </xf>
    <xf numFmtId="14" fontId="0" fillId="2" borderId="0" xfId="0" applyNumberFormat="1" applyFill="1" applyAlignment="1">
      <alignment horizontal="right"/>
    </xf>
    <xf numFmtId="168" fontId="0" fillId="2" borderId="0" xfId="0" applyNumberFormat="1" applyFill="1"/>
    <xf numFmtId="170" fontId="0" fillId="2" borderId="0" xfId="0" applyNumberFormat="1" applyFill="1"/>
    <xf numFmtId="166" fontId="0" fillId="2" borderId="0" xfId="0" applyNumberFormat="1" applyFill="1"/>
    <xf numFmtId="15" fontId="2" fillId="2" borderId="0" xfId="0" applyNumberFormat="1" applyFont="1" applyFill="1" applyAlignment="1">
      <alignment horizontal="center" wrapText="1"/>
    </xf>
    <xf numFmtId="0" fontId="2" fillId="0" borderId="0" xfId="0" applyFont="1" applyBorder="1" applyAlignment="1">
      <alignment horizontal="right"/>
    </xf>
    <xf numFmtId="0" fontId="2" fillId="0" borderId="0" xfId="0" applyFont="1" applyFill="1" applyBorder="1" applyAlignment="1">
      <alignment horizontal="right"/>
    </xf>
    <xf numFmtId="0" fontId="2" fillId="0" borderId="0" xfId="0" applyFont="1" applyBorder="1" applyAlignment="1">
      <alignment horizontal="left"/>
    </xf>
    <xf numFmtId="165" fontId="2" fillId="0" borderId="0" xfId="8" applyNumberFormat="1" applyFont="1"/>
    <xf numFmtId="165" fontId="0" fillId="2" borderId="0" xfId="8" applyNumberFormat="1" applyFont="1" applyFill="1"/>
    <xf numFmtId="0" fontId="15" fillId="0" borderId="0" xfId="0" applyFont="1"/>
    <xf numFmtId="0" fontId="2" fillId="0" borderId="0" xfId="0" applyFont="1" applyBorder="1" applyAlignment="1">
      <alignment wrapText="1"/>
    </xf>
    <xf numFmtId="0" fontId="2" fillId="0" borderId="0" xfId="0" applyFont="1" applyBorder="1" applyAlignment="1">
      <alignment horizontal="right" wrapText="1"/>
    </xf>
    <xf numFmtId="10" fontId="0" fillId="0" borderId="0" xfId="1" applyNumberFormat="1" applyFont="1" applyBorder="1"/>
    <xf numFmtId="2" fontId="0" fillId="0" borderId="0" xfId="0" applyNumberFormat="1" applyBorder="1"/>
    <xf numFmtId="9" fontId="2" fillId="0" borderId="0" xfId="1" applyFont="1" applyBorder="1"/>
    <xf numFmtId="9" fontId="0" fillId="0" borderId="0" xfId="1" applyFont="1" applyBorder="1"/>
    <xf numFmtId="2" fontId="0" fillId="0" borderId="0" xfId="0" applyNumberFormat="1" applyBorder="1" applyAlignment="1">
      <alignment horizontal="center"/>
    </xf>
    <xf numFmtId="169" fontId="0" fillId="0" borderId="0" xfId="0" applyNumberFormat="1"/>
    <xf numFmtId="0" fontId="9" fillId="18" borderId="0" xfId="0" applyFont="1" applyFill="1"/>
    <xf numFmtId="0" fontId="0" fillId="18" borderId="0" xfId="0" applyFill="1"/>
    <xf numFmtId="0" fontId="16" fillId="2" borderId="0" xfId="0" applyFont="1" applyFill="1" applyAlignment="1">
      <alignment horizontal="right"/>
    </xf>
    <xf numFmtId="0" fontId="16" fillId="0" borderId="0" xfId="0" applyFont="1" applyAlignment="1">
      <alignment horizontal="right"/>
    </xf>
    <xf numFmtId="168" fontId="0" fillId="2" borderId="0" xfId="0" applyNumberFormat="1" applyFill="1" applyAlignment="1">
      <alignment horizontal="center"/>
    </xf>
    <xf numFmtId="0" fontId="13" fillId="19" borderId="0" xfId="0" applyFont="1" applyFill="1"/>
    <xf numFmtId="0" fontId="16" fillId="0" borderId="0" xfId="0" applyFont="1"/>
    <xf numFmtId="43" fontId="0" fillId="0" borderId="0" xfId="8" applyFont="1"/>
    <xf numFmtId="165" fontId="0" fillId="2" borderId="0" xfId="8" applyNumberFormat="1" applyFont="1" applyFill="1" applyBorder="1"/>
    <xf numFmtId="0" fontId="2" fillId="0" borderId="14" xfId="0" applyFont="1" applyBorder="1" applyAlignment="1">
      <alignment horizontal="right"/>
    </xf>
    <xf numFmtId="165" fontId="2" fillId="13" borderId="0" xfId="8" applyNumberFormat="1" applyFont="1" applyFill="1" applyAlignment="1">
      <alignment horizontal="right"/>
    </xf>
    <xf numFmtId="165" fontId="2" fillId="14" borderId="0" xfId="8" applyNumberFormat="1" applyFont="1" applyFill="1" applyAlignment="1">
      <alignment horizontal="right"/>
    </xf>
    <xf numFmtId="0" fontId="0" fillId="2" borderId="0" xfId="0" applyFill="1" applyBorder="1"/>
    <xf numFmtId="0" fontId="16" fillId="2" borderId="0" xfId="0" applyFont="1" applyFill="1"/>
    <xf numFmtId="9" fontId="0" fillId="2" borderId="0" xfId="1" applyFont="1" applyFill="1"/>
    <xf numFmtId="174" fontId="17" fillId="17" borderId="0" xfId="1" applyNumberFormat="1" applyFont="1" applyFill="1"/>
    <xf numFmtId="164" fontId="0" fillId="0" borderId="0" xfId="0" applyNumberFormat="1"/>
    <xf numFmtId="174" fontId="0" fillId="2" borderId="0" xfId="1" applyNumberFormat="1" applyFont="1" applyFill="1"/>
    <xf numFmtId="175" fontId="0" fillId="0" borderId="0" xfId="0" applyNumberFormat="1"/>
    <xf numFmtId="165" fontId="2" fillId="20" borderId="0" xfId="8" applyNumberFormat="1" applyFont="1" applyFill="1" applyAlignment="1">
      <alignment horizontal="right"/>
    </xf>
    <xf numFmtId="165" fontId="0" fillId="20" borderId="0" xfId="8" applyNumberFormat="1" applyFont="1" applyFill="1"/>
    <xf numFmtId="165" fontId="2" fillId="20" borderId="0" xfId="8" applyNumberFormat="1" applyFont="1" applyFill="1"/>
    <xf numFmtId="165" fontId="0" fillId="20" borderId="14" xfId="8" applyNumberFormat="1" applyFont="1" applyFill="1" applyBorder="1"/>
    <xf numFmtId="0" fontId="2" fillId="20" borderId="0" xfId="0" applyFont="1" applyFill="1" applyAlignment="1">
      <alignment horizontal="right"/>
    </xf>
    <xf numFmtId="0" fontId="2" fillId="20" borderId="0" xfId="0" applyFont="1" applyFill="1" applyBorder="1" applyAlignment="1">
      <alignment horizontal="right"/>
    </xf>
    <xf numFmtId="165" fontId="0" fillId="20" borderId="0" xfId="0" applyNumberFormat="1" applyFill="1"/>
    <xf numFmtId="0" fontId="2" fillId="13" borderId="0" xfId="0" applyFont="1" applyFill="1" applyAlignment="1">
      <alignment horizontal="right"/>
    </xf>
    <xf numFmtId="165" fontId="0" fillId="13" borderId="0" xfId="0" applyNumberFormat="1" applyFill="1"/>
    <xf numFmtId="0" fontId="2" fillId="14" borderId="0" xfId="0" applyFont="1" applyFill="1" applyBorder="1" applyAlignment="1">
      <alignment horizontal="right"/>
    </xf>
    <xf numFmtId="0" fontId="2" fillId="14" borderId="0" xfId="0" applyFont="1" applyFill="1" applyAlignment="1">
      <alignment horizontal="right"/>
    </xf>
    <xf numFmtId="165" fontId="0" fillId="14" borderId="0" xfId="0" applyNumberFormat="1" applyFill="1"/>
    <xf numFmtId="0" fontId="2" fillId="14" borderId="14" xfId="0" applyFont="1" applyFill="1" applyBorder="1" applyAlignment="1">
      <alignment horizontal="right"/>
    </xf>
    <xf numFmtId="0" fontId="0" fillId="0" borderId="0" xfId="0"/>
    <xf numFmtId="0" fontId="0" fillId="2" borderId="0" xfId="0" applyFill="1"/>
    <xf numFmtId="0" fontId="0" fillId="0" borderId="19" xfId="0" applyBorder="1"/>
    <xf numFmtId="0" fontId="2" fillId="2" borderId="19" xfId="0" applyFont="1" applyFill="1" applyBorder="1" applyAlignment="1">
      <alignment horizontal="right"/>
    </xf>
    <xf numFmtId="165" fontId="0" fillId="0" borderId="19" xfId="0" applyNumberFormat="1" applyBorder="1"/>
    <xf numFmtId="3" fontId="0" fillId="0" borderId="0" xfId="0" applyNumberFormat="1"/>
    <xf numFmtId="9" fontId="0" fillId="2" borderId="0" xfId="0" applyNumberFormat="1" applyFill="1"/>
    <xf numFmtId="165" fontId="2" fillId="2" borderId="0" xfId="8" applyNumberFormat="1" applyFont="1" applyFill="1" applyAlignment="1">
      <alignment horizontal="right"/>
    </xf>
    <xf numFmtId="165" fontId="1" fillId="2" borderId="14" xfId="8" applyNumberFormat="1" applyFont="1" applyFill="1" applyBorder="1"/>
    <xf numFmtId="169" fontId="0" fillId="2" borderId="0" xfId="8" applyNumberFormat="1" applyFont="1" applyFill="1"/>
    <xf numFmtId="9" fontId="0" fillId="17" borderId="0" xfId="1" applyFont="1" applyFill="1"/>
    <xf numFmtId="10" fontId="0" fillId="17" borderId="0" xfId="1" applyNumberFormat="1" applyFont="1" applyFill="1"/>
    <xf numFmtId="2" fontId="0" fillId="17" borderId="0" xfId="0" applyNumberFormat="1" applyFill="1"/>
    <xf numFmtId="10" fontId="0" fillId="17" borderId="0" xfId="0" applyNumberFormat="1" applyFill="1"/>
    <xf numFmtId="0" fontId="2" fillId="3" borderId="19" xfId="3" applyFont="1" applyFill="1" applyBorder="1" applyAlignment="1">
      <alignment horizontal="center"/>
    </xf>
    <xf numFmtId="9" fontId="0" fillId="0" borderId="0" xfId="1" applyNumberFormat="1" applyFont="1"/>
    <xf numFmtId="0" fontId="10" fillId="18" borderId="0" xfId="0" applyFont="1" applyFill="1"/>
    <xf numFmtId="165" fontId="2" fillId="0" borderId="0" xfId="0" applyNumberFormat="1" applyFont="1"/>
    <xf numFmtId="0" fontId="2" fillId="2" borderId="0" xfId="0" applyFont="1" applyFill="1" applyAlignment="1">
      <alignment horizontal="center"/>
    </xf>
    <xf numFmtId="165" fontId="0" fillId="0" borderId="0" xfId="0" applyNumberFormat="1" applyFont="1" applyAlignment="1">
      <alignment horizontal="right"/>
    </xf>
    <xf numFmtId="0" fontId="2" fillId="3" borderId="39" xfId="3" applyFont="1" applyFill="1" applyBorder="1"/>
    <xf numFmtId="0" fontId="1" fillId="3" borderId="41" xfId="3" applyFill="1" applyBorder="1"/>
    <xf numFmtId="0" fontId="2" fillId="3" borderId="19" xfId="3" applyFont="1" applyFill="1" applyBorder="1" applyAlignment="1">
      <alignment horizontal="center" vertical="center"/>
    </xf>
    <xf numFmtId="0" fontId="2" fillId="3" borderId="61" xfId="3" applyFont="1" applyFill="1" applyBorder="1" applyAlignment="1">
      <alignment horizontal="center" vertical="center"/>
    </xf>
    <xf numFmtId="0" fontId="2" fillId="2" borderId="43" xfId="3" applyFont="1" applyFill="1" applyBorder="1"/>
    <xf numFmtId="0" fontId="1" fillId="2" borderId="28" xfId="3" applyFill="1" applyBorder="1" applyAlignment="1">
      <alignment horizontal="center"/>
    </xf>
    <xf numFmtId="0" fontId="1" fillId="2" borderId="0" xfId="3" applyFill="1" applyAlignment="1">
      <alignment horizontal="center"/>
    </xf>
    <xf numFmtId="0" fontId="1" fillId="2" borderId="5" xfId="3" applyFill="1" applyBorder="1" applyAlignment="1">
      <alignment horizontal="center"/>
    </xf>
    <xf numFmtId="173" fontId="0" fillId="6" borderId="0" xfId="10" applyNumberFormat="1" applyFont="1" applyFill="1" applyBorder="1"/>
    <xf numFmtId="173" fontId="0" fillId="8" borderId="0" xfId="10" applyNumberFormat="1" applyFont="1" applyFill="1" applyBorder="1"/>
    <xf numFmtId="173" fontId="0" fillId="8" borderId="5" xfId="10" applyNumberFormat="1" applyFont="1" applyFill="1" applyBorder="1"/>
    <xf numFmtId="173" fontId="0" fillId="2" borderId="0" xfId="10" applyNumberFormat="1" applyFont="1" applyFill="1" applyBorder="1"/>
    <xf numFmtId="173" fontId="0" fillId="2" borderId="5" xfId="10" applyNumberFormat="1" applyFont="1" applyFill="1" applyBorder="1"/>
    <xf numFmtId="173" fontId="0" fillId="16" borderId="25" xfId="10" applyNumberFormat="1" applyFont="1" applyFill="1" applyBorder="1"/>
    <xf numFmtId="173" fontId="0" fillId="16" borderId="44" xfId="10" applyNumberFormat="1" applyFont="1" applyFill="1" applyBorder="1"/>
    <xf numFmtId="0" fontId="1" fillId="2" borderId="18" xfId="3" applyFill="1" applyBorder="1"/>
    <xf numFmtId="41" fontId="0" fillId="2" borderId="21" xfId="10" applyNumberFormat="1" applyFont="1" applyFill="1" applyBorder="1"/>
    <xf numFmtId="41" fontId="0" fillId="2" borderId="22" xfId="10" applyNumberFormat="1" applyFont="1" applyFill="1" applyBorder="1"/>
    <xf numFmtId="0" fontId="9" fillId="0" borderId="0" xfId="0" applyFont="1"/>
    <xf numFmtId="165" fontId="0" fillId="0" borderId="0" xfId="0" applyNumberFormat="1" applyFont="1"/>
    <xf numFmtId="37" fontId="75" fillId="0" borderId="0" xfId="325"/>
    <xf numFmtId="37" fontId="5" fillId="0" borderId="0" xfId="325" applyFont="1"/>
    <xf numFmtId="37" fontId="4" fillId="0" borderId="0" xfId="325" applyFont="1"/>
    <xf numFmtId="37" fontId="4" fillId="0" borderId="0" xfId="325" applyFont="1" applyAlignment="1">
      <alignment horizontal="right"/>
    </xf>
    <xf numFmtId="37" fontId="5" fillId="0" borderId="0" xfId="325" applyFont="1" applyAlignment="1">
      <alignment horizontal="right"/>
    </xf>
    <xf numFmtId="39" fontId="4" fillId="0" borderId="0" xfId="325" applyNumberFormat="1" applyFont="1" applyAlignment="1">
      <alignment horizontal="right"/>
    </xf>
    <xf numFmtId="37" fontId="5" fillId="0" borderId="0" xfId="325" quotePrefix="1" applyFont="1"/>
    <xf numFmtId="37" fontId="76" fillId="0" borderId="0" xfId="325" applyFont="1"/>
    <xf numFmtId="37" fontId="5" fillId="0" borderId="0" xfId="325" applyFont="1" applyAlignment="1">
      <alignment horizontal="right" wrapText="1"/>
    </xf>
    <xf numFmtId="37" fontId="5" fillId="0" borderId="0" xfId="325" applyFont="1" applyAlignment="1">
      <alignment wrapText="1"/>
    </xf>
    <xf numFmtId="187" fontId="5" fillId="0" borderId="0" xfId="325" quotePrefix="1" applyNumberFormat="1" applyFont="1" applyAlignment="1">
      <alignment horizontal="right" wrapText="1"/>
    </xf>
    <xf numFmtId="37" fontId="4" fillId="62" borderId="0" xfId="325" applyFont="1" applyFill="1" applyAlignment="1">
      <alignment horizontal="right"/>
    </xf>
    <xf numFmtId="14" fontId="4" fillId="62" borderId="0" xfId="325" applyNumberFormat="1" applyFont="1" applyFill="1" applyAlignment="1">
      <alignment horizontal="right"/>
    </xf>
    <xf numFmtId="14" fontId="4" fillId="62" borderId="0" xfId="325" applyNumberFormat="1" applyFont="1" applyFill="1"/>
    <xf numFmtId="37" fontId="5" fillId="62" borderId="0" xfId="325" applyFont="1" applyFill="1" applyAlignment="1">
      <alignment horizontal="right"/>
    </xf>
    <xf numFmtId="39" fontId="4" fillId="62" borderId="0" xfId="325" applyNumberFormat="1" applyFont="1" applyFill="1" applyAlignment="1">
      <alignment horizontal="right"/>
    </xf>
    <xf numFmtId="37" fontId="4" fillId="18" borderId="0" xfId="325" applyFont="1" applyFill="1" applyAlignment="1">
      <alignment horizontal="right"/>
    </xf>
    <xf numFmtId="14" fontId="4" fillId="18" borderId="0" xfId="325" applyNumberFormat="1" applyFont="1" applyFill="1" applyAlignment="1">
      <alignment horizontal="right"/>
    </xf>
    <xf numFmtId="14" fontId="4" fillId="18" borderId="0" xfId="325" applyNumberFormat="1" applyFont="1" applyFill="1" applyAlignment="1">
      <alignment horizontal="left"/>
    </xf>
    <xf numFmtId="37" fontId="5" fillId="18" borderId="0" xfId="325" applyFont="1" applyFill="1" applyAlignment="1">
      <alignment horizontal="right"/>
    </xf>
    <xf numFmtId="39" fontId="4" fillId="18" borderId="0" xfId="325" applyNumberFormat="1" applyFont="1" applyFill="1" applyAlignment="1">
      <alignment horizontal="right"/>
    </xf>
    <xf numFmtId="14" fontId="4" fillId="18" borderId="0" xfId="325" applyNumberFormat="1" applyFont="1" applyFill="1"/>
    <xf numFmtId="37" fontId="4" fillId="63" borderId="0" xfId="325" applyFont="1" applyFill="1" applyAlignment="1">
      <alignment horizontal="right"/>
    </xf>
    <xf numFmtId="14" fontId="4" fillId="63" borderId="0" xfId="325" applyNumberFormat="1" applyFont="1" applyFill="1" applyAlignment="1">
      <alignment horizontal="right"/>
    </xf>
    <xf numFmtId="14" fontId="4" fillId="63" borderId="0" xfId="325" applyNumberFormat="1" applyFont="1" applyFill="1"/>
    <xf numFmtId="37" fontId="5" fillId="63" borderId="0" xfId="325" applyFont="1" applyFill="1" applyAlignment="1">
      <alignment horizontal="right"/>
    </xf>
    <xf numFmtId="39" fontId="4" fillId="63" borderId="0" xfId="325" applyNumberFormat="1" applyFont="1" applyFill="1" applyAlignment="1">
      <alignment horizontal="right"/>
    </xf>
    <xf numFmtId="37" fontId="4" fillId="15" borderId="0" xfId="325" applyFont="1" applyFill="1" applyAlignment="1">
      <alignment horizontal="right"/>
    </xf>
    <xf numFmtId="14" fontId="4" fillId="15" borderId="0" xfId="325" applyNumberFormat="1" applyFont="1" applyFill="1" applyAlignment="1">
      <alignment horizontal="right"/>
    </xf>
    <xf numFmtId="14" fontId="4" fillId="15" borderId="0" xfId="325" applyNumberFormat="1" applyFont="1" applyFill="1"/>
    <xf numFmtId="37" fontId="5" fillId="15" borderId="0" xfId="325" applyFont="1" applyFill="1" applyAlignment="1">
      <alignment horizontal="right"/>
    </xf>
    <xf numFmtId="39" fontId="4" fillId="15" borderId="0" xfId="325" applyNumberFormat="1" applyFont="1" applyFill="1" applyAlignment="1">
      <alignment horizontal="right"/>
    </xf>
    <xf numFmtId="37" fontId="4" fillId="64" borderId="0" xfId="325" applyFont="1" applyFill="1" applyAlignment="1">
      <alignment horizontal="right"/>
    </xf>
    <xf numFmtId="14" fontId="4" fillId="64" borderId="0" xfId="325" applyNumberFormat="1" applyFont="1" applyFill="1" applyAlignment="1">
      <alignment horizontal="right"/>
    </xf>
    <xf numFmtId="14" fontId="4" fillId="64" borderId="0" xfId="325" applyNumberFormat="1" applyFont="1" applyFill="1"/>
    <xf numFmtId="37" fontId="5" fillId="64" borderId="0" xfId="325" applyFont="1" applyFill="1" applyAlignment="1">
      <alignment horizontal="right"/>
    </xf>
    <xf numFmtId="39" fontId="4" fillId="64" borderId="0" xfId="325" applyNumberFormat="1" applyFont="1" applyFill="1" applyAlignment="1">
      <alignment horizontal="right"/>
    </xf>
    <xf numFmtId="39" fontId="4" fillId="65" borderId="0" xfId="325" applyNumberFormat="1" applyFont="1" applyFill="1" applyAlignment="1">
      <alignment horizontal="right"/>
    </xf>
    <xf numFmtId="37" fontId="4" fillId="64" borderId="0" xfId="325" applyFont="1" applyFill="1" applyAlignment="1" applyProtection="1">
      <alignment horizontal="right"/>
      <protection locked="0"/>
    </xf>
    <xf numFmtId="14" fontId="4" fillId="64" borderId="0" xfId="325" applyNumberFormat="1" applyFont="1" applyFill="1" applyAlignment="1" applyProtection="1">
      <alignment horizontal="right"/>
      <protection locked="0"/>
    </xf>
    <xf numFmtId="14" fontId="4" fillId="64" borderId="0" xfId="325" applyNumberFormat="1" applyFont="1" applyFill="1" applyAlignment="1" applyProtection="1">
      <alignment horizontal="left"/>
      <protection locked="0"/>
    </xf>
    <xf numFmtId="37" fontId="4" fillId="66" borderId="0" xfId="325" applyFont="1" applyFill="1" applyAlignment="1">
      <alignment horizontal="right"/>
    </xf>
    <xf numFmtId="14" fontId="4" fillId="66" borderId="0" xfId="325" applyNumberFormat="1" applyFont="1" applyFill="1" applyAlignment="1">
      <alignment horizontal="right"/>
    </xf>
    <xf numFmtId="14" fontId="4" fillId="66" borderId="0" xfId="325" applyNumberFormat="1" applyFont="1" applyFill="1"/>
    <xf numFmtId="37" fontId="5" fillId="66" borderId="0" xfId="325" applyFont="1" applyFill="1" applyAlignment="1">
      <alignment horizontal="right"/>
    </xf>
    <xf numFmtId="39" fontId="4" fillId="66" borderId="0" xfId="325" applyNumberFormat="1" applyFont="1" applyFill="1" applyAlignment="1">
      <alignment horizontal="right"/>
    </xf>
    <xf numFmtId="37" fontId="4" fillId="67" borderId="0" xfId="325" applyFont="1" applyFill="1" applyAlignment="1">
      <alignment horizontal="right"/>
    </xf>
    <xf numFmtId="14" fontId="4" fillId="67" borderId="0" xfId="325" applyNumberFormat="1" applyFont="1" applyFill="1" applyAlignment="1">
      <alignment horizontal="right"/>
    </xf>
    <xf numFmtId="14" fontId="4" fillId="67" borderId="0" xfId="325" applyNumberFormat="1" applyFont="1" applyFill="1"/>
    <xf numFmtId="37" fontId="5" fillId="67" borderId="0" xfId="325" applyFont="1" applyFill="1" applyAlignment="1">
      <alignment horizontal="right"/>
    </xf>
    <xf numFmtId="39" fontId="4" fillId="67" borderId="0" xfId="325" applyNumberFormat="1" applyFont="1" applyFill="1" applyAlignment="1">
      <alignment horizontal="right"/>
    </xf>
    <xf numFmtId="37" fontId="4" fillId="68" borderId="0" xfId="325" applyFont="1" applyFill="1" applyAlignment="1">
      <alignment horizontal="right"/>
    </xf>
    <xf numFmtId="14" fontId="4" fillId="68" borderId="0" xfId="325" applyNumberFormat="1" applyFont="1" applyFill="1" applyAlignment="1">
      <alignment horizontal="right"/>
    </xf>
    <xf numFmtId="14" fontId="4" fillId="68" borderId="0" xfId="325" applyNumberFormat="1" applyFont="1" applyFill="1"/>
    <xf numFmtId="37" fontId="5" fillId="68" borderId="0" xfId="325" applyFont="1" applyFill="1" applyAlignment="1">
      <alignment horizontal="right"/>
    </xf>
    <xf numFmtId="39" fontId="4" fillId="68" borderId="0" xfId="325" applyNumberFormat="1" applyFont="1" applyFill="1" applyAlignment="1">
      <alignment horizontal="right"/>
    </xf>
    <xf numFmtId="14" fontId="4" fillId="68" borderId="0" xfId="325" quotePrefix="1" applyNumberFormat="1" applyFont="1" applyFill="1"/>
    <xf numFmtId="37" fontId="75" fillId="69" borderId="0" xfId="325" applyFill="1"/>
    <xf numFmtId="37" fontId="4" fillId="69" borderId="0" xfId="325" applyFont="1" applyFill="1" applyAlignment="1">
      <alignment horizontal="right"/>
    </xf>
    <xf numFmtId="14" fontId="4" fillId="69" borderId="0" xfId="325" applyNumberFormat="1" applyFont="1" applyFill="1" applyAlignment="1">
      <alignment horizontal="right"/>
    </xf>
    <xf numFmtId="14" fontId="4" fillId="69" borderId="0" xfId="325" applyNumberFormat="1" applyFont="1" applyFill="1"/>
    <xf numFmtId="37" fontId="5" fillId="69" borderId="0" xfId="325" applyFont="1" applyFill="1" applyAlignment="1">
      <alignment horizontal="right"/>
    </xf>
    <xf numFmtId="39" fontId="4" fillId="69" borderId="0" xfId="325" applyNumberFormat="1" applyFont="1" applyFill="1" applyAlignment="1">
      <alignment horizontal="right"/>
    </xf>
    <xf numFmtId="37" fontId="8" fillId="0" borderId="0" xfId="325" applyFont="1"/>
    <xf numFmtId="37" fontId="75" fillId="0" borderId="0" xfId="325" applyAlignment="1">
      <alignment horizontal="right"/>
    </xf>
    <xf numFmtId="14" fontId="8" fillId="0" borderId="0" xfId="325" applyNumberFormat="1" applyFont="1"/>
    <xf numFmtId="37" fontId="56" fillId="0" borderId="0" xfId="325" applyFont="1"/>
    <xf numFmtId="37" fontId="7" fillId="0" borderId="0" xfId="325" applyFont="1"/>
    <xf numFmtId="37" fontId="7" fillId="0" borderId="0" xfId="325" quotePrefix="1" applyFont="1" applyAlignment="1">
      <alignment horizontal="right"/>
    </xf>
    <xf numFmtId="37" fontId="7" fillId="0" borderId="0" xfId="325" applyFont="1" applyAlignment="1">
      <alignment horizontal="right"/>
    </xf>
    <xf numFmtId="0" fontId="0" fillId="2" borderId="0" xfId="0" applyFont="1" applyFill="1" applyAlignment="1">
      <alignment horizontal="right"/>
    </xf>
    <xf numFmtId="9" fontId="0" fillId="2" borderId="0" xfId="1" applyFont="1" applyFill="1" applyAlignment="1">
      <alignment horizontal="right"/>
    </xf>
    <xf numFmtId="9" fontId="0" fillId="70" borderId="0" xfId="1" applyFont="1" applyFill="1" applyAlignment="1">
      <alignment horizontal="right"/>
    </xf>
    <xf numFmtId="164" fontId="0" fillId="2" borderId="0" xfId="1" applyNumberFormat="1" applyFont="1" applyFill="1" applyAlignment="1">
      <alignment horizontal="right"/>
    </xf>
    <xf numFmtId="169" fontId="0" fillId="0" borderId="0" xfId="8" applyNumberFormat="1" applyFont="1"/>
    <xf numFmtId="0" fontId="1" fillId="0" borderId="0" xfId="3" applyFont="1" applyFill="1" applyBorder="1"/>
    <xf numFmtId="169" fontId="2" fillId="0" borderId="0" xfId="8" applyNumberFormat="1" applyFont="1"/>
    <xf numFmtId="169" fontId="1" fillId="0" borderId="0" xfId="8" applyNumberFormat="1" applyFont="1"/>
    <xf numFmtId="165" fontId="0" fillId="2" borderId="0" xfId="0" applyNumberFormat="1" applyFill="1"/>
    <xf numFmtId="9" fontId="2" fillId="2" borderId="0" xfId="1" applyFont="1" applyFill="1" applyBorder="1"/>
    <xf numFmtId="9" fontId="0" fillId="2" borderId="0" xfId="1" applyFont="1" applyFill="1" applyBorder="1"/>
    <xf numFmtId="0" fontId="2" fillId="2" borderId="0" xfId="0" applyFont="1" applyFill="1" applyBorder="1" applyAlignment="1">
      <alignment horizontal="right"/>
    </xf>
    <xf numFmtId="10" fontId="0" fillId="2" borderId="0" xfId="1" applyNumberFormat="1" applyFont="1" applyFill="1" applyBorder="1"/>
    <xf numFmtId="9" fontId="0" fillId="17" borderId="0" xfId="1" applyNumberFormat="1" applyFont="1" applyFill="1"/>
    <xf numFmtId="188" fontId="0" fillId="2" borderId="0" xfId="10" applyNumberFormat="1" applyFont="1" applyFill="1" applyBorder="1" applyProtection="1">
      <protection locked="0"/>
    </xf>
    <xf numFmtId="0" fontId="10" fillId="0" borderId="0" xfId="0" applyFont="1"/>
    <xf numFmtId="0" fontId="0" fillId="0" borderId="0" xfId="0" applyAlignment="1">
      <alignment vertical="center" wrapText="1"/>
    </xf>
    <xf numFmtId="0" fontId="78" fillId="0" borderId="0" xfId="0" applyFont="1" applyBorder="1"/>
    <xf numFmtId="0" fontId="78" fillId="0" borderId="0" xfId="0" applyFont="1" applyBorder="1" applyAlignment="1">
      <alignment horizontal="left"/>
    </xf>
    <xf numFmtId="0" fontId="77" fillId="69" borderId="0" xfId="0" applyFont="1" applyFill="1" applyBorder="1" applyAlignment="1">
      <alignment vertical="center" wrapText="1"/>
    </xf>
    <xf numFmtId="0" fontId="0" fillId="69" borderId="0" xfId="0" applyFill="1" applyBorder="1" applyAlignment="1">
      <alignment vertical="center" wrapText="1"/>
    </xf>
    <xf numFmtId="0" fontId="0" fillId="62" borderId="0" xfId="0" applyFill="1" applyBorder="1" applyAlignment="1">
      <alignment vertical="center" wrapText="1"/>
    </xf>
    <xf numFmtId="0" fontId="79" fillId="62" borderId="0" xfId="326" applyFill="1" applyBorder="1" applyAlignment="1">
      <alignment vertical="center" wrapText="1"/>
    </xf>
    <xf numFmtId="0" fontId="2" fillId="62" borderId="0" xfId="0" applyFont="1" applyFill="1" applyBorder="1" applyAlignment="1">
      <alignment vertical="center" wrapText="1"/>
    </xf>
    <xf numFmtId="0" fontId="77" fillId="71" borderId="0" xfId="0" applyFont="1" applyFill="1" applyBorder="1" applyAlignment="1">
      <alignment vertical="center" wrapText="1"/>
    </xf>
    <xf numFmtId="0" fontId="0" fillId="71" borderId="0" xfId="0" applyFill="1" applyBorder="1" applyAlignment="1">
      <alignment vertical="center" wrapText="1"/>
    </xf>
    <xf numFmtId="0" fontId="2" fillId="64" borderId="0" xfId="0" applyFont="1" applyFill="1" applyBorder="1" applyAlignment="1">
      <alignment vertical="center" wrapText="1"/>
    </xf>
    <xf numFmtId="0" fontId="79" fillId="64" borderId="0" xfId="326" applyFill="1" applyBorder="1" applyAlignment="1">
      <alignment vertical="center" wrapText="1"/>
    </xf>
    <xf numFmtId="0" fontId="0" fillId="64" borderId="0" xfId="0" applyFill="1" applyBorder="1" applyAlignment="1">
      <alignment vertical="center" wrapText="1"/>
    </xf>
    <xf numFmtId="0" fontId="77" fillId="72" borderId="0" xfId="0" applyFont="1" applyFill="1" applyBorder="1" applyAlignment="1">
      <alignment vertical="center" wrapText="1"/>
    </xf>
    <xf numFmtId="0" fontId="0" fillId="72" borderId="0" xfId="0" applyFill="1" applyBorder="1" applyAlignment="1">
      <alignment vertical="center" wrapText="1"/>
    </xf>
    <xf numFmtId="0" fontId="0" fillId="18" borderId="0" xfId="0" applyFill="1" applyBorder="1" applyAlignment="1">
      <alignment vertical="center" wrapText="1"/>
    </xf>
    <xf numFmtId="0" fontId="79" fillId="18" borderId="0" xfId="326" applyFill="1" applyBorder="1" applyAlignment="1">
      <alignment vertical="center" wrapText="1"/>
    </xf>
    <xf numFmtId="0" fontId="80" fillId="76" borderId="0" xfId="0" applyFont="1" applyFill="1" applyBorder="1" applyAlignment="1">
      <alignment vertical="center" wrapText="1"/>
    </xf>
    <xf numFmtId="0" fontId="79" fillId="76" borderId="0" xfId="326" applyFill="1" applyBorder="1" applyAlignment="1">
      <alignment vertical="center" wrapText="1"/>
    </xf>
    <xf numFmtId="0" fontId="0" fillId="76" borderId="0" xfId="0" applyFill="1" applyBorder="1" applyAlignment="1">
      <alignment vertical="center" wrapText="1"/>
    </xf>
    <xf numFmtId="0" fontId="0" fillId="77" borderId="0" xfId="0" applyFill="1" applyBorder="1" applyAlignment="1">
      <alignment vertical="center" wrapText="1"/>
    </xf>
    <xf numFmtId="0" fontId="79" fillId="77" borderId="0" xfId="326" applyFill="1" applyBorder="1" applyAlignment="1">
      <alignment vertical="center" wrapText="1"/>
    </xf>
    <xf numFmtId="0" fontId="2" fillId="73" borderId="0" xfId="0" applyFont="1" applyFill="1" applyBorder="1" applyAlignment="1">
      <alignment vertical="center" wrapText="1"/>
    </xf>
    <xf numFmtId="0" fontId="0" fillId="73" borderId="0" xfId="0" applyFill="1" applyBorder="1" applyAlignment="1">
      <alignment vertical="center" wrapText="1"/>
    </xf>
    <xf numFmtId="0" fontId="0" fillId="63" borderId="0" xfId="0" applyFill="1" applyBorder="1" applyAlignment="1">
      <alignment vertical="center" wrapText="1"/>
    </xf>
    <xf numFmtId="0" fontId="79" fillId="63" borderId="0" xfId="326" applyFill="1" applyBorder="1" applyAlignment="1">
      <alignment vertical="center" wrapText="1"/>
    </xf>
    <xf numFmtId="0" fontId="2" fillId="74" borderId="0" xfId="0" applyFont="1" applyFill="1" applyBorder="1" applyAlignment="1">
      <alignment vertical="center"/>
    </xf>
    <xf numFmtId="0" fontId="0" fillId="74" borderId="0" xfId="0" applyFill="1" applyBorder="1" applyAlignment="1">
      <alignment vertical="center"/>
    </xf>
    <xf numFmtId="0" fontId="0" fillId="75" borderId="0" xfId="0" applyFill="1" applyBorder="1" applyAlignment="1">
      <alignment vertical="center"/>
    </xf>
    <xf numFmtId="0" fontId="79" fillId="75" borderId="0" xfId="326" applyFill="1" applyBorder="1" applyAlignment="1">
      <alignment vertical="center"/>
    </xf>
    <xf numFmtId="0" fontId="6" fillId="18" borderId="0" xfId="0" applyFont="1" applyFill="1"/>
    <xf numFmtId="37" fontId="4" fillId="78" borderId="0" xfId="325" applyFont="1" applyFill="1"/>
    <xf numFmtId="37" fontId="4" fillId="78" borderId="0" xfId="325" applyFont="1" applyFill="1" applyAlignment="1" applyProtection="1">
      <alignment horizontal="left"/>
      <protection locked="0"/>
    </xf>
    <xf numFmtId="37" fontId="4" fillId="78" borderId="0" xfId="325" applyFont="1" applyFill="1" applyAlignment="1" applyProtection="1">
      <alignment horizontal="left" vertical="top" wrapText="1" readingOrder="1"/>
      <protection locked="0"/>
    </xf>
    <xf numFmtId="37" fontId="75" fillId="78" borderId="0" xfId="325" applyFill="1"/>
    <xf numFmtId="0" fontId="2" fillId="0" borderId="0" xfId="0" applyFont="1" applyAlignment="1">
      <alignment horizontal="center"/>
    </xf>
    <xf numFmtId="0" fontId="2" fillId="3" borderId="35" xfId="3" applyFont="1" applyFill="1" applyBorder="1" applyAlignment="1">
      <alignment horizontal="center" vertical="center" wrapText="1"/>
    </xf>
    <xf numFmtId="0" fontId="2" fillId="3" borderId="33" xfId="3" applyFont="1" applyFill="1" applyBorder="1" applyAlignment="1">
      <alignment horizontal="center" vertical="center" wrapText="1"/>
    </xf>
    <xf numFmtId="0" fontId="2" fillId="3" borderId="36" xfId="3" applyFont="1" applyFill="1" applyBorder="1" applyAlignment="1">
      <alignment horizontal="center" vertical="center" wrapText="1"/>
    </xf>
    <xf numFmtId="0" fontId="2" fillId="3" borderId="40" xfId="3" applyFont="1" applyFill="1" applyBorder="1" applyAlignment="1">
      <alignment horizontal="center" vertical="center" wrapText="1"/>
    </xf>
    <xf numFmtId="0" fontId="1" fillId="3" borderId="12" xfId="3" applyFill="1" applyBorder="1" applyAlignment="1">
      <alignment horizontal="center" vertical="center" wrapText="1"/>
    </xf>
    <xf numFmtId="0" fontId="2" fillId="3" borderId="34" xfId="3" applyFont="1" applyFill="1" applyBorder="1" applyAlignment="1">
      <alignment horizontal="center" vertical="center" wrapText="1"/>
    </xf>
    <xf numFmtId="0" fontId="2" fillId="3" borderId="35" xfId="3" applyFont="1" applyFill="1" applyBorder="1" applyAlignment="1" applyProtection="1">
      <alignment horizontal="center" vertical="center" wrapText="1"/>
      <protection locked="0"/>
    </xf>
    <xf numFmtId="0" fontId="2" fillId="3" borderId="33" xfId="3" applyFont="1" applyFill="1" applyBorder="1" applyAlignment="1" applyProtection="1">
      <alignment horizontal="center" vertical="center" wrapText="1"/>
      <protection locked="0"/>
    </xf>
    <xf numFmtId="0" fontId="2" fillId="3" borderId="36" xfId="3" applyFont="1" applyFill="1" applyBorder="1" applyAlignment="1" applyProtection="1">
      <alignment horizontal="center" vertical="center" wrapText="1"/>
      <protection locked="0"/>
    </xf>
    <xf numFmtId="0" fontId="2" fillId="3" borderId="40" xfId="3" applyFont="1" applyFill="1" applyBorder="1" applyAlignment="1" applyProtection="1">
      <alignment horizontal="center" vertical="center" wrapText="1"/>
      <protection locked="0"/>
    </xf>
    <xf numFmtId="0" fontId="1" fillId="3" borderId="12" xfId="3" applyFill="1" applyBorder="1" applyAlignment="1" applyProtection="1">
      <alignment horizontal="center" vertical="center" wrapText="1"/>
      <protection locked="0"/>
    </xf>
    <xf numFmtId="0" fontId="2" fillId="3" borderId="34" xfId="3" applyFont="1" applyFill="1" applyBorder="1" applyAlignment="1" applyProtection="1">
      <alignment horizontal="center" vertical="center" wrapText="1"/>
      <protection locked="0"/>
    </xf>
    <xf numFmtId="0" fontId="2" fillId="13" borderId="0" xfId="0" applyFont="1" applyFill="1" applyAlignment="1">
      <alignment horizontal="center"/>
    </xf>
    <xf numFmtId="0" fontId="2" fillId="14" borderId="0" xfId="0" applyFont="1" applyFill="1" applyAlignment="1">
      <alignment horizontal="center"/>
    </xf>
    <xf numFmtId="0" fontId="2" fillId="20" borderId="0" xfId="0" applyFont="1" applyFill="1" applyAlignment="1">
      <alignment horizontal="center"/>
    </xf>
    <xf numFmtId="0" fontId="2" fillId="2" borderId="0" xfId="0" applyFont="1" applyFill="1" applyAlignment="1">
      <alignment horizontal="center"/>
    </xf>
    <xf numFmtId="0" fontId="2" fillId="3" borderId="32" xfId="3" applyFont="1" applyFill="1" applyBorder="1" applyAlignment="1">
      <alignment horizontal="center" vertical="center" wrapText="1"/>
    </xf>
    <xf numFmtId="0" fontId="2" fillId="3" borderId="37" xfId="3" applyFont="1" applyFill="1" applyBorder="1" applyAlignment="1">
      <alignment horizontal="center" vertical="center" wrapText="1"/>
    </xf>
    <xf numFmtId="0" fontId="1" fillId="0" borderId="12" xfId="3" applyBorder="1" applyAlignment="1">
      <alignment horizontal="left" vertical="top" wrapText="1"/>
    </xf>
    <xf numFmtId="0" fontId="1" fillId="0" borderId="18" xfId="3" applyBorder="1" applyAlignment="1">
      <alignment horizontal="left" vertical="top" wrapText="1"/>
    </xf>
    <xf numFmtId="0" fontId="9" fillId="3" borderId="19" xfId="3" applyFont="1" applyFill="1" applyBorder="1" applyAlignment="1">
      <alignment horizontal="center" vertical="center" wrapText="1"/>
    </xf>
    <xf numFmtId="0" fontId="9" fillId="3" borderId="28" xfId="3" applyFont="1" applyFill="1" applyBorder="1" applyAlignment="1">
      <alignment horizontal="center" vertical="center" wrapText="1"/>
    </xf>
    <xf numFmtId="0" fontId="2" fillId="3" borderId="24" xfId="3" applyFont="1" applyFill="1" applyBorder="1" applyAlignment="1">
      <alignment horizontal="center"/>
    </xf>
    <xf numFmtId="0" fontId="2" fillId="3" borderId="25" xfId="3" applyFont="1" applyFill="1" applyBorder="1" applyAlignment="1">
      <alignment horizontal="center"/>
    </xf>
    <xf numFmtId="0" fontId="2" fillId="3" borderId="26" xfId="3" applyFont="1" applyFill="1" applyBorder="1" applyAlignment="1">
      <alignment horizontal="center"/>
    </xf>
    <xf numFmtId="0" fontId="2" fillId="3" borderId="27" xfId="3" applyFont="1" applyFill="1" applyBorder="1" applyAlignment="1">
      <alignment horizontal="center"/>
    </xf>
    <xf numFmtId="0" fontId="2" fillId="2" borderId="28" xfId="3" applyFont="1" applyFill="1" applyBorder="1" applyAlignment="1">
      <alignment horizontal="left" vertical="top" wrapText="1"/>
    </xf>
    <xf numFmtId="0" fontId="2" fillId="2" borderId="12" xfId="3" applyFont="1" applyFill="1" applyBorder="1" applyAlignment="1">
      <alignment horizontal="left" vertical="top" wrapText="1"/>
    </xf>
    <xf numFmtId="0" fontId="2" fillId="2" borderId="18" xfId="3" applyFont="1" applyFill="1" applyBorder="1" applyAlignment="1">
      <alignment horizontal="left" vertical="top" wrapText="1"/>
    </xf>
    <xf numFmtId="0" fontId="2" fillId="3" borderId="19" xfId="3" applyFont="1" applyFill="1" applyBorder="1" applyAlignment="1">
      <alignment horizontal="center"/>
    </xf>
  </cellXfs>
  <cellStyles count="327">
    <cellStyle name="%" xfId="11" xr:uid="{00000000-0005-0000-0000-000000000000}"/>
    <cellStyle name="% 2" xfId="12" xr:uid="{00000000-0005-0000-0000-000001000000}"/>
    <cellStyle name="%_PEF FSBR2011" xfId="13" xr:uid="{00000000-0005-0000-0000-000002000000}"/>
    <cellStyle name="]_x000d__x000a_Zoomed=1_x000d__x000a_Row=0_x000d__x000a_Column=0_x000d__x000a_Height=0_x000d__x000a_Width=0_x000d__x000a_FontName=FoxFont_x000d__x000a_FontStyle=0_x000d__x000a_FontSize=9_x000d__x000a_PrtFontName=FoxPrin" xfId="14" xr:uid="{00000000-0005-0000-0000-000003000000}"/>
    <cellStyle name="_TableHead" xfId="15" xr:uid="{00000000-0005-0000-0000-000004000000}"/>
    <cellStyle name="1dp" xfId="16" xr:uid="{00000000-0005-0000-0000-000005000000}"/>
    <cellStyle name="1dp 2" xfId="17" xr:uid="{00000000-0005-0000-0000-000006000000}"/>
    <cellStyle name="20% - Accent1 2" xfId="18" xr:uid="{00000000-0005-0000-0000-000007000000}"/>
    <cellStyle name="20% - Accent2 2" xfId="19" xr:uid="{00000000-0005-0000-0000-000008000000}"/>
    <cellStyle name="20% - Accent3 2" xfId="20" xr:uid="{00000000-0005-0000-0000-000009000000}"/>
    <cellStyle name="20% - Accent4 2" xfId="21" xr:uid="{00000000-0005-0000-0000-00000A000000}"/>
    <cellStyle name="20% - Accent5 2" xfId="22" xr:uid="{00000000-0005-0000-0000-00000B000000}"/>
    <cellStyle name="20% - Accent6 2" xfId="23" xr:uid="{00000000-0005-0000-0000-00000C000000}"/>
    <cellStyle name="3dp" xfId="24" xr:uid="{00000000-0005-0000-0000-00000D000000}"/>
    <cellStyle name="3dp 2" xfId="25" xr:uid="{00000000-0005-0000-0000-00000E000000}"/>
    <cellStyle name="40% - Accent1 2" xfId="26" xr:uid="{00000000-0005-0000-0000-00000F000000}"/>
    <cellStyle name="40% - Accent2 2" xfId="27" xr:uid="{00000000-0005-0000-0000-000010000000}"/>
    <cellStyle name="40% - Accent3 2" xfId="28" xr:uid="{00000000-0005-0000-0000-000011000000}"/>
    <cellStyle name="40% - Accent4 2" xfId="29" xr:uid="{00000000-0005-0000-0000-000012000000}"/>
    <cellStyle name="40% - Accent5 2" xfId="30" xr:uid="{00000000-0005-0000-0000-000013000000}"/>
    <cellStyle name="40% - Accent6 2" xfId="31" xr:uid="{00000000-0005-0000-0000-000014000000}"/>
    <cellStyle name="4dp" xfId="32" xr:uid="{00000000-0005-0000-0000-000015000000}"/>
    <cellStyle name="4dp 2" xfId="33" xr:uid="{00000000-0005-0000-0000-000016000000}"/>
    <cellStyle name="60% - Accent1 2" xfId="34" xr:uid="{00000000-0005-0000-0000-000017000000}"/>
    <cellStyle name="60% - Accent2 2" xfId="35" xr:uid="{00000000-0005-0000-0000-000018000000}"/>
    <cellStyle name="60% - Accent3 2" xfId="36" xr:uid="{00000000-0005-0000-0000-000019000000}"/>
    <cellStyle name="60% - Accent4 2" xfId="37" xr:uid="{00000000-0005-0000-0000-00001A000000}"/>
    <cellStyle name="60% - Accent5 2" xfId="38" xr:uid="{00000000-0005-0000-0000-00001B000000}"/>
    <cellStyle name="60% - Accent6 2" xfId="39" xr:uid="{00000000-0005-0000-0000-00001C000000}"/>
    <cellStyle name="Accent1 2" xfId="40" xr:uid="{00000000-0005-0000-0000-00001D000000}"/>
    <cellStyle name="Accent2 2" xfId="41" xr:uid="{00000000-0005-0000-0000-00001E000000}"/>
    <cellStyle name="Accent3 2" xfId="42" xr:uid="{00000000-0005-0000-0000-00001F000000}"/>
    <cellStyle name="Accent4 2" xfId="43" xr:uid="{00000000-0005-0000-0000-000020000000}"/>
    <cellStyle name="Accent5 2" xfId="44" xr:uid="{00000000-0005-0000-0000-000021000000}"/>
    <cellStyle name="Accent6 2" xfId="45" xr:uid="{00000000-0005-0000-0000-000022000000}"/>
    <cellStyle name="Bad 2" xfId="46" xr:uid="{00000000-0005-0000-0000-000023000000}"/>
    <cellStyle name="Bid £m format" xfId="47" xr:uid="{00000000-0005-0000-0000-000024000000}"/>
    <cellStyle name="Calculation 2" xfId="48" xr:uid="{00000000-0005-0000-0000-000025000000}"/>
    <cellStyle name="Check Cell 2" xfId="49" xr:uid="{00000000-0005-0000-0000-000026000000}"/>
    <cellStyle name="CIL" xfId="50" xr:uid="{00000000-0005-0000-0000-000027000000}"/>
    <cellStyle name="CIU" xfId="51" xr:uid="{00000000-0005-0000-0000-000028000000}"/>
    <cellStyle name="Comma" xfId="8" builtinId="3"/>
    <cellStyle name="Comma 2" xfId="7" xr:uid="{00000000-0005-0000-0000-00002A000000}"/>
    <cellStyle name="Comma 2 2" xfId="53" xr:uid="{00000000-0005-0000-0000-00002B000000}"/>
    <cellStyle name="Comma 2 3" xfId="320" xr:uid="{00000000-0005-0000-0000-00002C000000}"/>
    <cellStyle name="Comma 2 4" xfId="52" xr:uid="{00000000-0005-0000-0000-00002D000000}"/>
    <cellStyle name="Comma 3" xfId="54" xr:uid="{00000000-0005-0000-0000-00002E000000}"/>
    <cellStyle name="Comma 3 2" xfId="55" xr:uid="{00000000-0005-0000-0000-00002F000000}"/>
    <cellStyle name="Comma 3 2 2" xfId="56" xr:uid="{00000000-0005-0000-0000-000030000000}"/>
    <cellStyle name="Comma 3 2 3" xfId="322" xr:uid="{00000000-0005-0000-0000-000031000000}"/>
    <cellStyle name="Comma 3 3" xfId="57" xr:uid="{00000000-0005-0000-0000-000032000000}"/>
    <cellStyle name="Comma 3 4" xfId="321" xr:uid="{00000000-0005-0000-0000-000033000000}"/>
    <cellStyle name="Comma 4" xfId="58" xr:uid="{00000000-0005-0000-0000-000034000000}"/>
    <cellStyle name="Comma 4 2" xfId="59" xr:uid="{00000000-0005-0000-0000-000035000000}"/>
    <cellStyle name="Comma 4 3" xfId="323" xr:uid="{00000000-0005-0000-0000-000036000000}"/>
    <cellStyle name="Comma 5" xfId="60" xr:uid="{00000000-0005-0000-0000-000037000000}"/>
    <cellStyle name="Comma 8" xfId="10" xr:uid="{00000000-0005-0000-0000-000038000000}"/>
    <cellStyle name="Currency 2" xfId="61" xr:uid="{00000000-0005-0000-0000-000039000000}"/>
    <cellStyle name="Currency 2 2" xfId="62" xr:uid="{00000000-0005-0000-0000-00003A000000}"/>
    <cellStyle name="Currency 2 3" xfId="324" xr:uid="{00000000-0005-0000-0000-00003B000000}"/>
    <cellStyle name="Description" xfId="63" xr:uid="{00000000-0005-0000-0000-00003C000000}"/>
    <cellStyle name="Euro" xfId="64" xr:uid="{00000000-0005-0000-0000-00003D000000}"/>
    <cellStyle name="Explanatory Text 2" xfId="65" xr:uid="{00000000-0005-0000-0000-00003E000000}"/>
    <cellStyle name="Flash" xfId="66" xr:uid="{00000000-0005-0000-0000-00003F000000}"/>
    <cellStyle name="footnote ref" xfId="67" xr:uid="{00000000-0005-0000-0000-000040000000}"/>
    <cellStyle name="footnote text" xfId="68" xr:uid="{00000000-0005-0000-0000-000041000000}"/>
    <cellStyle name="General" xfId="69" xr:uid="{00000000-0005-0000-0000-000042000000}"/>
    <cellStyle name="General 2" xfId="70" xr:uid="{00000000-0005-0000-0000-000043000000}"/>
    <cellStyle name="Good 2" xfId="71" xr:uid="{00000000-0005-0000-0000-000044000000}"/>
    <cellStyle name="Grey" xfId="72" xr:uid="{00000000-0005-0000-0000-000045000000}"/>
    <cellStyle name="HeaderLabel" xfId="73" xr:uid="{00000000-0005-0000-0000-000046000000}"/>
    <cellStyle name="HeaderText" xfId="74" xr:uid="{00000000-0005-0000-0000-000047000000}"/>
    <cellStyle name="Heading 1 2" xfId="75" xr:uid="{00000000-0005-0000-0000-000048000000}"/>
    <cellStyle name="Heading 1 2 2" xfId="76" xr:uid="{00000000-0005-0000-0000-000049000000}"/>
    <cellStyle name="Heading 1 2_asset sales" xfId="77" xr:uid="{00000000-0005-0000-0000-00004A000000}"/>
    <cellStyle name="Heading 1 3" xfId="78" xr:uid="{00000000-0005-0000-0000-00004B000000}"/>
    <cellStyle name="Heading 1 4" xfId="79" xr:uid="{00000000-0005-0000-0000-00004C000000}"/>
    <cellStyle name="Heading 2 2" xfId="80" xr:uid="{00000000-0005-0000-0000-00004D000000}"/>
    <cellStyle name="Heading 2 3" xfId="81" xr:uid="{00000000-0005-0000-0000-00004E000000}"/>
    <cellStyle name="Heading 3 2" xfId="82" xr:uid="{00000000-0005-0000-0000-00004F000000}"/>
    <cellStyle name="Heading 3 3" xfId="83" xr:uid="{00000000-0005-0000-0000-000050000000}"/>
    <cellStyle name="Heading 4 2" xfId="84" xr:uid="{00000000-0005-0000-0000-000051000000}"/>
    <cellStyle name="Heading 4 3" xfId="85" xr:uid="{00000000-0005-0000-0000-000052000000}"/>
    <cellStyle name="Heading 5" xfId="86" xr:uid="{00000000-0005-0000-0000-000053000000}"/>
    <cellStyle name="Heading 6" xfId="87" xr:uid="{00000000-0005-0000-0000-000054000000}"/>
    <cellStyle name="Heading 7" xfId="88" xr:uid="{00000000-0005-0000-0000-000055000000}"/>
    <cellStyle name="Heading 8" xfId="89" xr:uid="{00000000-0005-0000-0000-000056000000}"/>
    <cellStyle name="Hyperlink" xfId="326" builtinId="8"/>
    <cellStyle name="Hyperlink 2" xfId="90" xr:uid="{00000000-0005-0000-0000-000057000000}"/>
    <cellStyle name="Information" xfId="91" xr:uid="{00000000-0005-0000-0000-000058000000}"/>
    <cellStyle name="Input [yellow]" xfId="92" xr:uid="{00000000-0005-0000-0000-000059000000}"/>
    <cellStyle name="Input 10" xfId="93" xr:uid="{00000000-0005-0000-0000-00005A000000}"/>
    <cellStyle name="Input 11" xfId="94" xr:uid="{00000000-0005-0000-0000-00005B000000}"/>
    <cellStyle name="Input 12" xfId="95" xr:uid="{00000000-0005-0000-0000-00005C000000}"/>
    <cellStyle name="Input 13" xfId="96" xr:uid="{00000000-0005-0000-0000-00005D000000}"/>
    <cellStyle name="Input 14" xfId="97" xr:uid="{00000000-0005-0000-0000-00005E000000}"/>
    <cellStyle name="Input 15" xfId="98" xr:uid="{00000000-0005-0000-0000-00005F000000}"/>
    <cellStyle name="Input 16" xfId="99" xr:uid="{00000000-0005-0000-0000-000060000000}"/>
    <cellStyle name="Input 17" xfId="100" xr:uid="{00000000-0005-0000-0000-000061000000}"/>
    <cellStyle name="Input 18" xfId="101" xr:uid="{00000000-0005-0000-0000-000062000000}"/>
    <cellStyle name="Input 19" xfId="102" xr:uid="{00000000-0005-0000-0000-000063000000}"/>
    <cellStyle name="Input 2" xfId="103" xr:uid="{00000000-0005-0000-0000-000064000000}"/>
    <cellStyle name="Input 3" xfId="104" xr:uid="{00000000-0005-0000-0000-000065000000}"/>
    <cellStyle name="Input 4" xfId="105" xr:uid="{00000000-0005-0000-0000-000066000000}"/>
    <cellStyle name="Input 5" xfId="106" xr:uid="{00000000-0005-0000-0000-000067000000}"/>
    <cellStyle name="Input 6" xfId="107" xr:uid="{00000000-0005-0000-0000-000068000000}"/>
    <cellStyle name="Input 7" xfId="108" xr:uid="{00000000-0005-0000-0000-000069000000}"/>
    <cellStyle name="Input 8" xfId="109" xr:uid="{00000000-0005-0000-0000-00006A000000}"/>
    <cellStyle name="Input 9" xfId="110" xr:uid="{00000000-0005-0000-0000-00006B000000}"/>
    <cellStyle name="LabelIntersect" xfId="111" xr:uid="{00000000-0005-0000-0000-00006C000000}"/>
    <cellStyle name="LabelLeft" xfId="112" xr:uid="{00000000-0005-0000-0000-00006D000000}"/>
    <cellStyle name="LabelTop" xfId="113" xr:uid="{00000000-0005-0000-0000-00006E000000}"/>
    <cellStyle name="Linked Cell 2" xfId="114" xr:uid="{00000000-0005-0000-0000-00006F000000}"/>
    <cellStyle name="Mik" xfId="115" xr:uid="{00000000-0005-0000-0000-000070000000}"/>
    <cellStyle name="Mik 2" xfId="116" xr:uid="{00000000-0005-0000-0000-000071000000}"/>
    <cellStyle name="Mik_For fiscal tables" xfId="117" xr:uid="{00000000-0005-0000-0000-000072000000}"/>
    <cellStyle name="N" xfId="118" xr:uid="{00000000-0005-0000-0000-000073000000}"/>
    <cellStyle name="N 2" xfId="119" xr:uid="{00000000-0005-0000-0000-000074000000}"/>
    <cellStyle name="Neutral 2" xfId="120" xr:uid="{00000000-0005-0000-0000-000075000000}"/>
    <cellStyle name="Normal" xfId="0" builtinId="0"/>
    <cellStyle name="Normal - Style1" xfId="121" xr:uid="{00000000-0005-0000-0000-000077000000}"/>
    <cellStyle name="Normal - Style2" xfId="122" xr:uid="{00000000-0005-0000-0000-000078000000}"/>
    <cellStyle name="Normal - Style3" xfId="123" xr:uid="{00000000-0005-0000-0000-000079000000}"/>
    <cellStyle name="Normal - Style4" xfId="124" xr:uid="{00000000-0005-0000-0000-00007A000000}"/>
    <cellStyle name="Normal - Style5" xfId="125" xr:uid="{00000000-0005-0000-0000-00007B000000}"/>
    <cellStyle name="Normal 10" xfId="3" xr:uid="{00000000-0005-0000-0000-00007C000000}"/>
    <cellStyle name="Normal 10 2" xfId="126" xr:uid="{00000000-0005-0000-0000-00007D000000}"/>
    <cellStyle name="Normal 11" xfId="127" xr:uid="{00000000-0005-0000-0000-00007E000000}"/>
    <cellStyle name="Normal 12" xfId="128" xr:uid="{00000000-0005-0000-0000-00007F000000}"/>
    <cellStyle name="Normal 13" xfId="129" xr:uid="{00000000-0005-0000-0000-000080000000}"/>
    <cellStyle name="Normal 14" xfId="130" xr:uid="{00000000-0005-0000-0000-000081000000}"/>
    <cellStyle name="Normal 15" xfId="131" xr:uid="{00000000-0005-0000-0000-000082000000}"/>
    <cellStyle name="Normal 16" xfId="5" xr:uid="{00000000-0005-0000-0000-000083000000}"/>
    <cellStyle name="Normal 16 2" xfId="132" xr:uid="{00000000-0005-0000-0000-000084000000}"/>
    <cellStyle name="Normal 17" xfId="133" xr:uid="{00000000-0005-0000-0000-000085000000}"/>
    <cellStyle name="Normal 18" xfId="6" xr:uid="{00000000-0005-0000-0000-000086000000}"/>
    <cellStyle name="Normal 18 2" xfId="134" xr:uid="{00000000-0005-0000-0000-000087000000}"/>
    <cellStyle name="Normal 19" xfId="135" xr:uid="{00000000-0005-0000-0000-000088000000}"/>
    <cellStyle name="Normal 2" xfId="2" xr:uid="{00000000-0005-0000-0000-000089000000}"/>
    <cellStyle name="Normal 2 2" xfId="137" xr:uid="{00000000-0005-0000-0000-00008A000000}"/>
    <cellStyle name="Normal 2 3" xfId="136" xr:uid="{00000000-0005-0000-0000-00008B000000}"/>
    <cellStyle name="Normal 20" xfId="138" xr:uid="{00000000-0005-0000-0000-00008C000000}"/>
    <cellStyle name="Normal 21" xfId="139" xr:uid="{00000000-0005-0000-0000-00008D000000}"/>
    <cellStyle name="Normal 21 2" xfId="140" xr:uid="{00000000-0005-0000-0000-00008E000000}"/>
    <cellStyle name="Normal 21_Copy of Fiscal Tables" xfId="141" xr:uid="{00000000-0005-0000-0000-00008F000000}"/>
    <cellStyle name="Normal 22" xfId="142" xr:uid="{00000000-0005-0000-0000-000090000000}"/>
    <cellStyle name="Normal 22 2" xfId="143" xr:uid="{00000000-0005-0000-0000-000091000000}"/>
    <cellStyle name="Normal 22_Copy of Fiscal Tables" xfId="144" xr:uid="{00000000-0005-0000-0000-000092000000}"/>
    <cellStyle name="Normal 23" xfId="145" xr:uid="{00000000-0005-0000-0000-000093000000}"/>
    <cellStyle name="Normal 24" xfId="146" xr:uid="{00000000-0005-0000-0000-000094000000}"/>
    <cellStyle name="Normal 24 2" xfId="147" xr:uid="{00000000-0005-0000-0000-000095000000}"/>
    <cellStyle name="Normal 25" xfId="148" xr:uid="{00000000-0005-0000-0000-000096000000}"/>
    <cellStyle name="Normal 25 2" xfId="149" xr:uid="{00000000-0005-0000-0000-000097000000}"/>
    <cellStyle name="Normal 26" xfId="150" xr:uid="{00000000-0005-0000-0000-000098000000}"/>
    <cellStyle name="Normal 26 2" xfId="151" xr:uid="{00000000-0005-0000-0000-000099000000}"/>
    <cellStyle name="Normal 27" xfId="152" xr:uid="{00000000-0005-0000-0000-00009A000000}"/>
    <cellStyle name="Normal 27 2" xfId="153" xr:uid="{00000000-0005-0000-0000-00009B000000}"/>
    <cellStyle name="Normal 28" xfId="154" xr:uid="{00000000-0005-0000-0000-00009C000000}"/>
    <cellStyle name="Normal 28 2" xfId="155" xr:uid="{00000000-0005-0000-0000-00009D000000}"/>
    <cellStyle name="Normal 29" xfId="156" xr:uid="{00000000-0005-0000-0000-00009E000000}"/>
    <cellStyle name="Normal 29 2" xfId="157" xr:uid="{00000000-0005-0000-0000-00009F000000}"/>
    <cellStyle name="Normal 3" xfId="158" xr:uid="{00000000-0005-0000-0000-0000A0000000}"/>
    <cellStyle name="Normal 3 2" xfId="159" xr:uid="{00000000-0005-0000-0000-0000A1000000}"/>
    <cellStyle name="Normal 3_asset sales" xfId="160" xr:uid="{00000000-0005-0000-0000-0000A2000000}"/>
    <cellStyle name="Normal 30" xfId="161" xr:uid="{00000000-0005-0000-0000-0000A3000000}"/>
    <cellStyle name="Normal 30 2" xfId="162" xr:uid="{00000000-0005-0000-0000-0000A4000000}"/>
    <cellStyle name="Normal 31" xfId="163" xr:uid="{00000000-0005-0000-0000-0000A5000000}"/>
    <cellStyle name="Normal 31 2" xfId="164" xr:uid="{00000000-0005-0000-0000-0000A6000000}"/>
    <cellStyle name="Normal 32" xfId="165" xr:uid="{00000000-0005-0000-0000-0000A7000000}"/>
    <cellStyle name="Normal 32 2" xfId="166" xr:uid="{00000000-0005-0000-0000-0000A8000000}"/>
    <cellStyle name="Normal 33" xfId="167" xr:uid="{00000000-0005-0000-0000-0000A9000000}"/>
    <cellStyle name="Normal 33 2" xfId="168" xr:uid="{00000000-0005-0000-0000-0000AA000000}"/>
    <cellStyle name="Normal 34" xfId="169" xr:uid="{00000000-0005-0000-0000-0000AB000000}"/>
    <cellStyle name="Normal 34 2" xfId="170" xr:uid="{00000000-0005-0000-0000-0000AC000000}"/>
    <cellStyle name="Normal 35" xfId="171" xr:uid="{00000000-0005-0000-0000-0000AD000000}"/>
    <cellStyle name="Normal 35 2" xfId="172" xr:uid="{00000000-0005-0000-0000-0000AE000000}"/>
    <cellStyle name="Normal 36" xfId="173" xr:uid="{00000000-0005-0000-0000-0000AF000000}"/>
    <cellStyle name="Normal 37" xfId="174" xr:uid="{00000000-0005-0000-0000-0000B0000000}"/>
    <cellStyle name="Normal 38" xfId="175" xr:uid="{00000000-0005-0000-0000-0000B1000000}"/>
    <cellStyle name="Normal 39" xfId="176" xr:uid="{00000000-0005-0000-0000-0000B2000000}"/>
    <cellStyle name="Normal 4" xfId="177" xr:uid="{00000000-0005-0000-0000-0000B3000000}"/>
    <cellStyle name="Normal 40" xfId="178" xr:uid="{00000000-0005-0000-0000-0000B4000000}"/>
    <cellStyle name="Normal 41" xfId="179" xr:uid="{00000000-0005-0000-0000-0000B5000000}"/>
    <cellStyle name="Normal 42" xfId="180" xr:uid="{00000000-0005-0000-0000-0000B6000000}"/>
    <cellStyle name="Normal 43" xfId="181" xr:uid="{00000000-0005-0000-0000-0000B7000000}"/>
    <cellStyle name="Normal 44" xfId="182" xr:uid="{00000000-0005-0000-0000-0000B8000000}"/>
    <cellStyle name="Normal 45" xfId="183" xr:uid="{00000000-0005-0000-0000-0000B9000000}"/>
    <cellStyle name="Normal 46" xfId="184" xr:uid="{00000000-0005-0000-0000-0000BA000000}"/>
    <cellStyle name="Normal 47" xfId="185" xr:uid="{00000000-0005-0000-0000-0000BB000000}"/>
    <cellStyle name="Normal 48" xfId="325" xr:uid="{00000000-0005-0000-0000-0000BC000000}"/>
    <cellStyle name="Normal 5" xfId="186" xr:uid="{00000000-0005-0000-0000-0000BD000000}"/>
    <cellStyle name="Normal 6" xfId="187" xr:uid="{00000000-0005-0000-0000-0000BE000000}"/>
    <cellStyle name="Normal 7" xfId="188" xr:uid="{00000000-0005-0000-0000-0000BF000000}"/>
    <cellStyle name="Normal 8" xfId="189" xr:uid="{00000000-0005-0000-0000-0000C0000000}"/>
    <cellStyle name="Normal 9" xfId="190" xr:uid="{00000000-0005-0000-0000-0000C1000000}"/>
    <cellStyle name="Note 2" xfId="191" xr:uid="{00000000-0005-0000-0000-0000C3000000}"/>
    <cellStyle name="Output 2" xfId="192" xr:uid="{00000000-0005-0000-0000-0000C4000000}"/>
    <cellStyle name="Output Amounts" xfId="193" xr:uid="{00000000-0005-0000-0000-0000C5000000}"/>
    <cellStyle name="Output Column Headings" xfId="194" xr:uid="{00000000-0005-0000-0000-0000C6000000}"/>
    <cellStyle name="Output Line Items" xfId="195" xr:uid="{00000000-0005-0000-0000-0000C7000000}"/>
    <cellStyle name="Output Report Heading" xfId="196" xr:uid="{00000000-0005-0000-0000-0000C8000000}"/>
    <cellStyle name="Output Report Title" xfId="197" xr:uid="{00000000-0005-0000-0000-0000C9000000}"/>
    <cellStyle name="P" xfId="198" xr:uid="{00000000-0005-0000-0000-0000CA000000}"/>
    <cellStyle name="P 2" xfId="199" xr:uid="{00000000-0005-0000-0000-0000CB000000}"/>
    <cellStyle name="Percent" xfId="1" builtinId="5"/>
    <cellStyle name="Percent [2]" xfId="200" xr:uid="{00000000-0005-0000-0000-0000CD000000}"/>
    <cellStyle name="Percent 2" xfId="4" xr:uid="{00000000-0005-0000-0000-0000CE000000}"/>
    <cellStyle name="Percent 2 2" xfId="201" xr:uid="{00000000-0005-0000-0000-0000CF000000}"/>
    <cellStyle name="Percent 3" xfId="202" xr:uid="{00000000-0005-0000-0000-0000D0000000}"/>
    <cellStyle name="Percent 3 2" xfId="203" xr:uid="{00000000-0005-0000-0000-0000D1000000}"/>
    <cellStyle name="Percent 4" xfId="204" xr:uid="{00000000-0005-0000-0000-0000D2000000}"/>
    <cellStyle name="Percent 4 2" xfId="205" xr:uid="{00000000-0005-0000-0000-0000D3000000}"/>
    <cellStyle name="Percent 5" xfId="206" xr:uid="{00000000-0005-0000-0000-0000D4000000}"/>
    <cellStyle name="Percent 6" xfId="207" xr:uid="{00000000-0005-0000-0000-0000D5000000}"/>
    <cellStyle name="Percent 7" xfId="9" xr:uid="{00000000-0005-0000-0000-0000D6000000}"/>
    <cellStyle name="Percent 7 2" xfId="208" xr:uid="{00000000-0005-0000-0000-0000D7000000}"/>
    <cellStyle name="Refdb standard" xfId="209" xr:uid="{00000000-0005-0000-0000-0000D8000000}"/>
    <cellStyle name="ReportData" xfId="210" xr:uid="{00000000-0005-0000-0000-0000D9000000}"/>
    <cellStyle name="ReportElements" xfId="211" xr:uid="{00000000-0005-0000-0000-0000DA000000}"/>
    <cellStyle name="ReportHeader" xfId="212" xr:uid="{00000000-0005-0000-0000-0000DB000000}"/>
    <cellStyle name="SAPBEXaggData" xfId="213" xr:uid="{00000000-0005-0000-0000-0000DC000000}"/>
    <cellStyle name="SAPBEXaggDataEmph" xfId="214" xr:uid="{00000000-0005-0000-0000-0000DD000000}"/>
    <cellStyle name="SAPBEXaggItem" xfId="215" xr:uid="{00000000-0005-0000-0000-0000DE000000}"/>
    <cellStyle name="SAPBEXaggItemX" xfId="216" xr:uid="{00000000-0005-0000-0000-0000DF000000}"/>
    <cellStyle name="SAPBEXchaText" xfId="217" xr:uid="{00000000-0005-0000-0000-0000E0000000}"/>
    <cellStyle name="SAPBEXexcBad7" xfId="218" xr:uid="{00000000-0005-0000-0000-0000E1000000}"/>
    <cellStyle name="SAPBEXexcBad8" xfId="219" xr:uid="{00000000-0005-0000-0000-0000E2000000}"/>
    <cellStyle name="SAPBEXexcBad9" xfId="220" xr:uid="{00000000-0005-0000-0000-0000E3000000}"/>
    <cellStyle name="SAPBEXexcCritical4" xfId="221" xr:uid="{00000000-0005-0000-0000-0000E4000000}"/>
    <cellStyle name="SAPBEXexcCritical5" xfId="222" xr:uid="{00000000-0005-0000-0000-0000E5000000}"/>
    <cellStyle name="SAPBEXexcCritical6" xfId="223" xr:uid="{00000000-0005-0000-0000-0000E6000000}"/>
    <cellStyle name="SAPBEXexcGood1" xfId="224" xr:uid="{00000000-0005-0000-0000-0000E7000000}"/>
    <cellStyle name="SAPBEXexcGood2" xfId="225" xr:uid="{00000000-0005-0000-0000-0000E8000000}"/>
    <cellStyle name="SAPBEXexcGood3" xfId="226" xr:uid="{00000000-0005-0000-0000-0000E9000000}"/>
    <cellStyle name="SAPBEXfilterDrill" xfId="227" xr:uid="{00000000-0005-0000-0000-0000EA000000}"/>
    <cellStyle name="SAPBEXfilterItem" xfId="228" xr:uid="{00000000-0005-0000-0000-0000EB000000}"/>
    <cellStyle name="SAPBEXfilterText" xfId="229" xr:uid="{00000000-0005-0000-0000-0000EC000000}"/>
    <cellStyle name="SAPBEXformats" xfId="230" xr:uid="{00000000-0005-0000-0000-0000ED000000}"/>
    <cellStyle name="SAPBEXheaderItem" xfId="231" xr:uid="{00000000-0005-0000-0000-0000EE000000}"/>
    <cellStyle name="SAPBEXheaderText" xfId="232" xr:uid="{00000000-0005-0000-0000-0000EF000000}"/>
    <cellStyle name="SAPBEXHLevel0" xfId="233" xr:uid="{00000000-0005-0000-0000-0000F0000000}"/>
    <cellStyle name="SAPBEXHLevel0X" xfId="234" xr:uid="{00000000-0005-0000-0000-0000F1000000}"/>
    <cellStyle name="SAPBEXHLevel1" xfId="235" xr:uid="{00000000-0005-0000-0000-0000F2000000}"/>
    <cellStyle name="SAPBEXHLevel1X" xfId="236" xr:uid="{00000000-0005-0000-0000-0000F3000000}"/>
    <cellStyle name="SAPBEXHLevel2" xfId="237" xr:uid="{00000000-0005-0000-0000-0000F4000000}"/>
    <cellStyle name="SAPBEXHLevel2X" xfId="238" xr:uid="{00000000-0005-0000-0000-0000F5000000}"/>
    <cellStyle name="SAPBEXHLevel3" xfId="239" xr:uid="{00000000-0005-0000-0000-0000F6000000}"/>
    <cellStyle name="SAPBEXHLevel3X" xfId="240" xr:uid="{00000000-0005-0000-0000-0000F7000000}"/>
    <cellStyle name="SAPBEXresData" xfId="241" xr:uid="{00000000-0005-0000-0000-0000F8000000}"/>
    <cellStyle name="SAPBEXresDataEmph" xfId="242" xr:uid="{00000000-0005-0000-0000-0000F9000000}"/>
    <cellStyle name="SAPBEXresItem" xfId="243" xr:uid="{00000000-0005-0000-0000-0000FA000000}"/>
    <cellStyle name="SAPBEXresItemX" xfId="244" xr:uid="{00000000-0005-0000-0000-0000FB000000}"/>
    <cellStyle name="SAPBEXstdData" xfId="245" xr:uid="{00000000-0005-0000-0000-0000FC000000}"/>
    <cellStyle name="SAPBEXstdDataEmph" xfId="246" xr:uid="{00000000-0005-0000-0000-0000FD000000}"/>
    <cellStyle name="SAPBEXstdItem" xfId="247" xr:uid="{00000000-0005-0000-0000-0000FE000000}"/>
    <cellStyle name="SAPBEXstdItemX" xfId="248" xr:uid="{00000000-0005-0000-0000-0000FF000000}"/>
    <cellStyle name="SAPBEXtitle" xfId="249" xr:uid="{00000000-0005-0000-0000-000000010000}"/>
    <cellStyle name="SAPBEXundefined" xfId="250" xr:uid="{00000000-0005-0000-0000-000001010000}"/>
    <cellStyle name="Style 1" xfId="251" xr:uid="{00000000-0005-0000-0000-000002010000}"/>
    <cellStyle name="Style1" xfId="252" xr:uid="{00000000-0005-0000-0000-000003010000}"/>
    <cellStyle name="Style2" xfId="253" xr:uid="{00000000-0005-0000-0000-000004010000}"/>
    <cellStyle name="Style3" xfId="254" xr:uid="{00000000-0005-0000-0000-000005010000}"/>
    <cellStyle name="Style4" xfId="255" xr:uid="{00000000-0005-0000-0000-000006010000}"/>
    <cellStyle name="Style5" xfId="256" xr:uid="{00000000-0005-0000-0000-000007010000}"/>
    <cellStyle name="Style6" xfId="257" xr:uid="{00000000-0005-0000-0000-000008010000}"/>
    <cellStyle name="Table Footnote" xfId="258" xr:uid="{00000000-0005-0000-0000-000009010000}"/>
    <cellStyle name="Table Footnote 2" xfId="259" xr:uid="{00000000-0005-0000-0000-00000A010000}"/>
    <cellStyle name="Table Footnote 2 2" xfId="260" xr:uid="{00000000-0005-0000-0000-00000B010000}"/>
    <cellStyle name="Table Footnote_Table 5.6 sales of assets 23Feb2010" xfId="261" xr:uid="{00000000-0005-0000-0000-00000C010000}"/>
    <cellStyle name="Table Header" xfId="262" xr:uid="{00000000-0005-0000-0000-00000D010000}"/>
    <cellStyle name="Table Header 2" xfId="263" xr:uid="{00000000-0005-0000-0000-00000E010000}"/>
    <cellStyle name="Table Header 2 2" xfId="264" xr:uid="{00000000-0005-0000-0000-00000F010000}"/>
    <cellStyle name="Table Header_Table 5.6 sales of assets 23Feb2010" xfId="265" xr:uid="{00000000-0005-0000-0000-000010010000}"/>
    <cellStyle name="Table Heading 1" xfId="266" xr:uid="{00000000-0005-0000-0000-000011010000}"/>
    <cellStyle name="Table Heading 1 2" xfId="267" xr:uid="{00000000-0005-0000-0000-000012010000}"/>
    <cellStyle name="Table Heading 1 2 2" xfId="268" xr:uid="{00000000-0005-0000-0000-000013010000}"/>
    <cellStyle name="Table Heading 1_Table 5.6 sales of assets 23Feb2010" xfId="269" xr:uid="{00000000-0005-0000-0000-000014010000}"/>
    <cellStyle name="Table Heading 2" xfId="270" xr:uid="{00000000-0005-0000-0000-000015010000}"/>
    <cellStyle name="Table Heading 2 2" xfId="271" xr:uid="{00000000-0005-0000-0000-000016010000}"/>
    <cellStyle name="Table Heading 2_Table 5.6 sales of assets 23Feb2010" xfId="272" xr:uid="{00000000-0005-0000-0000-000017010000}"/>
    <cellStyle name="Table Of Which" xfId="273" xr:uid="{00000000-0005-0000-0000-000018010000}"/>
    <cellStyle name="Table Of Which 2" xfId="274" xr:uid="{00000000-0005-0000-0000-000019010000}"/>
    <cellStyle name="Table Of Which_Table 5.6 sales of assets 23Feb2010" xfId="275" xr:uid="{00000000-0005-0000-0000-00001A010000}"/>
    <cellStyle name="Table Row Billions" xfId="276" xr:uid="{00000000-0005-0000-0000-00001B010000}"/>
    <cellStyle name="Table Row Billions 2" xfId="277" xr:uid="{00000000-0005-0000-0000-00001C010000}"/>
    <cellStyle name="Table Row Billions Check" xfId="278" xr:uid="{00000000-0005-0000-0000-00001D010000}"/>
    <cellStyle name="Table Row Billions Check 2" xfId="279" xr:uid="{00000000-0005-0000-0000-00001E010000}"/>
    <cellStyle name="Table Row Billions Check 3" xfId="280" xr:uid="{00000000-0005-0000-0000-00001F010000}"/>
    <cellStyle name="Table Row Billions Check_asset sales" xfId="281" xr:uid="{00000000-0005-0000-0000-000020010000}"/>
    <cellStyle name="Table Row Billions_Table 5.6 sales of assets 23Feb2010" xfId="282" xr:uid="{00000000-0005-0000-0000-000021010000}"/>
    <cellStyle name="Table Row Millions" xfId="283" xr:uid="{00000000-0005-0000-0000-000022010000}"/>
    <cellStyle name="Table Row Millions 2" xfId="284" xr:uid="{00000000-0005-0000-0000-000023010000}"/>
    <cellStyle name="Table Row Millions 2 2" xfId="285" xr:uid="{00000000-0005-0000-0000-000024010000}"/>
    <cellStyle name="Table Row Millions Check" xfId="286" xr:uid="{00000000-0005-0000-0000-000025010000}"/>
    <cellStyle name="Table Row Millions Check 2" xfId="287" xr:uid="{00000000-0005-0000-0000-000026010000}"/>
    <cellStyle name="Table Row Millions Check 3" xfId="288" xr:uid="{00000000-0005-0000-0000-000027010000}"/>
    <cellStyle name="Table Row Millions Check 4" xfId="289" xr:uid="{00000000-0005-0000-0000-000028010000}"/>
    <cellStyle name="Table Row Millions Check_asset sales" xfId="290" xr:uid="{00000000-0005-0000-0000-000029010000}"/>
    <cellStyle name="Table Row Millions_Table 5.6 sales of assets 23Feb2010" xfId="291" xr:uid="{00000000-0005-0000-0000-00002A010000}"/>
    <cellStyle name="Table Row Percentage" xfId="292" xr:uid="{00000000-0005-0000-0000-00002B010000}"/>
    <cellStyle name="Table Row Percentage 2" xfId="293" xr:uid="{00000000-0005-0000-0000-00002C010000}"/>
    <cellStyle name="Table Row Percentage Check" xfId="294" xr:uid="{00000000-0005-0000-0000-00002D010000}"/>
    <cellStyle name="Table Row Percentage Check 2" xfId="295" xr:uid="{00000000-0005-0000-0000-00002E010000}"/>
    <cellStyle name="Table Row Percentage Check 3" xfId="296" xr:uid="{00000000-0005-0000-0000-00002F010000}"/>
    <cellStyle name="Table Row Percentage Check_asset sales" xfId="297" xr:uid="{00000000-0005-0000-0000-000030010000}"/>
    <cellStyle name="Table Row Percentage_Table 5.6 sales of assets 23Feb2010" xfId="298" xr:uid="{00000000-0005-0000-0000-000031010000}"/>
    <cellStyle name="Table Total Billions" xfId="299" xr:uid="{00000000-0005-0000-0000-000032010000}"/>
    <cellStyle name="Table Total Billions 2" xfId="300" xr:uid="{00000000-0005-0000-0000-000033010000}"/>
    <cellStyle name="Table Total Billions_Table 5.6 sales of assets 23Feb2010" xfId="301" xr:uid="{00000000-0005-0000-0000-000034010000}"/>
    <cellStyle name="Table Total Millions" xfId="302" xr:uid="{00000000-0005-0000-0000-000035010000}"/>
    <cellStyle name="Table Total Millions 2" xfId="303" xr:uid="{00000000-0005-0000-0000-000036010000}"/>
    <cellStyle name="Table Total Millions 2 2" xfId="304" xr:uid="{00000000-0005-0000-0000-000037010000}"/>
    <cellStyle name="Table Total Millions_Table 5.6 sales of assets 23Feb2010" xfId="305" xr:uid="{00000000-0005-0000-0000-000038010000}"/>
    <cellStyle name="Table Total Percentage" xfId="306" xr:uid="{00000000-0005-0000-0000-000039010000}"/>
    <cellStyle name="Table Total Percentage 2" xfId="307" xr:uid="{00000000-0005-0000-0000-00003A010000}"/>
    <cellStyle name="Table Total Percentage_Table 5.6 sales of assets 23Feb2010" xfId="308" xr:uid="{00000000-0005-0000-0000-00003B010000}"/>
    <cellStyle name="Table Units" xfId="309" xr:uid="{00000000-0005-0000-0000-00003C010000}"/>
    <cellStyle name="Table Units 2" xfId="310" xr:uid="{00000000-0005-0000-0000-00003D010000}"/>
    <cellStyle name="Table Units 2 2" xfId="311" xr:uid="{00000000-0005-0000-0000-00003E010000}"/>
    <cellStyle name="Table Units_Table 5.6 sales of assets 23Feb2010" xfId="312" xr:uid="{00000000-0005-0000-0000-00003F010000}"/>
    <cellStyle name="Times New Roman" xfId="313" xr:uid="{00000000-0005-0000-0000-000040010000}"/>
    <cellStyle name="Title 2" xfId="314" xr:uid="{00000000-0005-0000-0000-000041010000}"/>
    <cellStyle name="Title 3" xfId="315" xr:uid="{00000000-0005-0000-0000-000042010000}"/>
    <cellStyle name="Title 4" xfId="316" xr:uid="{00000000-0005-0000-0000-000043010000}"/>
    <cellStyle name="Total 2" xfId="317" xr:uid="{00000000-0005-0000-0000-000044010000}"/>
    <cellStyle name="Warning Text 2" xfId="318" xr:uid="{00000000-0005-0000-0000-000045010000}"/>
    <cellStyle name="whole number" xfId="319" xr:uid="{00000000-0005-0000-0000-000046010000}"/>
  </cellStyles>
  <dxfs count="0"/>
  <tableStyles count="0" defaultTableStyle="TableStyleMedium2" defaultPivotStyle="PivotStyleLight16"/>
  <colors>
    <mruColors>
      <color rgb="FFBCA8D0"/>
      <color rgb="FF9F7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'RoRE charts'!$A$22</c:f>
              <c:strCache>
                <c:ptCount val="1"/>
                <c:pt idx="0">
                  <c:v>Cost and performance incentives</c:v>
                </c:pt>
              </c:strCache>
            </c:strRef>
          </c:tx>
          <c:spPr>
            <a:solidFill>
              <a:schemeClr val="accent1"/>
            </a:solidFill>
            <a:ln>
              <a:noFill/>
            </a:ln>
            <a:effectLst/>
          </c:spPr>
          <c:invertIfNegative val="0"/>
          <c:cat>
            <c:strRef>
              <c:f>'RoRE charts'!$B$21:$G$21</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charts'!$B$22:$G$22</c:f>
              <c:numCache>
                <c:formatCode>0.0%</c:formatCode>
                <c:ptCount val="6"/>
                <c:pt idx="0" formatCode="0.00%">
                  <c:v>-3.475999408857415E-2</c:v>
                </c:pt>
                <c:pt idx="1">
                  <c:v>-4.3726134445913487E-2</c:v>
                </c:pt>
                <c:pt idx="2">
                  <c:v>-3.6561950892297801E-2</c:v>
                </c:pt>
                <c:pt idx="3">
                  <c:v>-4.6632276380639014E-2</c:v>
                </c:pt>
                <c:pt idx="4">
                  <c:v>-3.4750561034139954E-2</c:v>
                </c:pt>
                <c:pt idx="5">
                  <c:v>-2.8303015262114421E-2</c:v>
                </c:pt>
              </c:numCache>
            </c:numRef>
          </c:val>
          <c:extLst>
            <c:ext xmlns:c16="http://schemas.microsoft.com/office/drawing/2014/chart" uri="{C3380CC4-5D6E-409C-BE32-E72D297353CC}">
              <c16:uniqueId val="{00000000-C0DF-475C-BB46-6DD5A06226B6}"/>
            </c:ext>
          </c:extLst>
        </c:ser>
        <c:ser>
          <c:idx val="1"/>
          <c:order val="1"/>
          <c:tx>
            <c:strRef>
              <c:f>'RoRE charts'!$A$23</c:f>
              <c:strCache>
                <c:ptCount val="1"/>
                <c:pt idx="0">
                  <c:v>Financing costs</c:v>
                </c:pt>
              </c:strCache>
            </c:strRef>
          </c:tx>
          <c:spPr>
            <a:solidFill>
              <a:schemeClr val="accent2"/>
            </a:solidFill>
            <a:ln>
              <a:noFill/>
            </a:ln>
            <a:effectLst/>
          </c:spPr>
          <c:invertIfNegative val="0"/>
          <c:cat>
            <c:strRef>
              <c:f>'RoRE charts'!$B$21:$G$21</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charts'!$B$23:$G$23</c:f>
              <c:numCache>
                <c:formatCode>0.0%</c:formatCode>
                <c:ptCount val="6"/>
                <c:pt idx="0" formatCode="0.00%">
                  <c:v>-7.1142857142857145E-3</c:v>
                </c:pt>
                <c:pt idx="1">
                  <c:v>-1.2171225392457009E-2</c:v>
                </c:pt>
                <c:pt idx="2">
                  <c:v>-1.1611888597902907E-2</c:v>
                </c:pt>
                <c:pt idx="3">
                  <c:v>-1.1556276726008018E-2</c:v>
                </c:pt>
                <c:pt idx="4">
                  <c:v>-1.1636368177832718E-2</c:v>
                </c:pt>
                <c:pt idx="5">
                  <c:v>-1.1643020889867982E-2</c:v>
                </c:pt>
              </c:numCache>
            </c:numRef>
          </c:val>
          <c:extLst>
            <c:ext xmlns:c16="http://schemas.microsoft.com/office/drawing/2014/chart" uri="{C3380CC4-5D6E-409C-BE32-E72D297353CC}">
              <c16:uniqueId val="{00000001-C0DF-475C-BB46-6DD5A06226B6}"/>
            </c:ext>
          </c:extLst>
        </c:ser>
        <c:ser>
          <c:idx val="2"/>
          <c:order val="2"/>
          <c:tx>
            <c:strRef>
              <c:f>'RoRE charts'!$A$24</c:f>
              <c:strCache>
                <c:ptCount val="1"/>
                <c:pt idx="0">
                  <c:v>Cost and performance incentives</c:v>
                </c:pt>
              </c:strCache>
            </c:strRef>
          </c:tx>
          <c:spPr>
            <a:solidFill>
              <a:schemeClr val="accent1"/>
            </a:solidFill>
            <a:ln>
              <a:noFill/>
            </a:ln>
            <a:effectLst/>
          </c:spPr>
          <c:invertIfNegative val="0"/>
          <c:cat>
            <c:strRef>
              <c:f>'RoRE charts'!$B$21:$G$21</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charts'!$B$24:$G$24</c:f>
              <c:numCache>
                <c:formatCode>0.0%</c:formatCode>
                <c:ptCount val="6"/>
                <c:pt idx="0" formatCode="0.00%">
                  <c:v>3.475999408857415E-2</c:v>
                </c:pt>
                <c:pt idx="1">
                  <c:v>3.5730943607199098E-2</c:v>
                </c:pt>
                <c:pt idx="2">
                  <c:v>3.3708519431209644E-2</c:v>
                </c:pt>
                <c:pt idx="3">
                  <c:v>3.8707714274175506E-2</c:v>
                </c:pt>
                <c:pt idx="4">
                  <c:v>3.3272162058440038E-2</c:v>
                </c:pt>
                <c:pt idx="5">
                  <c:v>2.9145681961013394E-2</c:v>
                </c:pt>
              </c:numCache>
            </c:numRef>
          </c:val>
          <c:extLst>
            <c:ext xmlns:c16="http://schemas.microsoft.com/office/drawing/2014/chart" uri="{C3380CC4-5D6E-409C-BE32-E72D297353CC}">
              <c16:uniqueId val="{00000002-C0DF-475C-BB46-6DD5A06226B6}"/>
            </c:ext>
          </c:extLst>
        </c:ser>
        <c:ser>
          <c:idx val="3"/>
          <c:order val="3"/>
          <c:tx>
            <c:strRef>
              <c:f>'RoRE charts'!$A$25</c:f>
              <c:strCache>
                <c:ptCount val="1"/>
                <c:pt idx="0">
                  <c:v>Financing costs</c:v>
                </c:pt>
              </c:strCache>
            </c:strRef>
          </c:tx>
          <c:spPr>
            <a:solidFill>
              <a:schemeClr val="accent2"/>
            </a:solidFill>
            <a:ln>
              <a:noFill/>
            </a:ln>
            <a:effectLst/>
          </c:spPr>
          <c:invertIfNegative val="0"/>
          <c:cat>
            <c:strRef>
              <c:f>'RoRE charts'!$B$21:$G$21</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charts'!$B$25:$G$25</c:f>
              <c:numCache>
                <c:formatCode>0.0%</c:formatCode>
                <c:ptCount val="6"/>
                <c:pt idx="0" formatCode="0.00%">
                  <c:v>7.1142857142857145E-3</c:v>
                </c:pt>
                <c:pt idx="1">
                  <c:v>1.172733214639644E-2</c:v>
                </c:pt>
                <c:pt idx="2">
                  <c:v>1.2334615438242389E-2</c:v>
                </c:pt>
                <c:pt idx="3">
                  <c:v>1.2337570614032463E-2</c:v>
                </c:pt>
                <c:pt idx="4">
                  <c:v>1.2320658722644991E-2</c:v>
                </c:pt>
                <c:pt idx="5">
                  <c:v>1.2345616978049714E-2</c:v>
                </c:pt>
              </c:numCache>
            </c:numRef>
          </c:val>
          <c:extLst>
            <c:ext xmlns:c16="http://schemas.microsoft.com/office/drawing/2014/chart" uri="{C3380CC4-5D6E-409C-BE32-E72D297353CC}">
              <c16:uniqueId val="{00000003-C0DF-475C-BB46-6DD5A06226B6}"/>
            </c:ext>
          </c:extLst>
        </c:ser>
        <c:dLbls>
          <c:showLegendKey val="0"/>
          <c:showVal val="0"/>
          <c:showCatName val="0"/>
          <c:showSerName val="0"/>
          <c:showPercent val="0"/>
          <c:showBubbleSize val="0"/>
        </c:dLbls>
        <c:gapWidth val="150"/>
        <c:overlap val="100"/>
        <c:axId val="523651936"/>
        <c:axId val="523653504"/>
      </c:barChart>
      <c:catAx>
        <c:axId val="523651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653504"/>
        <c:crosses val="autoZero"/>
        <c:auto val="1"/>
        <c:lblAlgn val="ctr"/>
        <c:lblOffset val="100"/>
        <c:noMultiLvlLbl val="0"/>
      </c:catAx>
      <c:valAx>
        <c:axId val="52365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alpha val="86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651936"/>
        <c:crosses val="autoZero"/>
        <c:crossBetween val="between"/>
        <c:majorUnit val="1.0000000000000002E-2"/>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'RAB charts'!$A$29</c:f>
              <c:strCache>
                <c:ptCount val="1"/>
                <c:pt idx="0">
                  <c:v>Building assets</c:v>
                </c:pt>
              </c:strCache>
            </c:strRef>
          </c:tx>
          <c:spPr>
            <a:solidFill>
              <a:schemeClr val="accent1"/>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charts'!$B$29:$K$29</c:f>
              <c:numCache>
                <c:formatCode>#,##0_ ;[Red]\-#,##0\ </c:formatCode>
                <c:ptCount val="10"/>
                <c:pt idx="0">
                  <c:v>3646.7229347733542</c:v>
                </c:pt>
                <c:pt idx="1">
                  <c:v>3516.2216488375375</c:v>
                </c:pt>
                <c:pt idx="2">
                  <c:v>3401.4685109399447</c:v>
                </c:pt>
                <c:pt idx="3">
                  <c:v>3276.9990954775549</c:v>
                </c:pt>
                <c:pt idx="4">
                  <c:v>3148.4695929061268</c:v>
                </c:pt>
                <c:pt idx="5">
                  <c:v>3944.2507874373532</c:v>
                </c:pt>
                <c:pt idx="6">
                  <c:v>4718.6171056282328</c:v>
                </c:pt>
                <c:pt idx="7">
                  <c:v>4640.9917358683851</c:v>
                </c:pt>
                <c:pt idx="8">
                  <c:v>4555.8397004437711</c:v>
                </c:pt>
                <c:pt idx="9">
                  <c:v>4462.8247894663909</c:v>
                </c:pt>
              </c:numCache>
            </c:numRef>
          </c:val>
          <c:extLst>
            <c:ext xmlns:c16="http://schemas.microsoft.com/office/drawing/2014/chart" uri="{C3380CC4-5D6E-409C-BE32-E72D297353CC}">
              <c16:uniqueId val="{00000000-6DF7-4322-9E40-FCAC333699C0}"/>
            </c:ext>
          </c:extLst>
        </c:ser>
        <c:ser>
          <c:idx val="1"/>
          <c:order val="1"/>
          <c:tx>
            <c:strRef>
              <c:f>'RAB charts'!$A$30</c:f>
              <c:strCache>
                <c:ptCount val="1"/>
                <c:pt idx="0">
                  <c:v>Non-building assets</c:v>
                </c:pt>
              </c:strCache>
            </c:strRef>
          </c:tx>
          <c:spPr>
            <a:solidFill>
              <a:schemeClr val="accent2"/>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charts'!$B$30:$K$30</c:f>
              <c:numCache>
                <c:formatCode>#,##0_ ;[Red]\-#,##0\ </c:formatCode>
                <c:ptCount val="10"/>
                <c:pt idx="0">
                  <c:v>8390.8217174337169</c:v>
                </c:pt>
                <c:pt idx="1">
                  <c:v>7548.2661713100051</c:v>
                </c:pt>
                <c:pt idx="2">
                  <c:v>6151.3196763854166</c:v>
                </c:pt>
                <c:pt idx="3">
                  <c:v>4818.1704555939959</c:v>
                </c:pt>
                <c:pt idx="4">
                  <c:v>4445.1242095153684</c:v>
                </c:pt>
                <c:pt idx="5">
                  <c:v>7095.9436393573396</c:v>
                </c:pt>
                <c:pt idx="6">
                  <c:v>11380.934482526385</c:v>
                </c:pt>
                <c:pt idx="7">
                  <c:v>13602.067945651699</c:v>
                </c:pt>
                <c:pt idx="8">
                  <c:v>13401.288611189946</c:v>
                </c:pt>
                <c:pt idx="9">
                  <c:v>12219.916070417563</c:v>
                </c:pt>
              </c:numCache>
            </c:numRef>
          </c:val>
          <c:extLst>
            <c:ext xmlns:c16="http://schemas.microsoft.com/office/drawing/2014/chart" uri="{C3380CC4-5D6E-409C-BE32-E72D297353CC}">
              <c16:uniqueId val="{00000001-6DF7-4322-9E40-FCAC333699C0}"/>
            </c:ext>
          </c:extLst>
        </c:ser>
        <c:ser>
          <c:idx val="2"/>
          <c:order val="2"/>
          <c:tx>
            <c:strRef>
              <c:f>'RAB charts'!$A$31</c:f>
              <c:strCache>
                <c:ptCount val="1"/>
                <c:pt idx="0">
                  <c:v>TNPP</c:v>
                </c:pt>
              </c:strCache>
            </c:strRef>
          </c:tx>
          <c:spPr>
            <a:solidFill>
              <a:schemeClr val="accent3"/>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charts'!$B$31:$K$31</c:f>
              <c:numCache>
                <c:formatCode>#,##0_ ;[Red]\-#,##0\ </c:formatCode>
                <c:ptCount val="10"/>
                <c:pt idx="0">
                  <c:v>3287.3815599825366</c:v>
                </c:pt>
                <c:pt idx="1">
                  <c:v>5492.0235974945826</c:v>
                </c:pt>
                <c:pt idx="2">
                  <c:v>7729.5172534240901</c:v>
                </c:pt>
                <c:pt idx="3">
                  <c:v>9323.8522027331819</c:v>
                </c:pt>
                <c:pt idx="4">
                  <c:v>11238.957853520273</c:v>
                </c:pt>
                <c:pt idx="5">
                  <c:v>14981.429955377294</c:v>
                </c:pt>
                <c:pt idx="6">
                  <c:v>19035.403353986305</c:v>
                </c:pt>
                <c:pt idx="7">
                  <c:v>21871.103930751469</c:v>
                </c:pt>
                <c:pt idx="8">
                  <c:v>19993.471284780495</c:v>
                </c:pt>
                <c:pt idx="9">
                  <c:v>13324.902660629245</c:v>
                </c:pt>
              </c:numCache>
            </c:numRef>
          </c:val>
          <c:extLst>
            <c:ext xmlns:c16="http://schemas.microsoft.com/office/drawing/2014/chart" uri="{C3380CC4-5D6E-409C-BE32-E72D297353CC}">
              <c16:uniqueId val="{00000002-6DF7-4322-9E40-FCAC333699C0}"/>
            </c:ext>
          </c:extLst>
        </c:ser>
        <c:ser>
          <c:idx val="3"/>
          <c:order val="3"/>
          <c:tx>
            <c:strRef>
              <c:f>'RAB charts'!$A$32</c:f>
              <c:strCache>
                <c:ptCount val="1"/>
                <c:pt idx="0">
                  <c:v>Special projects</c:v>
                </c:pt>
              </c:strCache>
            </c:strRef>
          </c:tx>
          <c:spPr>
            <a:solidFill>
              <a:schemeClr val="accent4"/>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charts'!$B$32:$K$32</c:f>
              <c:numCache>
                <c:formatCode>#,##0_ ;[Red]\-#,##0\ </c:formatCode>
                <c:ptCount val="10"/>
                <c:pt idx="0">
                  <c:v>0</c:v>
                </c:pt>
                <c:pt idx="1">
                  <c:v>0</c:v>
                </c:pt>
                <c:pt idx="2">
                  <c:v>0</c:v>
                </c:pt>
                <c:pt idx="3">
                  <c:v>0</c:v>
                </c:pt>
                <c:pt idx="4">
                  <c:v>10395.256405366274</c:v>
                </c:pt>
                <c:pt idx="5">
                  <c:v>18848.147263185354</c:v>
                </c:pt>
                <c:pt idx="6">
                  <c:v>13732.221577463619</c:v>
                </c:pt>
                <c:pt idx="7">
                  <c:v>8404.1196054077354</c:v>
                </c:pt>
                <c:pt idx="8">
                  <c:v>2857.4006658386302</c:v>
                </c:pt>
                <c:pt idx="9">
                  <c:v>0</c:v>
                </c:pt>
              </c:numCache>
            </c:numRef>
          </c:val>
          <c:extLst>
            <c:ext xmlns:c16="http://schemas.microsoft.com/office/drawing/2014/chart" uri="{C3380CC4-5D6E-409C-BE32-E72D297353CC}">
              <c16:uniqueId val="{00000003-6DF7-4322-9E40-FCAC333699C0}"/>
            </c:ext>
          </c:extLst>
        </c:ser>
        <c:dLbls>
          <c:showLegendKey val="0"/>
          <c:showVal val="0"/>
          <c:showCatName val="0"/>
          <c:showSerName val="0"/>
          <c:showPercent val="0"/>
          <c:showBubbleSize val="0"/>
        </c:dLbls>
        <c:gapWidth val="150"/>
        <c:overlap val="100"/>
        <c:axId val="371269536"/>
        <c:axId val="371271888"/>
      </c:barChart>
      <c:catAx>
        <c:axId val="3712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71271888"/>
        <c:crosses val="autoZero"/>
        <c:auto val="1"/>
        <c:lblAlgn val="ctr"/>
        <c:lblOffset val="100"/>
        <c:noMultiLvlLbl val="0"/>
      </c:catAx>
      <c:valAx>
        <c:axId val="37127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RAB value, £000s nominal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2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'RAB charts'!$A$37</c:f>
              <c:strCache>
                <c:ptCount val="1"/>
                <c:pt idx="0">
                  <c:v>Building assets</c:v>
                </c:pt>
              </c:strCache>
            </c:strRef>
          </c:tx>
          <c:spPr>
            <a:solidFill>
              <a:schemeClr val="accent1"/>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charts'!$B$37:$K$37</c:f>
              <c:numCache>
                <c:formatCode>#,##0_ ;[Red]\-#,##0\ </c:formatCode>
                <c:ptCount val="10"/>
                <c:pt idx="0">
                  <c:v>2494.158560366227</c:v>
                </c:pt>
                <c:pt idx="1">
                  <c:v>2531.1457763063804</c:v>
                </c:pt>
                <c:pt idx="2">
                  <c:v>2515.5820992226677</c:v>
                </c:pt>
                <c:pt idx="3">
                  <c:v>2491.113877356986</c:v>
                </c:pt>
                <c:pt idx="4">
                  <c:v>2500.9934188121638</c:v>
                </c:pt>
                <c:pt idx="5">
                  <c:v>2510.4430545700088</c:v>
                </c:pt>
                <c:pt idx="6">
                  <c:v>2434.5488074080595</c:v>
                </c:pt>
                <c:pt idx="7">
                  <c:v>2332.9065263577349</c:v>
                </c:pt>
                <c:pt idx="8">
                  <c:v>2204.901558105023</c:v>
                </c:pt>
                <c:pt idx="9">
                  <c:v>2070.3976533010859</c:v>
                </c:pt>
              </c:numCache>
            </c:numRef>
          </c:val>
          <c:extLst>
            <c:ext xmlns:c16="http://schemas.microsoft.com/office/drawing/2014/chart" uri="{C3380CC4-5D6E-409C-BE32-E72D297353CC}">
              <c16:uniqueId val="{00000000-4A2E-49CC-B759-EDD086BE6C33}"/>
            </c:ext>
          </c:extLst>
        </c:ser>
        <c:ser>
          <c:idx val="1"/>
          <c:order val="1"/>
          <c:tx>
            <c:strRef>
              <c:f>'RAB charts'!$A$38</c:f>
              <c:strCache>
                <c:ptCount val="1"/>
                <c:pt idx="0">
                  <c:v>Non-building assets</c:v>
                </c:pt>
              </c:strCache>
            </c:strRef>
          </c:tx>
          <c:spPr>
            <a:solidFill>
              <a:schemeClr val="accent2"/>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charts'!$B$38:$K$38</c:f>
              <c:numCache>
                <c:formatCode>#,##0_ ;[Red]\-#,##0\ </c:formatCode>
                <c:ptCount val="10"/>
                <c:pt idx="0">
                  <c:v>5810.0236133648832</c:v>
                </c:pt>
                <c:pt idx="1">
                  <c:v>4944.5961287737537</c:v>
                </c:pt>
                <c:pt idx="2">
                  <c:v>4481.4196012623433</c:v>
                </c:pt>
                <c:pt idx="3">
                  <c:v>4171.0115404315875</c:v>
                </c:pt>
                <c:pt idx="4">
                  <c:v>4372.5479439058236</c:v>
                </c:pt>
                <c:pt idx="5">
                  <c:v>5949.7239140401771</c:v>
                </c:pt>
                <c:pt idx="6">
                  <c:v>7681.8726046649244</c:v>
                </c:pt>
                <c:pt idx="7">
                  <c:v>8162.6660107691869</c:v>
                </c:pt>
                <c:pt idx="8">
                  <c:v>7973.3305933344491</c:v>
                </c:pt>
                <c:pt idx="9">
                  <c:v>7302.9579024311161</c:v>
                </c:pt>
              </c:numCache>
            </c:numRef>
          </c:val>
          <c:extLst>
            <c:ext xmlns:c16="http://schemas.microsoft.com/office/drawing/2014/chart" uri="{C3380CC4-5D6E-409C-BE32-E72D297353CC}">
              <c16:uniqueId val="{00000001-4A2E-49CC-B759-EDD086BE6C33}"/>
            </c:ext>
          </c:extLst>
        </c:ser>
        <c:ser>
          <c:idx val="2"/>
          <c:order val="2"/>
          <c:tx>
            <c:strRef>
              <c:f>'RAB charts'!$A$39</c:f>
              <c:strCache>
                <c:ptCount val="1"/>
                <c:pt idx="0">
                  <c:v>TNPP</c:v>
                </c:pt>
              </c:strCache>
            </c:strRef>
          </c:tx>
          <c:spPr>
            <a:solidFill>
              <a:schemeClr val="accent3"/>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charts'!$B$39:$K$39</c:f>
              <c:numCache>
                <c:formatCode>#,##0_ ;[Red]\-#,##0\ </c:formatCode>
                <c:ptCount val="10"/>
                <c:pt idx="0">
                  <c:v>2430.1981419144881</c:v>
                </c:pt>
                <c:pt idx="1">
                  <c:v>4751.3211788812105</c:v>
                </c:pt>
                <c:pt idx="2">
                  <c:v>7193.1640331600838</c:v>
                </c:pt>
                <c:pt idx="3">
                  <c:v>9033.8195984801168</c:v>
                </c:pt>
                <c:pt idx="4">
                  <c:v>11043.688658005958</c:v>
                </c:pt>
                <c:pt idx="5">
                  <c:v>14605.568385891327</c:v>
                </c:pt>
                <c:pt idx="6">
                  <c:v>18652.024553110619</c:v>
                </c:pt>
                <c:pt idx="7">
                  <c:v>21480.057553858271</c:v>
                </c:pt>
                <c:pt idx="8">
                  <c:v>19594.603980349431</c:v>
                </c:pt>
                <c:pt idx="9">
                  <c:v>12918.05801010956</c:v>
                </c:pt>
              </c:numCache>
            </c:numRef>
          </c:val>
          <c:extLst>
            <c:ext xmlns:c16="http://schemas.microsoft.com/office/drawing/2014/chart" uri="{C3380CC4-5D6E-409C-BE32-E72D297353CC}">
              <c16:uniqueId val="{00000002-4A2E-49CC-B759-EDD086BE6C33}"/>
            </c:ext>
          </c:extLst>
        </c:ser>
        <c:ser>
          <c:idx val="3"/>
          <c:order val="3"/>
          <c:tx>
            <c:strRef>
              <c:f>'RAB charts'!$A$40</c:f>
              <c:strCache>
                <c:ptCount val="1"/>
                <c:pt idx="0">
                  <c:v>Special projects</c:v>
                </c:pt>
              </c:strCache>
            </c:strRef>
          </c:tx>
          <c:spPr>
            <a:solidFill>
              <a:schemeClr val="accent4"/>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charts'!$B$40:$K$40</c:f>
              <c:numCache>
                <c:formatCode>#,##0_ ;[Red]\-#,##0\ </c:formatCode>
                <c:ptCount val="10"/>
                <c:pt idx="0">
                  <c:v>0</c:v>
                </c:pt>
                <c:pt idx="1">
                  <c:v>0</c:v>
                </c:pt>
                <c:pt idx="2">
                  <c:v>0</c:v>
                </c:pt>
                <c:pt idx="3">
                  <c:v>0</c:v>
                </c:pt>
                <c:pt idx="4">
                  <c:v>10395.256405366275</c:v>
                </c:pt>
                <c:pt idx="5">
                  <c:v>18652.262419465522</c:v>
                </c:pt>
                <c:pt idx="6">
                  <c:v>13770.681421360376</c:v>
                </c:pt>
                <c:pt idx="7">
                  <c:v>8614.3262183283223</c:v>
                </c:pt>
                <c:pt idx="8">
                  <c:v>3191.71869837041</c:v>
                </c:pt>
                <c:pt idx="9">
                  <c:v>370.03845511091191</c:v>
                </c:pt>
              </c:numCache>
            </c:numRef>
          </c:val>
          <c:extLst>
            <c:ext xmlns:c16="http://schemas.microsoft.com/office/drawing/2014/chart" uri="{C3380CC4-5D6E-409C-BE32-E72D297353CC}">
              <c16:uniqueId val="{00000003-4A2E-49CC-B759-EDD086BE6C33}"/>
            </c:ext>
          </c:extLst>
        </c:ser>
        <c:dLbls>
          <c:showLegendKey val="0"/>
          <c:showVal val="0"/>
          <c:showCatName val="0"/>
          <c:showSerName val="0"/>
          <c:showPercent val="0"/>
          <c:showBubbleSize val="0"/>
        </c:dLbls>
        <c:gapWidth val="150"/>
        <c:overlap val="100"/>
        <c:axId val="371272672"/>
        <c:axId val="371272280"/>
      </c:barChart>
      <c:catAx>
        <c:axId val="37127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71272280"/>
        <c:crosses val="autoZero"/>
        <c:auto val="1"/>
        <c:lblAlgn val="ctr"/>
        <c:lblOffset val="100"/>
        <c:noMultiLvlLbl val="0"/>
      </c:catAx>
      <c:valAx>
        <c:axId val="371272280"/>
        <c:scaling>
          <c:orientation val="minMax"/>
          <c:max val="6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Average RAB value, £000s nominal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27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'RAB charts'!$A$20</c:f>
              <c:strCache>
                <c:ptCount val="1"/>
                <c:pt idx="0">
                  <c:v>Notional equity at 55% gearing</c:v>
                </c:pt>
              </c:strCache>
            </c:strRef>
          </c:tx>
          <c:spPr>
            <a:solidFill>
              <a:schemeClr val="accent1"/>
            </a:solidFill>
            <a:ln>
              <a:noFill/>
            </a:ln>
            <a:effectLst/>
          </c:spPr>
          <c:invertIfNegative val="0"/>
          <c:cat>
            <c:strRef>
              <c:f>'RAB charts'!$B$19:$K$19</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charts'!$B$20:$K$20</c:f>
              <c:numCache>
                <c:formatCode>#,##0_ ;[Red]\-#,##0\ </c:formatCode>
                <c:ptCount val="10"/>
                <c:pt idx="0">
                  <c:v>4880.8699644537619</c:v>
                </c:pt>
                <c:pt idx="1">
                  <c:v>5951.7040885675515</c:v>
                </c:pt>
                <c:pt idx="2">
                  <c:v>6619.2953776776858</c:v>
                </c:pt>
                <c:pt idx="3">
                  <c:v>7737.0132575129601</c:v>
                </c:pt>
                <c:pt idx="4">
                  <c:v>18063.800660934005</c:v>
                </c:pt>
                <c:pt idx="5">
                  <c:v>19121.121322417646</c:v>
                </c:pt>
                <c:pt idx="6">
                  <c:v>18781.670899023582</c:v>
                </c:pt>
                <c:pt idx="7">
                  <c:v>17373.656361378107</c:v>
                </c:pt>
                <c:pt idx="8">
                  <c:v>11946.969858537715</c:v>
                </c:pt>
                <c:pt idx="9">
                  <c:v>8209.3975631489338</c:v>
                </c:pt>
              </c:numCache>
            </c:numRef>
          </c:val>
          <c:extLst>
            <c:ext xmlns:c16="http://schemas.microsoft.com/office/drawing/2014/chart" uri="{C3380CC4-5D6E-409C-BE32-E72D297353CC}">
              <c16:uniqueId val="{00000000-BAB2-411E-9E64-EE924EFCC93F}"/>
            </c:ext>
          </c:extLst>
        </c:ser>
        <c:ser>
          <c:idx val="1"/>
          <c:order val="1"/>
          <c:tx>
            <c:strRef>
              <c:f>'RAB charts'!$A$21</c:f>
              <c:strCache>
                <c:ptCount val="1"/>
                <c:pt idx="0">
                  <c:v>PCG</c:v>
                </c:pt>
              </c:strCache>
            </c:strRef>
          </c:tx>
          <c:spPr>
            <a:solidFill>
              <a:schemeClr val="accent2"/>
            </a:solidFill>
            <a:ln>
              <a:noFill/>
            </a:ln>
            <a:effectLst/>
          </c:spPr>
          <c:invertIfNegative val="0"/>
          <c:cat>
            <c:strRef>
              <c:f>'RAB charts'!$B$19:$K$19</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charts'!$B$21:$K$21</c:f>
              <c:numCache>
                <c:formatCode>#,##0_ ;[Red]\-#,##0\ </c:formatCode>
                <c:ptCount val="10"/>
                <c:pt idx="0">
                  <c:v>10000</c:v>
                </c:pt>
                <c:pt idx="1">
                  <c:v>10000</c:v>
                </c:pt>
                <c:pt idx="2">
                  <c:v>10000</c:v>
                </c:pt>
                <c:pt idx="3">
                  <c:v>10000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1-BAB2-411E-9E64-EE924EFCC93F}"/>
            </c:ext>
          </c:extLst>
        </c:ser>
        <c:dLbls>
          <c:showLegendKey val="0"/>
          <c:showVal val="0"/>
          <c:showCatName val="0"/>
          <c:showSerName val="0"/>
          <c:showPercent val="0"/>
          <c:showBubbleSize val="0"/>
        </c:dLbls>
        <c:gapWidth val="150"/>
        <c:overlap val="100"/>
        <c:axId val="371270712"/>
        <c:axId val="371269928"/>
      </c:barChart>
      <c:catAx>
        <c:axId val="37127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71269928"/>
        <c:crosses val="autoZero"/>
        <c:auto val="1"/>
        <c:lblAlgn val="ctr"/>
        <c:lblOffset val="100"/>
        <c:noMultiLvlLbl val="0"/>
      </c:catAx>
      <c:valAx>
        <c:axId val="371269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£000s</a:t>
                </a:r>
                <a:r>
                  <a:rPr lang="en-GB" baseline="0"/>
                  <a:t> nominal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270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'RAB charts'!$A$23</c:f>
              <c:strCache>
                <c:ptCount val="1"/>
                <c:pt idx="0">
                  <c:v>Notional equity at 30% gearing</c:v>
                </c:pt>
              </c:strCache>
            </c:strRef>
          </c:tx>
          <c:spPr>
            <a:solidFill>
              <a:schemeClr val="accent1"/>
            </a:solidFill>
            <a:ln>
              <a:noFill/>
            </a:ln>
            <a:effectLst/>
          </c:spPr>
          <c:invertIfNegative val="0"/>
          <c:cat>
            <c:strRef>
              <c:f>'RAB charts'!$B$22:$K$22</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charts'!$B$23:$K$23</c:f>
              <c:numCache>
                <c:formatCode>#,##0_ ;[Red]\-#,##0\ </c:formatCode>
                <c:ptCount val="10"/>
                <c:pt idx="0">
                  <c:v>7592.4643891502965</c:v>
                </c:pt>
                <c:pt idx="1">
                  <c:v>9258.2063599939684</c:v>
                </c:pt>
                <c:pt idx="2">
                  <c:v>10296.681698609733</c:v>
                </c:pt>
                <c:pt idx="3">
                  <c:v>12035.353956131272</c:v>
                </c:pt>
                <c:pt idx="4">
                  <c:v>28099.245472564005</c:v>
                </c:pt>
                <c:pt idx="5">
                  <c:v>29743.966501538562</c:v>
                </c:pt>
                <c:pt idx="6">
                  <c:v>29215.93250959224</c:v>
                </c:pt>
                <c:pt idx="7">
                  <c:v>27025.687673254833</c:v>
                </c:pt>
                <c:pt idx="8">
                  <c:v>18584.175335503114</c:v>
                </c:pt>
                <c:pt idx="9">
                  <c:v>12770.173987120565</c:v>
                </c:pt>
              </c:numCache>
            </c:numRef>
          </c:val>
          <c:extLst>
            <c:ext xmlns:c16="http://schemas.microsoft.com/office/drawing/2014/chart" uri="{C3380CC4-5D6E-409C-BE32-E72D297353CC}">
              <c16:uniqueId val="{00000000-8D1D-4BB9-B00F-76F118522ADD}"/>
            </c:ext>
          </c:extLst>
        </c:ser>
        <c:dLbls>
          <c:showLegendKey val="0"/>
          <c:showVal val="0"/>
          <c:showCatName val="0"/>
          <c:showSerName val="0"/>
          <c:showPercent val="0"/>
          <c:showBubbleSize val="0"/>
        </c:dLbls>
        <c:gapWidth val="219"/>
        <c:overlap val="-27"/>
        <c:axId val="524949096"/>
        <c:axId val="524949488"/>
      </c:barChart>
      <c:catAx>
        <c:axId val="524949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524949488"/>
        <c:crosses val="autoZero"/>
        <c:auto val="1"/>
        <c:lblAlgn val="ctr"/>
        <c:lblOffset val="100"/>
        <c:noMultiLvlLbl val="0"/>
      </c:catAx>
      <c:valAx>
        <c:axId val="52494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£000s nominal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949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357187</xdr:colOff>
      <xdr:row>0</xdr:row>
      <xdr:rowOff>11905</xdr:rowOff>
    </xdr:from>
    <xdr:to>
      <xdr:col>15</xdr:col>
      <xdr:colOff>40480</xdr:colOff>
      <xdr:row>19</xdr:row>
      <xdr:rowOff>42862</xdr:rowOff>
    </xdr:to>
    <xdr:graphicFrame macro="">
      <xdr:nvGraphicFramePr>
        <xdr:cNvPr id="2" name="Chart 1">
          <a:extLst>
            <a:ext uri="{FF2B5EF4-FFF2-40B4-BE49-F238E27FC236}">
              <a16:creationId xmlns:a16="http://schemas.microsoft.com/office/drawing/2014/main" id="{93FA8CC1-52B9-49FD-8D75-7C07DA8C57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178593</xdr:colOff>
      <xdr:row>56</xdr:row>
      <xdr:rowOff>77986</xdr:rowOff>
    </xdr:from>
    <xdr:to>
      <xdr:col>3</xdr:col>
      <xdr:colOff>464343</xdr:colOff>
      <xdr:row>71</xdr:row>
      <xdr:rowOff>142280</xdr:rowOff>
    </xdr:to>
    <xdr:graphicFrame macro="">
      <xdr:nvGraphicFramePr>
        <xdr:cNvPr id="3" name="Chart 2">
          <a:extLst>
            <a:ext uri="{FF2B5EF4-FFF2-40B4-BE49-F238E27FC236}">
              <a16:creationId xmlns:a16="http://schemas.microsoft.com/office/drawing/2014/main" id="{F7BAB7A1-B825-40AB-83E1-8542DB9517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351234</xdr:colOff>
      <xdr:row>56</xdr:row>
      <xdr:rowOff>48220</xdr:rowOff>
    </xdr:from>
    <xdr:to>
      <xdr:col>10</xdr:col>
      <xdr:colOff>636984</xdr:colOff>
      <xdr:row>71</xdr:row>
      <xdr:rowOff>112514</xdr:rowOff>
    </xdr:to>
    <xdr:graphicFrame macro="">
      <xdr:nvGraphicFramePr>
        <xdr:cNvPr id="4" name="Chart 3">
          <a:extLst>
            <a:ext uri="{FF2B5EF4-FFF2-40B4-BE49-F238E27FC236}">
              <a16:creationId xmlns:a16="http://schemas.microsoft.com/office/drawing/2014/main" id="{4B0AC185-0149-4A91-BB5C-5BF4DAE134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71438</xdr:colOff>
      <xdr:row>40</xdr:row>
      <xdr:rowOff>83938</xdr:rowOff>
    </xdr:from>
    <xdr:to>
      <xdr:col>3</xdr:col>
      <xdr:colOff>357188</xdr:colOff>
      <xdr:row>55</xdr:row>
      <xdr:rowOff>148232</xdr:rowOff>
    </xdr:to>
    <xdr:graphicFrame macro="">
      <xdr:nvGraphicFramePr>
        <xdr:cNvPr id="5" name="Chart 4">
          <a:extLst>
            <a:ext uri="{FF2B5EF4-FFF2-40B4-BE49-F238E27FC236}">
              <a16:creationId xmlns:a16="http://schemas.microsoft.com/office/drawing/2014/main" id="{1550715E-9225-4C0E-9875-3272D6A408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541734</xdr:colOff>
      <xdr:row>40</xdr:row>
      <xdr:rowOff>18455</xdr:rowOff>
    </xdr:from>
    <xdr:to>
      <xdr:col>10</xdr:col>
      <xdr:colOff>113109</xdr:colOff>
      <xdr:row>55</xdr:row>
      <xdr:rowOff>82749</xdr:rowOff>
    </xdr:to>
    <xdr:graphicFrame macro="">
      <xdr:nvGraphicFramePr>
        <xdr:cNvPr id="6" name="Chart 5">
          <a:extLst>
            <a:ext uri="{FF2B5EF4-FFF2-40B4-BE49-F238E27FC236}">
              <a16:creationId xmlns:a16="http://schemas.microsoft.com/office/drawing/2014/main" id="{7797DA34-280A-42B3-84B1-AD776C73A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4</xdr:row>
      <xdr:rowOff>95250</xdr:rowOff>
    </xdr:from>
    <xdr:to>
      <xdr:col>1</xdr:col>
      <xdr:colOff>2933700</xdr:colOff>
      <xdr:row>7</xdr:row>
      <xdr:rowOff>104775</xdr:rowOff>
    </xdr:to>
    <xdr:pic>
      <xdr:nvPicPr>
        <xdr:cNvPr id="2" name="Picture 1" descr="UtilityRegulator">
          <a:extLst>
            <a:ext uri="{FF2B5EF4-FFF2-40B4-BE49-F238E27FC236}">
              <a16:creationId xmlns:a16="http://schemas.microsoft.com/office/drawing/2014/main" id="{E716B073-773A-4C7F-B05A-34EE7A37F3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0"/>
          <a:ext cx="2933700" cy="5524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4</xdr:row>
      <xdr:rowOff>95250</xdr:rowOff>
    </xdr:from>
    <xdr:to>
      <xdr:col>1</xdr:col>
      <xdr:colOff>2933700</xdr:colOff>
      <xdr:row>7</xdr:row>
      <xdr:rowOff>104775</xdr:rowOff>
    </xdr:to>
    <xdr:pic>
      <xdr:nvPicPr>
        <xdr:cNvPr id="2" name="Picture 1" descr="UtilityRegulator">
          <a:extLst>
            <a:ext uri="{FF2B5EF4-FFF2-40B4-BE49-F238E27FC236}">
              <a16:creationId xmlns:a16="http://schemas.microsoft.com/office/drawing/2014/main" id="{ABFA9B26-2383-403F-A6F6-60A84C1E91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19150"/>
          <a:ext cx="2933700" cy="5524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92003</xdr:colOff>
      <xdr:row>2</xdr:row>
      <xdr:rowOff>25978</xdr:rowOff>
    </xdr:from>
    <xdr:to>
      <xdr:col>1</xdr:col>
      <xdr:colOff>1932059</xdr:colOff>
      <xdr:row>4</xdr:row>
      <xdr:rowOff>164523</xdr:rowOff>
    </xdr:to>
    <xdr:pic>
      <xdr:nvPicPr>
        <xdr:cNvPr id="2" name="Picture 1" descr="UtilityRegulator">
          <a:extLst>
            <a:ext uri="{FF2B5EF4-FFF2-40B4-BE49-F238E27FC236}">
              <a16:creationId xmlns:a16="http://schemas.microsoft.com/office/drawing/2014/main" id="{C2229669-2C8E-42EE-9E7C-1FA5051A28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6765" y="30740"/>
          <a:ext cx="1835294" cy="50049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0</xdr:rowOff>
    </xdr:from>
    <xdr:to>
      <xdr:col>2</xdr:col>
      <xdr:colOff>719138</xdr:colOff>
      <xdr:row>4</xdr:row>
      <xdr:rowOff>0</xdr:rowOff>
    </xdr:to>
    <xdr:pic>
      <xdr:nvPicPr>
        <xdr:cNvPr id="2" name="Picture 1" descr="UtilityRegulator">
          <a:extLst>
            <a:ext uri="{FF2B5EF4-FFF2-40B4-BE49-F238E27FC236}">
              <a16:creationId xmlns:a16="http://schemas.microsoft.com/office/drawing/2014/main" id="{170EFDFB-8F37-449B-9CB5-CD8C7C1CFC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514599" cy="5429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108455</xdr:colOff>
      <xdr:row>0</xdr:row>
      <xdr:rowOff>159328</xdr:rowOff>
    </xdr:from>
    <xdr:to>
      <xdr:col>2</xdr:col>
      <xdr:colOff>601158</xdr:colOff>
      <xdr:row>3</xdr:row>
      <xdr:rowOff>107373</xdr:rowOff>
    </xdr:to>
    <xdr:pic>
      <xdr:nvPicPr>
        <xdr:cNvPr id="2" name="Picture 1" descr="UtilityRegulator">
          <a:extLst>
            <a:ext uri="{FF2B5EF4-FFF2-40B4-BE49-F238E27FC236}">
              <a16:creationId xmlns:a16="http://schemas.microsoft.com/office/drawing/2014/main" id="{92C494F3-B8B2-4F3A-A529-CFCE0FDFA7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455" y="159328"/>
          <a:ext cx="2169103" cy="490970"/>
        </a:xfrm>
        <a:prstGeom prst="rect">
          <a:avLst/>
        </a:prstGeom>
        <a:noFill/>
      </xdr:spPr>
    </xdr:pic>
    <xdr:clientData/>
  </xdr:twoCellAnchor>
  <xdr:twoCellAnchor>
    <xdr:from>
      <xdr:col>3</xdr:col>
      <xdr:colOff>0</xdr:colOff>
      <xdr:row>0</xdr:row>
      <xdr:rowOff>121920</xdr:rowOff>
    </xdr:from>
    <xdr:to>
      <xdr:col>20</xdr:col>
      <xdr:colOff>426720</xdr:colOff>
      <xdr:row>3</xdr:row>
      <xdr:rowOff>45720</xdr:rowOff>
    </xdr:to>
    <xdr:sp macro="" textlink="">
      <xdr:nvSpPr>
        <xdr:cNvPr id="3" name="TextBox 2">
          <a:extLst>
            <a:ext uri="{FF2B5EF4-FFF2-40B4-BE49-F238E27FC236}">
              <a16:creationId xmlns:a16="http://schemas.microsoft.com/office/drawing/2014/main" id="{078DAE19-C165-4F40-ADFF-14D5A375BDBB}"/>
            </a:ext>
          </a:extLst>
        </xdr:cNvPr>
        <xdr:cNvSpPr txBox="1"/>
      </xdr:nvSpPr>
      <xdr:spPr>
        <a:xfrm>
          <a:off x="3819525" y="121920"/>
          <a:ext cx="8389620" cy="4667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a:t>This</a:t>
          </a:r>
          <a:r>
            <a:rPr lang="en-IE" sz="1100" baseline="0"/>
            <a:t> Tab includes historic nominal figures from 2015/16 to 2017/18, April 2019 RPI figures for 2018/19 and 2019/20, April 2019 CPIH figures from 2020/21 to 2024/25.  Figures for all three can be made available on request for all years.</a:t>
          </a:r>
          <a:endParaRPr lang="en-I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20AREA/SONI%20Price%20Control/Price%20Control%202015%20to%202020/Board%20papers/Aug%20BAF%20-%20FD%20Discusssion/2015-08-13%20Draft%20SONI%20financial%20model%20v%205.3%20s6%20WACC%20calc%20-%20used%20for%20Aug%20Board%20pap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1"/>
      <sheetName val="Calc2"/>
      <sheetName val="Bt"/>
      <sheetName val="P&amp;L"/>
      <sheetName val="Cash flow"/>
      <sheetName val="Balance sheet"/>
      <sheetName val="Ratios"/>
    </sheetNames>
    <sheetDataSet>
      <sheetData sheetId="0">
        <row r="5">
          <cell r="B5">
            <v>39173</v>
          </cell>
          <cell r="C5">
            <v>39539</v>
          </cell>
          <cell r="D5">
            <v>39904</v>
          </cell>
          <cell r="E5">
            <v>40269</v>
          </cell>
          <cell r="F5">
            <v>40634</v>
          </cell>
          <cell r="G5">
            <v>41000</v>
          </cell>
          <cell r="H5">
            <v>41365</v>
          </cell>
          <cell r="I5">
            <v>41730</v>
          </cell>
          <cell r="J5">
            <v>42095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B4DDB-597E-4136-9F8F-1FBCACE29E36}">
  <sheetPr>
    <tabColor rgb="FFFF0000"/>
  </sheetPr>
  <dimension ref="A1:A7"/>
  <sheetViews>
    <sheetView showGridLines="0" zoomScale="80" zoomScaleNormal="80" workbookViewId="0"/>
  </sheetViews>
  <sheetFormatPr defaultColWidth="8.6640625" defaultRowHeight="14.25"/>
  <cols>
    <col min="1" max="1" width="182" style="299" customWidth="1"/>
    <col min="2" max="2" width="11.33203125" style="299" customWidth="1"/>
    <col min="3" max="3" width="12.1328125" style="299" customWidth="1"/>
    <col min="4" max="23" width="10.33203125" style="299" customWidth="1"/>
    <col min="24" max="16384" width="8.6640625" style="299"/>
  </cols>
  <sheetData>
    <row r="1" spans="1:1" ht="18">
      <c r="A1" s="267" t="s">
        <v>812</v>
      </c>
    </row>
    <row r="4" spans="1:1">
      <c r="A4" s="1" t="s">
        <v>820</v>
      </c>
    </row>
    <row r="5" spans="1:1" ht="28.5">
      <c r="A5" s="425" t="s">
        <v>815</v>
      </c>
    </row>
    <row r="6" spans="1:1">
      <c r="A6" s="425" t="s">
        <v>814</v>
      </c>
    </row>
    <row r="7" spans="1:1" ht="57">
      <c r="A7" s="425" t="s">
        <v>813</v>
      </c>
    </row>
  </sheetData>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5156-6755-4827-A0B7-5520AE699ABD}">
  <sheetPr>
    <tabColor theme="9" tint="0.59999389629810485"/>
  </sheetPr>
  <dimension ref="A1:AG31"/>
  <sheetViews>
    <sheetView showGridLines="0" zoomScale="80" zoomScaleNormal="80" workbookViewId="0"/>
  </sheetViews>
  <sheetFormatPr defaultColWidth="8.6640625" defaultRowHeight="14.25"/>
  <cols>
    <col min="1" max="1" width="42.33203125" style="299" customWidth="1"/>
    <col min="2" max="2" width="10.6640625" style="299" customWidth="1"/>
    <col min="3" max="22" width="10.33203125" style="299" customWidth="1"/>
    <col min="23" max="16384" width="8.6640625" style="299"/>
  </cols>
  <sheetData>
    <row r="1" spans="1:19" ht="18">
      <c r="A1" s="267" t="s">
        <v>700</v>
      </c>
    </row>
    <row r="2" spans="1:19">
      <c r="A2" s="299" t="s">
        <v>701</v>
      </c>
      <c r="B2" s="228"/>
      <c r="C2" s="228"/>
      <c r="D2" s="228"/>
      <c r="E2" s="228"/>
      <c r="F2" s="228"/>
      <c r="G2" s="228"/>
      <c r="H2" s="228"/>
      <c r="I2" s="228"/>
      <c r="J2" s="228"/>
      <c r="K2" s="228"/>
      <c r="L2" s="228"/>
      <c r="M2" s="228"/>
    </row>
    <row r="3" spans="1:19">
      <c r="A3"/>
      <c r="B3" s="228" t="s">
        <v>371</v>
      </c>
      <c r="C3" s="228" t="s">
        <v>372</v>
      </c>
      <c r="D3" s="228" t="s">
        <v>373</v>
      </c>
      <c r="E3" s="228" t="s">
        <v>374</v>
      </c>
      <c r="F3" s="228" t="s">
        <v>375</v>
      </c>
      <c r="G3" s="228" t="s">
        <v>376</v>
      </c>
      <c r="H3" s="228" t="s">
        <v>377</v>
      </c>
      <c r="I3" s="228" t="s">
        <v>378</v>
      </c>
      <c r="J3" s="228" t="s">
        <v>379</v>
      </c>
      <c r="K3" s="228" t="s">
        <v>380</v>
      </c>
      <c r="L3" s="228" t="s">
        <v>381</v>
      </c>
      <c r="M3" s="228" t="s">
        <v>382</v>
      </c>
      <c r="N3" s="228" t="s">
        <v>383</v>
      </c>
      <c r="O3" s="228" t="s">
        <v>384</v>
      </c>
      <c r="P3" s="228" t="s">
        <v>385</v>
      </c>
      <c r="Q3" s="228" t="s">
        <v>386</v>
      </c>
      <c r="R3" s="228" t="s">
        <v>387</v>
      </c>
      <c r="S3" s="228" t="s">
        <v>237</v>
      </c>
    </row>
    <row r="4" spans="1:19">
      <c r="A4" t="s">
        <v>388</v>
      </c>
      <c r="B4" s="224">
        <v>9.0228014436542076E-4</v>
      </c>
      <c r="C4" s="224">
        <v>3.7853468981048702E-3</v>
      </c>
      <c r="D4" s="224">
        <v>1.5083937577596226E-3</v>
      </c>
      <c r="E4" s="224">
        <v>2.335625819894209E-3</v>
      </c>
      <c r="F4" s="224">
        <v>1.4030315044924468E-4</v>
      </c>
      <c r="G4" s="224">
        <v>2.937277716202516E-3</v>
      </c>
      <c r="H4" s="224">
        <v>2.3523466050787215E-3</v>
      </c>
      <c r="I4" s="224">
        <v>3.6814625305138446E-3</v>
      </c>
      <c r="J4" s="224">
        <v>2.3458121070477206E-3</v>
      </c>
      <c r="K4" s="224">
        <v>1.2557713854091518E-3</v>
      </c>
      <c r="L4" s="224">
        <v>2.8360696558208526E-4</v>
      </c>
      <c r="M4" s="224">
        <v>3.0762802230094519E-3</v>
      </c>
      <c r="N4" s="224">
        <v>3.5785044429592835E-3</v>
      </c>
      <c r="O4" s="224">
        <v>4.3517883894147319E-4</v>
      </c>
      <c r="P4" s="224">
        <v>2.1640561048313009E-3</v>
      </c>
      <c r="Q4" s="224">
        <v>3.3272665765932893E-3</v>
      </c>
      <c r="R4" s="224">
        <v>3.7420884436626875E-3</v>
      </c>
      <c r="S4" s="283">
        <f t="shared" ref="S4:S16" si="0">AVERAGE(B4:R4)</f>
        <v>2.2265648064944054E-3</v>
      </c>
    </row>
    <row r="5" spans="1:19">
      <c r="A5" t="s">
        <v>389</v>
      </c>
      <c r="B5" s="224">
        <v>-7.2763959105908577E-4</v>
      </c>
      <c r="C5" s="224">
        <v>-3.7825088339554641E-3</v>
      </c>
      <c r="D5" s="224">
        <v>-1.5083937577596226E-3</v>
      </c>
      <c r="E5" s="224">
        <v>-2.3346705861762435E-3</v>
      </c>
      <c r="F5" s="224">
        <v>-4.817798562036929E-4</v>
      </c>
      <c r="G5" s="224">
        <v>-2.9372777162025229E-3</v>
      </c>
      <c r="H5" s="224">
        <v>-2.3523466050787284E-3</v>
      </c>
      <c r="I5" s="224">
        <v>-3.1735931042105314E-3</v>
      </c>
      <c r="J5" s="224">
        <v>-2.3458121070477206E-3</v>
      </c>
      <c r="K5" s="224">
        <v>-1.3218646162201572E-3</v>
      </c>
      <c r="L5" s="224">
        <v>-2.8805055317588507E-4</v>
      </c>
      <c r="M5" s="224">
        <v>-3.0762802230094657E-3</v>
      </c>
      <c r="N5" s="224">
        <v>-4.3136369876955391E-3</v>
      </c>
      <c r="O5" s="224">
        <v>-2.8168213176923973E-4</v>
      </c>
      <c r="P5" s="224">
        <v>-2.164056104831294E-3</v>
      </c>
      <c r="Q5" s="224">
        <v>-2.1808495190009727E-3</v>
      </c>
      <c r="R5" s="224">
        <v>-3.7420884436626806E-3</v>
      </c>
      <c r="S5" s="283">
        <f t="shared" si="0"/>
        <v>-2.1772076904152263E-3</v>
      </c>
    </row>
    <row r="6" spans="1:19">
      <c r="A6" t="s">
        <v>390</v>
      </c>
      <c r="B6" s="224">
        <v>4.6318661017772447E-3</v>
      </c>
      <c r="C6" s="224">
        <v>1.0943416263277488E-2</v>
      </c>
      <c r="D6" s="224">
        <v>4.6935588041390891E-3</v>
      </c>
      <c r="E6" s="224">
        <v>4.235141669560398E-3</v>
      </c>
      <c r="F6" s="224">
        <v>3.5561129887707738E-3</v>
      </c>
      <c r="G6" s="224">
        <v>4.1159893712745255E-3</v>
      </c>
      <c r="H6" s="224">
        <v>3.1636537800703093E-3</v>
      </c>
      <c r="I6" s="224">
        <v>3.2309664125140039E-3</v>
      </c>
      <c r="J6" s="224">
        <v>2.930779457188927E-3</v>
      </c>
      <c r="K6" s="224">
        <v>3.4682854083536788E-3</v>
      </c>
      <c r="L6" s="224">
        <v>3.202706661423721E-3</v>
      </c>
      <c r="M6" s="224">
        <v>8.0199315878122998E-3</v>
      </c>
      <c r="N6" s="224">
        <v>7.774614214061025E-3</v>
      </c>
      <c r="O6" s="224">
        <v>8.2474871365489713E-3</v>
      </c>
      <c r="P6" s="224">
        <v>6.399987740118393E-3</v>
      </c>
      <c r="Q6" s="224">
        <v>1.3488398802008694E-2</v>
      </c>
      <c r="R6" s="224">
        <v>8.0039723847634137E-3</v>
      </c>
      <c r="S6" s="283">
        <f t="shared" si="0"/>
        <v>5.8886393402154671E-3</v>
      </c>
    </row>
    <row r="7" spans="1:19">
      <c r="A7" t="s">
        <v>391</v>
      </c>
      <c r="B7" s="224">
        <v>-6.0439272870253802E-3</v>
      </c>
      <c r="C7" s="224">
        <v>-1.25901353975841E-2</v>
      </c>
      <c r="D7" s="224">
        <v>-5.6287763223242734E-3</v>
      </c>
      <c r="E7" s="224">
        <v>-5.3200187465724386E-3</v>
      </c>
      <c r="F7" s="224">
        <v>-4.5441140519151546E-3</v>
      </c>
      <c r="G7" s="224">
        <v>-5.4949871987898108E-3</v>
      </c>
      <c r="H7" s="224">
        <v>-3.7107200167284735E-3</v>
      </c>
      <c r="I7" s="224">
        <v>-3.766162821548881E-3</v>
      </c>
      <c r="J7" s="224">
        <v>-3.6701490849081128E-3</v>
      </c>
      <c r="K7" s="224">
        <v>-4.1555002607518918E-3</v>
      </c>
      <c r="L7" s="224">
        <v>-3.6038980213698724E-3</v>
      </c>
      <c r="M7" s="224">
        <v>-1.0270974516766944E-2</v>
      </c>
      <c r="N7" s="224">
        <v>-9.6826188107413252E-3</v>
      </c>
      <c r="O7" s="224">
        <v>-9.1375802452434915E-3</v>
      </c>
      <c r="P7" s="224">
        <v>-8.8346474276200376E-3</v>
      </c>
      <c r="Q7" s="224">
        <v>-1.7527591553414337E-2</v>
      </c>
      <c r="R7" s="224">
        <v>-1.0313894484848617E-2</v>
      </c>
      <c r="S7" s="283">
        <f t="shared" si="0"/>
        <v>-7.3115115440090086E-3</v>
      </c>
    </row>
    <row r="8" spans="1:19">
      <c r="A8" t="s">
        <v>392</v>
      </c>
      <c r="B8" s="224">
        <v>0</v>
      </c>
      <c r="C8" s="224">
        <v>2.3997589275343914E-3</v>
      </c>
      <c r="D8" s="224">
        <v>2.6315917488643273E-3</v>
      </c>
      <c r="E8" s="224">
        <v>3.2762954488338436E-4</v>
      </c>
      <c r="F8" s="224">
        <v>0</v>
      </c>
      <c r="G8" s="224">
        <v>0</v>
      </c>
      <c r="H8" s="224">
        <v>0</v>
      </c>
      <c r="I8" s="224">
        <v>5.2236067772836597E-4</v>
      </c>
      <c r="J8" s="224">
        <v>3.5140036698053656E-3</v>
      </c>
      <c r="K8" s="224">
        <v>1.4566991213214794E-3</v>
      </c>
      <c r="L8" s="224">
        <v>2.7270877049353076E-3</v>
      </c>
      <c r="M8" s="224">
        <v>3.9299815642610397E-3</v>
      </c>
      <c r="N8" s="224">
        <v>4.2706155466878254E-4</v>
      </c>
      <c r="O8" s="224">
        <v>3.2816018694759308E-3</v>
      </c>
      <c r="P8" s="224">
        <v>1.3485248001107036E-4</v>
      </c>
      <c r="Q8" s="224">
        <v>1.100443634406971E-3</v>
      </c>
      <c r="R8" s="224">
        <v>1.1583970775761315E-3</v>
      </c>
      <c r="S8" s="283">
        <f t="shared" si="0"/>
        <v>1.388909975027797E-3</v>
      </c>
    </row>
    <row r="9" spans="1:19">
      <c r="A9" t="s">
        <v>393</v>
      </c>
      <c r="B9" s="224">
        <v>-1.0011224223383311E-3</v>
      </c>
      <c r="C9" s="224">
        <v>-4.2786315700260522E-3</v>
      </c>
      <c r="D9" s="224">
        <v>-2.9539631744191705E-3</v>
      </c>
      <c r="E9" s="224">
        <v>-8.8728625005932843E-4</v>
      </c>
      <c r="F9" s="224">
        <v>0</v>
      </c>
      <c r="G9" s="224">
        <v>0</v>
      </c>
      <c r="H9" s="224">
        <v>0</v>
      </c>
      <c r="I9" s="224">
        <v>-1.6946133000217412E-4</v>
      </c>
      <c r="J9" s="224">
        <v>-8.4757266750349475E-4</v>
      </c>
      <c r="K9" s="224">
        <v>-3.2041090155915386E-4</v>
      </c>
      <c r="L9" s="224">
        <v>-2.7270877049353076E-3</v>
      </c>
      <c r="M9" s="224">
        <v>-2.970608016127245E-3</v>
      </c>
      <c r="N9" s="224">
        <v>-3.2299459197906999E-4</v>
      </c>
      <c r="O9" s="224">
        <v>-3.6162170931846108E-3</v>
      </c>
      <c r="P9" s="224">
        <v>-4.7177612021279125E-4</v>
      </c>
      <c r="Q9" s="224">
        <v>-1.1004436344069571E-3</v>
      </c>
      <c r="R9" s="224">
        <v>-1.8717167252596534E-3</v>
      </c>
      <c r="S9" s="283">
        <f t="shared" si="0"/>
        <v>-1.3846642471772553E-3</v>
      </c>
    </row>
    <row r="10" spans="1:19">
      <c r="A10" t="s">
        <v>394</v>
      </c>
      <c r="B10" s="224">
        <v>1.2347494483810152E-2</v>
      </c>
      <c r="C10" s="224">
        <v>1.2299477853458342E-2</v>
      </c>
      <c r="D10" s="224">
        <v>1.233552634536917E-2</v>
      </c>
      <c r="E10" s="224">
        <v>1.2337570614032463E-2</v>
      </c>
      <c r="F10" s="224">
        <v>1.2320658722644991E-2</v>
      </c>
      <c r="G10" s="224">
        <v>1.2295449251822153E-2</v>
      </c>
      <c r="H10" s="224">
        <v>1.2268643220586919E-2</v>
      </c>
      <c r="I10" s="224">
        <v>1.2345616978049714E-2</v>
      </c>
      <c r="J10" s="224">
        <v>1.2286511193537776E-2</v>
      </c>
      <c r="K10" s="224">
        <v>1.2312997578590813E-2</v>
      </c>
      <c r="L10" s="224">
        <v>1.231005068919825E-2</v>
      </c>
      <c r="M10" s="224">
        <v>1.23315350234958E-2</v>
      </c>
      <c r="N10" s="224">
        <v>7.378177381438665E-3</v>
      </c>
      <c r="O10" s="224">
        <v>1.2261626766066257E-2</v>
      </c>
      <c r="P10" s="224">
        <v>1.225376482671308E-2</v>
      </c>
      <c r="Q10" s="224">
        <v>1.2281791824778218E-2</v>
      </c>
      <c r="R10" s="224">
        <v>7.3977537351467143E-3</v>
      </c>
      <c r="S10" s="283">
        <f t="shared" si="0"/>
        <v>1.172733214639644E-2</v>
      </c>
    </row>
    <row r="11" spans="1:19">
      <c r="A11" t="s">
        <v>395</v>
      </c>
      <c r="B11" s="224">
        <v>-1.1648919541649067E-2</v>
      </c>
      <c r="C11" s="224">
        <v>-1.1608096040817407E-2</v>
      </c>
      <c r="D11" s="224">
        <v>-1.1624062789455037E-2</v>
      </c>
      <c r="E11" s="224">
        <v>-1.1556276726008018E-2</v>
      </c>
      <c r="F11" s="224">
        <v>-1.1636368177832718E-2</v>
      </c>
      <c r="G11" s="224">
        <v>-1.1595708237490759E-2</v>
      </c>
      <c r="H11" s="224">
        <v>-1.1570427752748642E-2</v>
      </c>
      <c r="I11" s="224">
        <v>-1.1643020889867982E-2</v>
      </c>
      <c r="J11" s="224">
        <v>-1.1573901915442508E-2</v>
      </c>
      <c r="K11" s="224">
        <v>-1.1630907500175189E-2</v>
      </c>
      <c r="L11" s="224">
        <v>-1.160947869875607E-2</v>
      </c>
      <c r="M11" s="224">
        <v>-1.1590584127331879E-2</v>
      </c>
      <c r="N11" s="224">
        <v>-1.6451341458613131E-2</v>
      </c>
      <c r="O11" s="224">
        <v>-1.1551112716873011E-2</v>
      </c>
      <c r="P11" s="224">
        <v>-1.1587882252924189E-2</v>
      </c>
      <c r="Q11" s="224">
        <v>-1.1581574120838357E-2</v>
      </c>
      <c r="R11" s="224">
        <v>-1.6451168724945214E-2</v>
      </c>
      <c r="S11" s="283">
        <f t="shared" si="0"/>
        <v>-1.2171225392457009E-2</v>
      </c>
    </row>
    <row r="12" spans="1:19">
      <c r="A12" t="s">
        <v>396</v>
      </c>
      <c r="B12" s="224">
        <v>7.662639793048813E-3</v>
      </c>
      <c r="C12" s="224">
        <v>4.7987358552527073E-3</v>
      </c>
      <c r="D12" s="224">
        <v>1.3556664545404808E-2</v>
      </c>
      <c r="E12" s="224">
        <v>1.9047865590542938E-2</v>
      </c>
      <c r="F12" s="224">
        <v>1.8371837351235008E-2</v>
      </c>
      <c r="G12" s="224">
        <v>5.8098195985772233E-3</v>
      </c>
      <c r="H12" s="224">
        <v>7.5816889958488717E-3</v>
      </c>
      <c r="I12" s="224">
        <v>1.2111744499082373E-2</v>
      </c>
      <c r="J12" s="224">
        <v>6.0809890363817815E-3</v>
      </c>
      <c r="K12" s="224">
        <v>9.8238664846224191E-3</v>
      </c>
      <c r="L12" s="224">
        <v>2.9523467540184131E-2</v>
      </c>
      <c r="M12" s="224">
        <v>7.7174183176240488E-3</v>
      </c>
      <c r="N12" s="224">
        <v>1.0011381869765565E-2</v>
      </c>
      <c r="O12" s="224">
        <v>1.2826251136709911E-2</v>
      </c>
      <c r="P12" s="224">
        <v>4.6799416276685352E-3</v>
      </c>
      <c r="Q12" s="224">
        <v>1.4562479482039432E-2</v>
      </c>
      <c r="R12" s="224">
        <v>1.2797875586376233E-2</v>
      </c>
      <c r="S12" s="283">
        <f t="shared" si="0"/>
        <v>1.1586156900609693E-2</v>
      </c>
    </row>
    <row r="13" spans="1:19">
      <c r="A13" t="s">
        <v>397</v>
      </c>
      <c r="B13" s="224">
        <v>-1.933879224337336E-2</v>
      </c>
      <c r="C13" s="224">
        <v>-2.3018602456302984E-2</v>
      </c>
      <c r="D13" s="224">
        <v>-1.5376168352224238E-2</v>
      </c>
      <c r="E13" s="224">
        <v>-2.8325465325293842E-2</v>
      </c>
      <c r="F13" s="224">
        <v>-2.1151635873595344E-2</v>
      </c>
      <c r="G13" s="224">
        <v>-1.6386640787538435E-2</v>
      </c>
      <c r="H13" s="224">
        <v>-1.6753807228871005E-2</v>
      </c>
      <c r="I13" s="224">
        <v>-1.3848701075251463E-2</v>
      </c>
      <c r="J13" s="224">
        <v>-1.0253395598382946E-2</v>
      </c>
      <c r="K13" s="224">
        <v>-1.3543068209679453E-2</v>
      </c>
      <c r="L13" s="224">
        <v>-2.461815484028913E-2</v>
      </c>
      <c r="M13" s="224">
        <v>-2.9300619780551138E-2</v>
      </c>
      <c r="N13" s="224">
        <v>-2.1514583201446509E-2</v>
      </c>
      <c r="O13" s="224">
        <v>-1.6430118883769978E-2</v>
      </c>
      <c r="P13" s="224">
        <v>-1.7951170470381899E-2</v>
      </c>
      <c r="Q13" s="224">
        <v>-2.8959163150997502E-2</v>
      </c>
      <c r="R13" s="224">
        <v>-1.0143278378235445E-2</v>
      </c>
      <c r="S13" s="283">
        <f t="shared" si="0"/>
        <v>-1.9230197991540274E-2</v>
      </c>
    </row>
    <row r="14" spans="1:19">
      <c r="A14" t="s">
        <v>398</v>
      </c>
      <c r="B14" s="224">
        <v>9.2709719487291745E-3</v>
      </c>
      <c r="C14" s="224">
        <v>3.7320416956119852E-2</v>
      </c>
      <c r="D14" s="224">
        <v>1.0527999315588697E-2</v>
      </c>
      <c r="E14" s="224">
        <v>1.2761451649294576E-2</v>
      </c>
      <c r="F14" s="224">
        <v>1.1203908567985012E-2</v>
      </c>
      <c r="G14" s="224">
        <v>9.4244607507375927E-3</v>
      </c>
      <c r="H14" s="224">
        <v>9.4019221245452908E-3</v>
      </c>
      <c r="I14" s="224">
        <v>9.5991478411748057E-3</v>
      </c>
      <c r="J14" s="224">
        <v>8.1718855364354068E-3</v>
      </c>
      <c r="K14" s="224">
        <v>1.0623086824166114E-2</v>
      </c>
      <c r="L14" s="224">
        <v>8.938356453733351E-3</v>
      </c>
      <c r="M14" s="224">
        <v>1.7415235150824743E-2</v>
      </c>
      <c r="N14" s="224">
        <v>1.1631881129079605E-2</v>
      </c>
      <c r="O14" s="224">
        <v>3.5239176574284908E-2</v>
      </c>
      <c r="P14" s="224">
        <v>9.4700098045712236E-3</v>
      </c>
      <c r="Q14" s="224">
        <v>2.2734813460919115E-2</v>
      </c>
      <c r="R14" s="224">
        <v>1.515670985428999E-2</v>
      </c>
      <c r="S14" s="283">
        <f t="shared" si="0"/>
        <v>1.4640672584851732E-2</v>
      </c>
    </row>
    <row r="15" spans="1:19">
      <c r="A15" t="s">
        <v>399</v>
      </c>
      <c r="B15" s="224">
        <v>-1.2696364608606833E-2</v>
      </c>
      <c r="C15" s="224">
        <v>-2.6169885020962541E-2</v>
      </c>
      <c r="D15" s="224">
        <v>-1.1040544866157159E-2</v>
      </c>
      <c r="E15" s="224">
        <v>-9.7648354725371617E-3</v>
      </c>
      <c r="F15" s="224">
        <v>-8.5730312524257661E-3</v>
      </c>
      <c r="G15" s="224">
        <v>-1.1870925314488676E-2</v>
      </c>
      <c r="H15" s="224">
        <v>-1.3276524192912809E-2</v>
      </c>
      <c r="I15" s="224">
        <v>-7.345096931101372E-3</v>
      </c>
      <c r="J15" s="224">
        <v>-8.3673561060008568E-3</v>
      </c>
      <c r="K15" s="224">
        <v>-1.0778081653594118E-2</v>
      </c>
      <c r="L15" s="224">
        <v>-1.145965692653008E-2</v>
      </c>
      <c r="M15" s="224">
        <v>-1.532301925754925E-2</v>
      </c>
      <c r="N15" s="224">
        <v>-1.3485063735196839E-2</v>
      </c>
      <c r="O15" s="224">
        <v>-2.4057460526808041E-2</v>
      </c>
      <c r="P15" s="224">
        <v>-1.1778340579358913E-2</v>
      </c>
      <c r="Q15" s="224">
        <v>-2.1209365459862795E-2</v>
      </c>
      <c r="R15" s="224">
        <v>-1.4387848633025897E-2</v>
      </c>
      <c r="S15" s="283">
        <f t="shared" si="0"/>
        <v>-1.3622552972771713E-2</v>
      </c>
    </row>
    <row r="16" spans="1:19">
      <c r="A16" t="s">
        <v>400</v>
      </c>
      <c r="B16" s="224">
        <v>3.9179763853707798E-2</v>
      </c>
      <c r="C16" s="224">
        <v>4.2518196388572342E-2</v>
      </c>
      <c r="D16" s="224">
        <v>3.9369103125702194E-2</v>
      </c>
      <c r="E16" s="224">
        <v>3.9136370136326024E-2</v>
      </c>
      <c r="F16" s="224">
        <v>3.9014016727115283E-2</v>
      </c>
      <c r="G16" s="224">
        <v>3.8664040180662017E-2</v>
      </c>
      <c r="H16" s="224">
        <v>3.8859939282067178E-2</v>
      </c>
      <c r="I16" s="224">
        <v>3.8616331421237882E-2</v>
      </c>
      <c r="J16" s="224">
        <v>3.8299547026800676E-2</v>
      </c>
      <c r="K16" s="224">
        <v>3.8963107718537074E-2</v>
      </c>
      <c r="L16" s="224">
        <v>3.9079116091924923E-2</v>
      </c>
      <c r="M16" s="224">
        <v>4.1493939832041582E-2</v>
      </c>
      <c r="N16" s="224">
        <v>3.962831707279485E-2</v>
      </c>
      <c r="O16" s="224">
        <v>4.1814056592426249E-2</v>
      </c>
      <c r="P16" s="224">
        <v>3.9033860370740234E-2</v>
      </c>
      <c r="Q16" s="224">
        <v>4.2048381521292928E-2</v>
      </c>
      <c r="R16" s="224">
        <v>3.9629756380807249E-2</v>
      </c>
      <c r="S16" s="283">
        <f t="shared" si="0"/>
        <v>3.9726343748397439E-2</v>
      </c>
    </row>
    <row r="17" spans="1:33">
      <c r="A17"/>
      <c r="B17"/>
      <c r="C17"/>
      <c r="D17"/>
      <c r="E17"/>
      <c r="F17"/>
      <c r="G17"/>
      <c r="H17"/>
      <c r="I17"/>
      <c r="J17"/>
      <c r="K17"/>
      <c r="L17"/>
      <c r="M17"/>
      <c r="N17"/>
      <c r="O17"/>
      <c r="P17"/>
      <c r="Q17"/>
      <c r="R17"/>
      <c r="S17"/>
    </row>
    <row r="18" spans="1:33">
      <c r="A18" t="s">
        <v>415</v>
      </c>
      <c r="B18" s="283">
        <f t="shared" ref="B18:R18" si="1">B4+B6+B8+B10+B12+B14</f>
        <v>3.4815252471730805E-2</v>
      </c>
      <c r="C18" s="283">
        <f t="shared" si="1"/>
        <v>7.154715275374765E-2</v>
      </c>
      <c r="D18" s="283">
        <f t="shared" si="1"/>
        <v>4.5253734517125714E-2</v>
      </c>
      <c r="E18" s="283">
        <f t="shared" si="1"/>
        <v>5.1045284888207969E-2</v>
      </c>
      <c r="F18" s="283">
        <f t="shared" si="1"/>
        <v>4.5592820781085029E-2</v>
      </c>
      <c r="G18" s="283">
        <f t="shared" si="1"/>
        <v>3.4582996688614011E-2</v>
      </c>
      <c r="H18" s="283">
        <f t="shared" si="1"/>
        <v>3.4768254726130113E-2</v>
      </c>
      <c r="I18" s="283">
        <f t="shared" si="1"/>
        <v>4.1491298939063108E-2</v>
      </c>
      <c r="J18" s="283">
        <f t="shared" si="1"/>
        <v>3.5329981000396977E-2</v>
      </c>
      <c r="K18" s="283">
        <f t="shared" si="1"/>
        <v>3.8940706802463657E-2</v>
      </c>
      <c r="L18" s="283">
        <f t="shared" si="1"/>
        <v>5.6985276015056846E-2</v>
      </c>
      <c r="M18" s="283">
        <f t="shared" si="1"/>
        <v>5.2490381867027383E-2</v>
      </c>
      <c r="N18" s="283">
        <f t="shared" si="1"/>
        <v>4.0801620591972926E-2</v>
      </c>
      <c r="O18" s="283">
        <f t="shared" si="1"/>
        <v>7.2291322322027451E-2</v>
      </c>
      <c r="P18" s="283">
        <f t="shared" si="1"/>
        <v>3.5102612583913603E-2</v>
      </c>
      <c r="Q18" s="283">
        <f t="shared" si="1"/>
        <v>6.7495193780745727E-2</v>
      </c>
      <c r="R18" s="283">
        <f t="shared" si="1"/>
        <v>4.825679708181517E-2</v>
      </c>
      <c r="S18" s="283">
        <f t="shared" ref="S18:S24" si="2">AVERAGE(B18:R18)</f>
        <v>4.7458275753595534E-2</v>
      </c>
    </row>
    <row r="19" spans="1:33">
      <c r="A19" t="s">
        <v>416</v>
      </c>
      <c r="B19" s="283">
        <f t="shared" ref="B19:R19" si="3">B5+B7+B9+B11+B13+B15</f>
        <v>-5.1456765694052053E-2</v>
      </c>
      <c r="C19" s="283">
        <f t="shared" si="3"/>
        <v>-8.1447859319648541E-2</v>
      </c>
      <c r="D19" s="283">
        <f t="shared" si="3"/>
        <v>-4.8131909262339498E-2</v>
      </c>
      <c r="E19" s="283">
        <f t="shared" si="3"/>
        <v>-5.8188553106647029E-2</v>
      </c>
      <c r="F19" s="283">
        <f t="shared" si="3"/>
        <v>-4.6386929211972683E-2</v>
      </c>
      <c r="G19" s="283">
        <f t="shared" si="3"/>
        <v>-4.8285539254510207E-2</v>
      </c>
      <c r="H19" s="283">
        <f t="shared" si="3"/>
        <v>-4.7663825796339654E-2</v>
      </c>
      <c r="I19" s="283">
        <f t="shared" si="3"/>
        <v>-3.9946036151982403E-2</v>
      </c>
      <c r="J19" s="283">
        <f t="shared" si="3"/>
        <v>-3.7058187479285638E-2</v>
      </c>
      <c r="K19" s="283">
        <f t="shared" si="3"/>
        <v>-4.1749833141979963E-2</v>
      </c>
      <c r="L19" s="283">
        <f t="shared" si="3"/>
        <v>-5.4306326745056345E-2</v>
      </c>
      <c r="M19" s="283">
        <f t="shared" si="3"/>
        <v>-7.253208592133592E-2</v>
      </c>
      <c r="N19" s="283">
        <f t="shared" si="3"/>
        <v>-6.5770238785672411E-2</v>
      </c>
      <c r="O19" s="283">
        <f t="shared" si="3"/>
        <v>-6.5074171597648375E-2</v>
      </c>
      <c r="P19" s="283">
        <f t="shared" si="3"/>
        <v>-5.2787872955329128E-2</v>
      </c>
      <c r="Q19" s="283">
        <f t="shared" si="3"/>
        <v>-8.2558987438520914E-2</v>
      </c>
      <c r="R19" s="283">
        <f t="shared" si="3"/>
        <v>-5.6909995389977507E-2</v>
      </c>
      <c r="S19" s="283">
        <f t="shared" si="2"/>
        <v>-5.5897359838370499E-2</v>
      </c>
    </row>
    <row r="20" spans="1:33">
      <c r="A20" t="s">
        <v>400</v>
      </c>
      <c r="B20" s="283">
        <f t="shared" ref="B20:R20" si="4">B16</f>
        <v>3.9179763853707798E-2</v>
      </c>
      <c r="C20" s="283">
        <f t="shared" si="4"/>
        <v>4.2518196388572342E-2</v>
      </c>
      <c r="D20" s="283">
        <f t="shared" si="4"/>
        <v>3.9369103125702194E-2</v>
      </c>
      <c r="E20" s="283">
        <f t="shared" si="4"/>
        <v>3.9136370136326024E-2</v>
      </c>
      <c r="F20" s="283">
        <f t="shared" si="4"/>
        <v>3.9014016727115283E-2</v>
      </c>
      <c r="G20" s="283">
        <f t="shared" si="4"/>
        <v>3.8664040180662017E-2</v>
      </c>
      <c r="H20" s="283">
        <f t="shared" si="4"/>
        <v>3.8859939282067178E-2</v>
      </c>
      <c r="I20" s="283">
        <f t="shared" si="4"/>
        <v>3.8616331421237882E-2</v>
      </c>
      <c r="J20" s="283">
        <f t="shared" si="4"/>
        <v>3.8299547026800676E-2</v>
      </c>
      <c r="K20" s="283">
        <f t="shared" si="4"/>
        <v>3.8963107718537074E-2</v>
      </c>
      <c r="L20" s="283">
        <f t="shared" si="4"/>
        <v>3.9079116091924923E-2</v>
      </c>
      <c r="M20" s="283">
        <f t="shared" si="4"/>
        <v>4.1493939832041582E-2</v>
      </c>
      <c r="N20" s="283">
        <f t="shared" si="4"/>
        <v>3.962831707279485E-2</v>
      </c>
      <c r="O20" s="283">
        <f t="shared" si="4"/>
        <v>4.1814056592426249E-2</v>
      </c>
      <c r="P20" s="283">
        <f t="shared" si="4"/>
        <v>3.9033860370740234E-2</v>
      </c>
      <c r="Q20" s="283">
        <f t="shared" si="4"/>
        <v>4.2048381521292928E-2</v>
      </c>
      <c r="R20" s="283">
        <f t="shared" si="4"/>
        <v>3.9629756380807249E-2</v>
      </c>
      <c r="S20" s="283">
        <f t="shared" si="2"/>
        <v>3.9726343748397439E-2</v>
      </c>
    </row>
    <row r="21" spans="1:33">
      <c r="A21" s="299" t="s">
        <v>430</v>
      </c>
      <c r="B21" s="283">
        <f t="shared" ref="B21:R21" si="5">B5+B7+B9+B13+B15</f>
        <v>-3.9807846152402987E-2</v>
      </c>
      <c r="C21" s="283">
        <f t="shared" si="5"/>
        <v>-6.9839763278831138E-2</v>
      </c>
      <c r="D21" s="283">
        <f t="shared" si="5"/>
        <v>-3.6507846472884464E-2</v>
      </c>
      <c r="E21" s="283">
        <f t="shared" si="5"/>
        <v>-4.6632276380639014E-2</v>
      </c>
      <c r="F21" s="283">
        <f t="shared" si="5"/>
        <v>-3.4750561034139954E-2</v>
      </c>
      <c r="G21" s="283">
        <f t="shared" si="5"/>
        <v>-3.6689831017019447E-2</v>
      </c>
      <c r="H21" s="283">
        <f t="shared" si="5"/>
        <v>-3.6093398043591018E-2</v>
      </c>
      <c r="I21" s="283">
        <f t="shared" si="5"/>
        <v>-2.8303015262114421E-2</v>
      </c>
      <c r="J21" s="283">
        <f t="shared" si="5"/>
        <v>-2.5484285563843131E-2</v>
      </c>
      <c r="K21" s="283">
        <f t="shared" si="5"/>
        <v>-3.0118925641804774E-2</v>
      </c>
      <c r="L21" s="283">
        <f t="shared" si="5"/>
        <v>-4.2696848046300279E-2</v>
      </c>
      <c r="M21" s="283">
        <f t="shared" si="5"/>
        <v>-6.0941501794004038E-2</v>
      </c>
      <c r="N21" s="283">
        <f t="shared" si="5"/>
        <v>-4.9318897327059283E-2</v>
      </c>
      <c r="O21" s="283">
        <f t="shared" si="5"/>
        <v>-5.3523058880775361E-2</v>
      </c>
      <c r="P21" s="283">
        <f t="shared" si="5"/>
        <v>-4.1199990702404932E-2</v>
      </c>
      <c r="Q21" s="283">
        <f t="shared" si="5"/>
        <v>-7.0977413317682564E-2</v>
      </c>
      <c r="R21" s="283">
        <f t="shared" si="5"/>
        <v>-4.0458826665032296E-2</v>
      </c>
      <c r="S21" s="283">
        <f t="shared" si="2"/>
        <v>-4.3726134445913487E-2</v>
      </c>
    </row>
    <row r="22" spans="1:33">
      <c r="A22" s="299" t="s">
        <v>431</v>
      </c>
      <c r="B22" s="283">
        <f t="shared" ref="B22:R22" si="6">B4+B6+B8+B12+B14</f>
        <v>2.2467757987920653E-2</v>
      </c>
      <c r="C22" s="283">
        <f t="shared" si="6"/>
        <v>5.9247674900289309E-2</v>
      </c>
      <c r="D22" s="283">
        <f t="shared" si="6"/>
        <v>3.2918208171756544E-2</v>
      </c>
      <c r="E22" s="283">
        <f t="shared" si="6"/>
        <v>3.8707714274175506E-2</v>
      </c>
      <c r="F22" s="283">
        <f t="shared" si="6"/>
        <v>3.3272162058440038E-2</v>
      </c>
      <c r="G22" s="283">
        <f t="shared" si="6"/>
        <v>2.2287547436791857E-2</v>
      </c>
      <c r="H22" s="283">
        <f t="shared" si="6"/>
        <v>2.2499611505543193E-2</v>
      </c>
      <c r="I22" s="283">
        <f t="shared" si="6"/>
        <v>2.9145681961013394E-2</v>
      </c>
      <c r="J22" s="283">
        <f t="shared" si="6"/>
        <v>2.3043469806859201E-2</v>
      </c>
      <c r="K22" s="283">
        <f t="shared" si="6"/>
        <v>2.6627709223872843E-2</v>
      </c>
      <c r="L22" s="283">
        <f t="shared" si="6"/>
        <v>4.4675225325858596E-2</v>
      </c>
      <c r="M22" s="283">
        <f t="shared" si="6"/>
        <v>4.0158846843531583E-2</v>
      </c>
      <c r="N22" s="283">
        <f t="shared" si="6"/>
        <v>3.3423443210534261E-2</v>
      </c>
      <c r="O22" s="283">
        <f t="shared" si="6"/>
        <v>6.0029695555961195E-2</v>
      </c>
      <c r="P22" s="283">
        <f t="shared" si="6"/>
        <v>2.2848847757200523E-2</v>
      </c>
      <c r="Q22" s="283">
        <f t="shared" si="6"/>
        <v>5.5213401955967502E-2</v>
      </c>
      <c r="R22" s="283">
        <f t="shared" si="6"/>
        <v>4.0859043346668455E-2</v>
      </c>
      <c r="S22" s="283">
        <f t="shared" si="2"/>
        <v>3.5730943607199098E-2</v>
      </c>
    </row>
    <row r="23" spans="1:33">
      <c r="A23" s="299" t="s">
        <v>432</v>
      </c>
      <c r="B23" s="283">
        <f t="shared" ref="B23:R23" si="7">B11</f>
        <v>-1.1648919541649067E-2</v>
      </c>
      <c r="C23" s="283">
        <f t="shared" si="7"/>
        <v>-1.1608096040817407E-2</v>
      </c>
      <c r="D23" s="283">
        <f t="shared" si="7"/>
        <v>-1.1624062789455037E-2</v>
      </c>
      <c r="E23" s="283">
        <f t="shared" si="7"/>
        <v>-1.1556276726008018E-2</v>
      </c>
      <c r="F23" s="283">
        <f t="shared" si="7"/>
        <v>-1.1636368177832718E-2</v>
      </c>
      <c r="G23" s="283">
        <f t="shared" si="7"/>
        <v>-1.1595708237490759E-2</v>
      </c>
      <c r="H23" s="283">
        <f t="shared" si="7"/>
        <v>-1.1570427752748642E-2</v>
      </c>
      <c r="I23" s="283">
        <f t="shared" si="7"/>
        <v>-1.1643020889867982E-2</v>
      </c>
      <c r="J23" s="283">
        <f t="shared" si="7"/>
        <v>-1.1573901915442508E-2</v>
      </c>
      <c r="K23" s="283">
        <f t="shared" si="7"/>
        <v>-1.1630907500175189E-2</v>
      </c>
      <c r="L23" s="283">
        <f t="shared" si="7"/>
        <v>-1.160947869875607E-2</v>
      </c>
      <c r="M23" s="283">
        <f t="shared" si="7"/>
        <v>-1.1590584127331879E-2</v>
      </c>
      <c r="N23" s="283">
        <f t="shared" si="7"/>
        <v>-1.6451341458613131E-2</v>
      </c>
      <c r="O23" s="283">
        <f t="shared" si="7"/>
        <v>-1.1551112716873011E-2</v>
      </c>
      <c r="P23" s="283">
        <f t="shared" si="7"/>
        <v>-1.1587882252924189E-2</v>
      </c>
      <c r="Q23" s="283">
        <f t="shared" si="7"/>
        <v>-1.1581574120838357E-2</v>
      </c>
      <c r="R23" s="283">
        <f t="shared" si="7"/>
        <v>-1.6451168724945214E-2</v>
      </c>
      <c r="S23" s="283">
        <f t="shared" si="2"/>
        <v>-1.2171225392457009E-2</v>
      </c>
    </row>
    <row r="24" spans="1:33">
      <c r="A24" s="299" t="s">
        <v>433</v>
      </c>
      <c r="B24" s="283">
        <f t="shared" ref="B24:R24" si="8">B10</f>
        <v>1.2347494483810152E-2</v>
      </c>
      <c r="C24" s="283">
        <f t="shared" si="8"/>
        <v>1.2299477853458342E-2</v>
      </c>
      <c r="D24" s="283">
        <f t="shared" si="8"/>
        <v>1.233552634536917E-2</v>
      </c>
      <c r="E24" s="283">
        <f t="shared" si="8"/>
        <v>1.2337570614032463E-2</v>
      </c>
      <c r="F24" s="283">
        <f t="shared" si="8"/>
        <v>1.2320658722644991E-2</v>
      </c>
      <c r="G24" s="283">
        <f t="shared" si="8"/>
        <v>1.2295449251822153E-2</v>
      </c>
      <c r="H24" s="283">
        <f t="shared" si="8"/>
        <v>1.2268643220586919E-2</v>
      </c>
      <c r="I24" s="283">
        <f t="shared" si="8"/>
        <v>1.2345616978049714E-2</v>
      </c>
      <c r="J24" s="283">
        <f t="shared" si="8"/>
        <v>1.2286511193537776E-2</v>
      </c>
      <c r="K24" s="283">
        <f t="shared" si="8"/>
        <v>1.2312997578590813E-2</v>
      </c>
      <c r="L24" s="283">
        <f t="shared" si="8"/>
        <v>1.231005068919825E-2</v>
      </c>
      <c r="M24" s="283">
        <f t="shared" si="8"/>
        <v>1.23315350234958E-2</v>
      </c>
      <c r="N24" s="283">
        <f t="shared" si="8"/>
        <v>7.378177381438665E-3</v>
      </c>
      <c r="O24" s="283">
        <f t="shared" si="8"/>
        <v>1.2261626766066257E-2</v>
      </c>
      <c r="P24" s="283">
        <f t="shared" si="8"/>
        <v>1.225376482671308E-2</v>
      </c>
      <c r="Q24" s="283">
        <f t="shared" si="8"/>
        <v>1.2281791824778218E-2</v>
      </c>
      <c r="R24" s="283">
        <f t="shared" si="8"/>
        <v>7.3977537351467143E-3</v>
      </c>
      <c r="S24" s="283">
        <f t="shared" si="2"/>
        <v>1.172733214639644E-2</v>
      </c>
    </row>
    <row r="31" spans="1:33">
      <c r="Z31" s="222"/>
      <c r="AA31" s="222"/>
      <c r="AB31" s="222"/>
      <c r="AC31" s="222"/>
      <c r="AD31" s="222"/>
      <c r="AE31" s="222"/>
      <c r="AF31" s="222"/>
      <c r="AG31" s="222"/>
    </row>
  </sheetData>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G31"/>
  <sheetViews>
    <sheetView showGridLines="0" zoomScale="80" zoomScaleNormal="80" workbookViewId="0">
      <selection activeCell="B5" sqref="B5"/>
    </sheetView>
  </sheetViews>
  <sheetFormatPr defaultColWidth="8.6640625" defaultRowHeight="14.25"/>
  <cols>
    <col min="1" max="1" width="78.6640625" style="299" customWidth="1"/>
    <col min="2" max="2" width="10.6640625" style="299" customWidth="1"/>
    <col min="3" max="22" width="10.33203125" style="299" customWidth="1"/>
    <col min="23" max="16384" width="8.6640625" style="299"/>
  </cols>
  <sheetData>
    <row r="1" spans="1:13" ht="18">
      <c r="A1" s="267" t="s">
        <v>568</v>
      </c>
    </row>
    <row r="2" spans="1:13">
      <c r="B2" s="228"/>
      <c r="C2" s="228"/>
      <c r="D2" s="228"/>
      <c r="E2" s="228"/>
      <c r="F2" s="228"/>
      <c r="G2" s="228"/>
      <c r="H2" s="228"/>
      <c r="I2" s="228"/>
      <c r="J2" s="228"/>
      <c r="K2" s="228"/>
      <c r="L2" s="228"/>
      <c r="M2" s="228"/>
    </row>
    <row r="3" spans="1:13">
      <c r="A3" s="406" t="s">
        <v>610</v>
      </c>
      <c r="B3" s="407" t="s">
        <v>556</v>
      </c>
      <c r="C3" s="407" t="s">
        <v>557</v>
      </c>
      <c r="D3" s="407" t="s">
        <v>558</v>
      </c>
      <c r="E3" s="407" t="s">
        <v>559</v>
      </c>
      <c r="F3" s="407" t="s">
        <v>560</v>
      </c>
      <c r="G3" s="407" t="s">
        <v>561</v>
      </c>
      <c r="H3" s="407" t="s">
        <v>562</v>
      </c>
      <c r="I3" s="232"/>
      <c r="J3" s="232"/>
      <c r="K3" s="232"/>
      <c r="L3" s="232"/>
      <c r="M3" s="232"/>
    </row>
    <row r="4" spans="1:13">
      <c r="A4" s="402"/>
      <c r="B4" s="408" t="s">
        <v>563</v>
      </c>
      <c r="C4" s="408" t="s">
        <v>563</v>
      </c>
      <c r="D4" s="408" t="s">
        <v>563</v>
      </c>
      <c r="E4" s="408" t="s">
        <v>563</v>
      </c>
      <c r="F4" s="408" t="s">
        <v>563</v>
      </c>
      <c r="G4" s="408" t="s">
        <v>563</v>
      </c>
      <c r="H4" s="408" t="s">
        <v>563</v>
      </c>
      <c r="I4" s="232"/>
      <c r="J4" s="232"/>
      <c r="K4" s="232"/>
      <c r="L4" s="232"/>
      <c r="M4" s="232"/>
    </row>
    <row r="5" spans="1:13">
      <c r="A5" s="402" t="s">
        <v>564</v>
      </c>
      <c r="B5" s="402">
        <f>'Accounting depreciation'!C228</f>
        <v>28354.990320000008</v>
      </c>
      <c r="C5" s="402">
        <f>'Accounting depreciation'!D228</f>
        <v>23787.191029400408</v>
      </c>
      <c r="D5" s="402">
        <f>'Accounting depreciation'!E228</f>
        <v>21049.677299749237</v>
      </c>
      <c r="E5" s="402">
        <f>'Accounting depreciation'!F228</f>
        <v>20041.299274447098</v>
      </c>
      <c r="F5" s="402">
        <f>'Accounting depreciation'!G228</f>
        <v>16934.824821270191</v>
      </c>
      <c r="G5" s="402">
        <f>'Accounting depreciation'!H228</f>
        <v>12961.747540774464</v>
      </c>
      <c r="H5" s="402">
        <f>'Accounting depreciation'!I228</f>
        <v>12636.301866341946</v>
      </c>
      <c r="I5" s="228"/>
      <c r="J5" s="228"/>
      <c r="K5" s="228"/>
      <c r="L5" s="228"/>
      <c r="M5" s="228"/>
    </row>
    <row r="6" spans="1:13">
      <c r="A6" s="402" t="s">
        <v>60</v>
      </c>
      <c r="B6" s="402">
        <f>'Accounting depreciation'!C230</f>
        <v>825.09882000000005</v>
      </c>
      <c r="C6" s="402">
        <f>'Accounting depreciation'!D230</f>
        <v>2606.0504123199494</v>
      </c>
      <c r="D6" s="402">
        <f>'Accounting depreciation'!E230</f>
        <v>4644.5997617495213</v>
      </c>
      <c r="E6" s="402">
        <f>'Accounting depreciation'!F230</f>
        <v>3302.2737118315381</v>
      </c>
      <c r="F6" s="402">
        <f>'Accounting depreciation'!G230</f>
        <v>2968.6427556969293</v>
      </c>
      <c r="G6" s="402">
        <f>'Accounting depreciation'!H230</f>
        <v>2673.1959484234289</v>
      </c>
      <c r="H6" s="402">
        <f>'Accounting depreciation'!I230</f>
        <v>2560.19644429049</v>
      </c>
    </row>
    <row r="7" spans="1:13">
      <c r="A7" s="402" t="s">
        <v>61</v>
      </c>
      <c r="B7" s="402">
        <f>'Accounting depreciation'!C232</f>
        <v>5392.898110599599</v>
      </c>
      <c r="C7" s="402">
        <f>'Accounting depreciation'!D232</f>
        <v>5343.5641419711219</v>
      </c>
      <c r="D7" s="402">
        <f>'Accounting depreciation'!E232</f>
        <v>5652.9777870516646</v>
      </c>
      <c r="E7" s="402">
        <f>'Accounting depreciation'!F232</f>
        <v>6408.7481650084437</v>
      </c>
      <c r="F7" s="402">
        <f>'Accounting depreciation'!G232</f>
        <v>6941.7200361926543</v>
      </c>
      <c r="G7" s="402">
        <f>'Accounting depreciation'!H232</f>
        <v>2998.641622855946</v>
      </c>
      <c r="H7" s="402">
        <f>'Accounting depreciation'!I232</f>
        <v>3264.8239417904524</v>
      </c>
    </row>
    <row r="8" spans="1:13">
      <c r="A8" s="402" t="s">
        <v>609</v>
      </c>
      <c r="B8" s="402">
        <f t="shared" ref="B8:H8" si="0">B5+B6-B7</f>
        <v>23787.191029400408</v>
      </c>
      <c r="C8" s="402">
        <f t="shared" si="0"/>
        <v>21049.677299749237</v>
      </c>
      <c r="D8" s="402">
        <f t="shared" si="0"/>
        <v>20041.299274447098</v>
      </c>
      <c r="E8" s="402">
        <f t="shared" si="0"/>
        <v>16934.824821270191</v>
      </c>
      <c r="F8" s="402">
        <f t="shared" si="0"/>
        <v>12961.747540774464</v>
      </c>
      <c r="G8" s="402">
        <f t="shared" si="0"/>
        <v>12636.301866341946</v>
      </c>
      <c r="H8" s="402">
        <f t="shared" si="0"/>
        <v>11931.674368841985</v>
      </c>
    </row>
    <row r="9" spans="1:13">
      <c r="B9" s="2"/>
      <c r="C9" s="2"/>
      <c r="D9" s="2"/>
      <c r="E9" s="2"/>
      <c r="F9" s="2"/>
    </row>
    <row r="10" spans="1:13">
      <c r="B10" s="2"/>
      <c r="C10" s="2"/>
      <c r="D10" s="2"/>
      <c r="E10" s="2"/>
      <c r="F10" s="2"/>
      <c r="G10" s="2"/>
    </row>
    <row r="12" spans="1:13">
      <c r="A12" s="1"/>
      <c r="B12" s="228"/>
      <c r="C12" s="228"/>
      <c r="D12" s="228"/>
      <c r="E12" s="228"/>
      <c r="F12" s="228"/>
    </row>
    <row r="13" spans="1:13">
      <c r="B13" s="2"/>
      <c r="C13" s="2"/>
      <c r="D13" s="2"/>
      <c r="E13" s="2"/>
      <c r="F13" s="2"/>
      <c r="G13" s="283"/>
    </row>
    <row r="14" spans="1:13">
      <c r="B14" s="2"/>
      <c r="C14" s="2"/>
      <c r="D14" s="2"/>
      <c r="E14" s="2"/>
      <c r="F14" s="2"/>
      <c r="G14" s="283"/>
    </row>
    <row r="15" spans="1:13">
      <c r="B15" s="2"/>
      <c r="C15" s="2"/>
      <c r="D15" s="2"/>
      <c r="E15" s="2"/>
      <c r="F15" s="2"/>
      <c r="G15" s="2"/>
    </row>
    <row r="17" spans="1:33">
      <c r="A17" s="1"/>
    </row>
    <row r="18" spans="1:33">
      <c r="B18" s="2"/>
    </row>
    <row r="19" spans="1:33">
      <c r="B19" s="2"/>
    </row>
    <row r="20" spans="1:33">
      <c r="B20" s="74"/>
    </row>
    <row r="31" spans="1:33">
      <c r="Z31" s="222"/>
      <c r="AA31" s="222"/>
      <c r="AB31" s="222"/>
      <c r="AC31" s="222"/>
      <c r="AD31" s="222"/>
      <c r="AE31" s="222"/>
      <c r="AF31" s="222"/>
      <c r="AG31" s="222"/>
    </row>
  </sheetData>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
  <sheetViews>
    <sheetView showGridLines="0" workbookViewId="0">
      <selection activeCell="Q27" sqref="Q27"/>
    </sheetView>
  </sheetViews>
  <sheetFormatPr defaultColWidth="8.6640625" defaultRowHeight="14.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W28"/>
  <sheetViews>
    <sheetView showGridLines="0" zoomScale="80" zoomScaleNormal="80" workbookViewId="0">
      <selection activeCell="E47" sqref="E47"/>
    </sheetView>
  </sheetViews>
  <sheetFormatPr defaultColWidth="8.6640625" defaultRowHeight="14.25"/>
  <cols>
    <col min="1" max="1" width="27" customWidth="1"/>
    <col min="14" max="14" width="10" bestFit="1" customWidth="1"/>
  </cols>
  <sheetData>
    <row r="1" spans="1:23" ht="18">
      <c r="A1" s="267" t="s">
        <v>475</v>
      </c>
      <c r="B1" s="268"/>
    </row>
    <row r="2" spans="1:23">
      <c r="D2" s="1" t="s">
        <v>467</v>
      </c>
      <c r="K2" s="460"/>
      <c r="L2" s="460"/>
    </row>
    <row r="3" spans="1:23">
      <c r="A3" s="1"/>
      <c r="B3" s="228" t="s">
        <v>278</v>
      </c>
      <c r="K3" s="72"/>
      <c r="L3" s="72"/>
    </row>
    <row r="4" spans="1:23">
      <c r="A4" t="s">
        <v>68</v>
      </c>
      <c r="B4" s="73">
        <f>'WACC parameters'!B4</f>
        <v>0.3</v>
      </c>
      <c r="D4" s="309">
        <v>0.55000000000000004</v>
      </c>
      <c r="E4" s="73">
        <v>0.3</v>
      </c>
      <c r="F4" s="73">
        <v>0.3</v>
      </c>
      <c r="G4" s="73">
        <v>0.3</v>
      </c>
      <c r="H4" s="73">
        <v>0.3</v>
      </c>
      <c r="I4" s="73">
        <v>0.3</v>
      </c>
      <c r="J4" s="73">
        <v>0.3</v>
      </c>
      <c r="K4" s="73">
        <v>0.3</v>
      </c>
      <c r="L4" s="73"/>
      <c r="M4" s="73"/>
      <c r="V4" s="73"/>
      <c r="W4" s="75"/>
    </row>
    <row r="5" spans="1:23">
      <c r="A5" t="s">
        <v>69</v>
      </c>
      <c r="B5" s="2">
        <f>'WACC parameters'!B5</f>
        <v>6.5000000000000002E-2</v>
      </c>
      <c r="D5" s="2">
        <v>6.5000000000000002E-2</v>
      </c>
      <c r="E5" s="2">
        <v>6.5000000000000002E-2</v>
      </c>
      <c r="F5" s="2">
        <v>6.5000000000000002E-2</v>
      </c>
      <c r="G5" s="2">
        <v>6.5000000000000002E-2</v>
      </c>
      <c r="H5" s="2">
        <v>6.5000000000000002E-2</v>
      </c>
      <c r="I5" s="2">
        <v>6.5000000000000002E-2</v>
      </c>
      <c r="J5" s="2">
        <v>6.5000000000000002E-2</v>
      </c>
      <c r="K5" s="2">
        <v>6.5000000000000002E-2</v>
      </c>
      <c r="L5" s="74"/>
      <c r="M5" s="74"/>
      <c r="V5" s="74"/>
      <c r="W5" s="75"/>
    </row>
    <row r="6" spans="1:23">
      <c r="A6" t="s">
        <v>70</v>
      </c>
      <c r="B6" s="2">
        <f>'WACC parameters'!B6</f>
        <v>-6.0000000000000001E-3</v>
      </c>
      <c r="D6" s="2">
        <v>-6.0000000000000001E-3</v>
      </c>
      <c r="E6" s="310">
        <v>-1.2500000000000001E-2</v>
      </c>
      <c r="F6" s="2">
        <v>-6.0000000000000001E-3</v>
      </c>
      <c r="G6" s="2">
        <v>-6.0000000000000001E-3</v>
      </c>
      <c r="H6" s="2">
        <v>-6.0000000000000001E-3</v>
      </c>
      <c r="I6" s="2">
        <v>-6.0000000000000001E-3</v>
      </c>
      <c r="J6" s="2">
        <v>-6.0000000000000001E-3</v>
      </c>
      <c r="K6" s="2">
        <v>-6.0000000000000001E-3</v>
      </c>
      <c r="L6" s="2"/>
      <c r="M6" s="2"/>
      <c r="V6" s="2"/>
      <c r="W6" s="75"/>
    </row>
    <row r="7" spans="1:23">
      <c r="A7" t="s">
        <v>71</v>
      </c>
      <c r="B7" s="2">
        <f>B5-B6</f>
        <v>7.1000000000000008E-2</v>
      </c>
      <c r="D7" s="2">
        <f t="shared" ref="D7:J7" si="0">D5-D6</f>
        <v>7.1000000000000008E-2</v>
      </c>
      <c r="E7" s="2">
        <f t="shared" si="0"/>
        <v>7.7499999999999999E-2</v>
      </c>
      <c r="F7" s="2">
        <f t="shared" si="0"/>
        <v>7.1000000000000008E-2</v>
      </c>
      <c r="G7" s="2">
        <f t="shared" si="0"/>
        <v>7.1000000000000008E-2</v>
      </c>
      <c r="H7" s="2">
        <f t="shared" si="0"/>
        <v>7.1000000000000008E-2</v>
      </c>
      <c r="I7" s="2">
        <f t="shared" si="0"/>
        <v>7.1000000000000008E-2</v>
      </c>
      <c r="J7" s="2">
        <f t="shared" si="0"/>
        <v>7.1000000000000008E-2</v>
      </c>
      <c r="K7" s="2">
        <f>K5-K6</f>
        <v>7.1000000000000008E-2</v>
      </c>
      <c r="L7" s="2"/>
      <c r="M7" s="2"/>
      <c r="V7" s="2"/>
      <c r="W7" s="75"/>
    </row>
    <row r="8" spans="1:23">
      <c r="A8" t="s">
        <v>72</v>
      </c>
      <c r="B8" s="4">
        <f>'WACC parameters'!B7</f>
        <v>0.5</v>
      </c>
      <c r="D8" s="4">
        <v>0.5</v>
      </c>
      <c r="E8" s="4">
        <v>0.5</v>
      </c>
      <c r="F8" s="4">
        <v>0.5</v>
      </c>
      <c r="G8" s="4">
        <v>0.5</v>
      </c>
      <c r="H8" s="311">
        <v>0.4</v>
      </c>
      <c r="I8" s="311">
        <v>0.56999999999999995</v>
      </c>
      <c r="J8" s="4">
        <v>0.5</v>
      </c>
      <c r="K8" s="4">
        <v>0.5</v>
      </c>
      <c r="L8" s="4"/>
      <c r="M8" s="4"/>
      <c r="V8" s="4"/>
      <c r="W8" s="75"/>
    </row>
    <row r="9" spans="1:23">
      <c r="A9" t="s">
        <v>73</v>
      </c>
      <c r="B9" s="4">
        <f>'WACC parameters'!B8</f>
        <v>0.125</v>
      </c>
      <c r="D9" s="4">
        <v>0.125</v>
      </c>
      <c r="E9" s="4">
        <v>0.125</v>
      </c>
      <c r="F9" s="311">
        <v>0.05</v>
      </c>
      <c r="G9" s="311">
        <v>0.15</v>
      </c>
      <c r="H9" s="4">
        <v>0.125</v>
      </c>
      <c r="I9" s="4">
        <v>0.125</v>
      </c>
      <c r="J9" s="4">
        <v>0.125</v>
      </c>
      <c r="K9" s="4">
        <v>0.125</v>
      </c>
      <c r="L9" s="4"/>
      <c r="M9" s="4"/>
      <c r="V9" s="4"/>
      <c r="W9" s="75"/>
    </row>
    <row r="10" spans="1:23">
      <c r="A10" t="s">
        <v>74</v>
      </c>
      <c r="B10" s="2">
        <f>'WACC parameters'!B9</f>
        <v>1.14E-2</v>
      </c>
      <c r="D10" s="74">
        <v>1.14E-2</v>
      </c>
      <c r="E10" s="74">
        <v>1.14E-2</v>
      </c>
      <c r="F10" s="74">
        <v>1.14E-2</v>
      </c>
      <c r="G10" s="74">
        <v>1.14E-2</v>
      </c>
      <c r="H10" s="74">
        <v>1.14E-2</v>
      </c>
      <c r="I10" s="74">
        <v>1.14E-2</v>
      </c>
      <c r="J10" s="312">
        <v>1.24E-2</v>
      </c>
      <c r="K10" s="74">
        <v>1.14E-2</v>
      </c>
      <c r="L10" s="74"/>
      <c r="M10" s="74"/>
      <c r="V10" s="74"/>
      <c r="W10" s="75"/>
    </row>
    <row r="11" spans="1:23">
      <c r="A11" t="s">
        <v>211</v>
      </c>
      <c r="B11" s="314">
        <f>'WACC parameters'!B10</f>
        <v>0.17</v>
      </c>
      <c r="D11" s="73">
        <v>0.17</v>
      </c>
      <c r="E11" s="73">
        <v>0.17</v>
      </c>
      <c r="F11" s="73">
        <v>0.17</v>
      </c>
      <c r="G11" s="73">
        <v>0.17</v>
      </c>
      <c r="H11" s="73">
        <v>0.17</v>
      </c>
      <c r="I11" s="73">
        <v>0.17</v>
      </c>
      <c r="J11" s="73">
        <v>0.17</v>
      </c>
      <c r="K11" s="422">
        <v>0.19</v>
      </c>
      <c r="L11" s="75"/>
      <c r="M11" s="73"/>
      <c r="V11" s="299"/>
      <c r="W11" s="75"/>
    </row>
    <row r="12" spans="1:23">
      <c r="D12" s="299"/>
      <c r="E12" s="299"/>
      <c r="F12" s="299"/>
      <c r="G12" s="299"/>
      <c r="H12" s="299"/>
      <c r="I12" s="299"/>
      <c r="J12" s="299"/>
      <c r="K12" s="299"/>
      <c r="V12" s="299"/>
      <c r="W12" s="75"/>
    </row>
    <row r="13" spans="1:23">
      <c r="A13" s="1" t="s">
        <v>75</v>
      </c>
      <c r="D13" s="299"/>
      <c r="E13" s="299"/>
      <c r="F13" s="299"/>
      <c r="G13" s="299"/>
      <c r="H13" s="299"/>
      <c r="I13" s="299"/>
      <c r="J13" s="299"/>
      <c r="K13" s="299"/>
      <c r="V13" s="299"/>
      <c r="W13" s="75"/>
    </row>
    <row r="14" spans="1:23">
      <c r="A14" t="s">
        <v>76</v>
      </c>
      <c r="B14" s="4">
        <f>(B8-(B4*B9))/(1-B4)</f>
        <v>0.66071428571428581</v>
      </c>
      <c r="D14" s="4">
        <f t="shared" ref="D14:J14" si="1">(D8-(D4*D9))/(1-D4)</f>
        <v>0.95833333333333348</v>
      </c>
      <c r="E14" s="4">
        <f t="shared" si="1"/>
        <v>0.66071428571428581</v>
      </c>
      <c r="F14" s="4">
        <f t="shared" si="1"/>
        <v>0.69285714285714284</v>
      </c>
      <c r="G14" s="4">
        <f t="shared" si="1"/>
        <v>0.65</v>
      </c>
      <c r="H14" s="4">
        <f t="shared" si="1"/>
        <v>0.5178571428571429</v>
      </c>
      <c r="I14" s="4">
        <f t="shared" si="1"/>
        <v>0.76071428571428568</v>
      </c>
      <c r="J14" s="4">
        <f t="shared" si="1"/>
        <v>0.66071428571428581</v>
      </c>
      <c r="K14" s="4">
        <f>(K8-(K4*K9))/(1-K4)</f>
        <v>0.66071428571428581</v>
      </c>
      <c r="L14" s="4"/>
      <c r="M14" s="4"/>
      <c r="V14" s="4"/>
      <c r="W14" s="75"/>
    </row>
    <row r="15" spans="1:23">
      <c r="A15" t="s">
        <v>77</v>
      </c>
      <c r="B15" s="74">
        <f>B6+B14*B7</f>
        <v>4.09107142857143E-2</v>
      </c>
      <c r="D15" s="74">
        <f t="shared" ref="D15:J15" si="2">D6+D14*D7</f>
        <v>6.2041666666666682E-2</v>
      </c>
      <c r="E15" s="74">
        <f t="shared" si="2"/>
        <v>3.8705357142857152E-2</v>
      </c>
      <c r="F15" s="74">
        <f t="shared" si="2"/>
        <v>4.3192857142857151E-2</v>
      </c>
      <c r="G15" s="74">
        <f t="shared" si="2"/>
        <v>4.0150000000000005E-2</v>
      </c>
      <c r="H15" s="74">
        <f t="shared" si="2"/>
        <v>3.0767857142857152E-2</v>
      </c>
      <c r="I15" s="74">
        <f t="shared" si="2"/>
        <v>4.8010714285714289E-2</v>
      </c>
      <c r="J15" s="74">
        <f t="shared" si="2"/>
        <v>4.09107142857143E-2</v>
      </c>
      <c r="K15" s="74">
        <f>K6+K14*K7</f>
        <v>4.09107142857143E-2</v>
      </c>
      <c r="L15" s="74"/>
      <c r="M15" s="74"/>
      <c r="V15" s="74"/>
      <c r="W15" s="75"/>
    </row>
    <row r="16" spans="1:23">
      <c r="A16" t="s">
        <v>78</v>
      </c>
      <c r="B16" s="74">
        <f>B15/(1-B11)</f>
        <v>4.9290017211703979E-2</v>
      </c>
      <c r="D16" s="74">
        <f t="shared" ref="D16:J16" si="3">D15/(1-D11)</f>
        <v>7.4748995983935765E-2</v>
      </c>
      <c r="E16" s="74">
        <f t="shared" si="3"/>
        <v>4.6632960413080911E-2</v>
      </c>
      <c r="F16" s="74">
        <f t="shared" si="3"/>
        <v>5.2039586919105006E-2</v>
      </c>
      <c r="G16" s="74">
        <f t="shared" si="3"/>
        <v>4.8373493975903625E-2</v>
      </c>
      <c r="H16" s="74">
        <f t="shared" si="3"/>
        <v>3.7069707401032714E-2</v>
      </c>
      <c r="I16" s="74">
        <f t="shared" si="3"/>
        <v>5.7844234079173842E-2</v>
      </c>
      <c r="J16" s="74">
        <f t="shared" si="3"/>
        <v>4.9290017211703979E-2</v>
      </c>
      <c r="K16" s="74">
        <f>K15/(1-K11)</f>
        <v>5.0507054673721352E-2</v>
      </c>
      <c r="L16" s="74"/>
      <c r="M16" s="74"/>
      <c r="V16" s="74"/>
      <c r="W16" s="75"/>
    </row>
    <row r="17" spans="1:23">
      <c r="A17" t="s">
        <v>79</v>
      </c>
      <c r="B17" s="74">
        <f>B4*B10+(1-B4)*B16</f>
        <v>3.7923012048192782E-2</v>
      </c>
      <c r="D17" s="74">
        <f t="shared" ref="D17:J17" si="4">D4*D10+(1-D4)*D16</f>
        <v>3.9907048192771091E-2</v>
      </c>
      <c r="E17" s="74">
        <f t="shared" si="4"/>
        <v>3.6063072289156638E-2</v>
      </c>
      <c r="F17" s="74">
        <f t="shared" si="4"/>
        <v>3.9847710843373504E-2</v>
      </c>
      <c r="G17" s="74">
        <f t="shared" si="4"/>
        <v>3.7281445783132534E-2</v>
      </c>
      <c r="H17" s="74">
        <f t="shared" si="4"/>
        <v>2.9368795180722898E-2</v>
      </c>
      <c r="I17" s="74">
        <f t="shared" si="4"/>
        <v>4.3910963855421689E-2</v>
      </c>
      <c r="J17" s="74">
        <f t="shared" si="4"/>
        <v>3.8223012048192784E-2</v>
      </c>
      <c r="K17" s="74">
        <f>K4*K10+(1-K4)*K16</f>
        <v>3.8774938271604942E-2</v>
      </c>
      <c r="L17" s="74"/>
      <c r="M17" s="74"/>
      <c r="V17" s="74"/>
      <c r="W17" s="75"/>
    </row>
    <row r="18" spans="1:23">
      <c r="A18" t="s">
        <v>80</v>
      </c>
      <c r="B18" s="74">
        <f>B4*B10+(1-B4)*B15</f>
        <v>3.205750000000001E-2</v>
      </c>
      <c r="D18" s="74">
        <f t="shared" ref="D18:J18" si="5">D4*D10+(1-D4)*D15</f>
        <v>3.4188750000000004E-2</v>
      </c>
      <c r="E18" s="74">
        <f t="shared" si="5"/>
        <v>3.0513750000000006E-2</v>
      </c>
      <c r="F18" s="74">
        <f t="shared" si="5"/>
        <v>3.3655000000000004E-2</v>
      </c>
      <c r="G18" s="74">
        <f t="shared" si="5"/>
        <v>3.1525000000000004E-2</v>
      </c>
      <c r="H18" s="74">
        <f t="shared" si="5"/>
        <v>2.4957500000000004E-2</v>
      </c>
      <c r="I18" s="74">
        <f t="shared" si="5"/>
        <v>3.7027499999999998E-2</v>
      </c>
      <c r="J18" s="74">
        <f t="shared" si="5"/>
        <v>3.2357500000000004E-2</v>
      </c>
      <c r="K18" s="74">
        <f>K4*K10+(1-K4)*K15</f>
        <v>3.205750000000001E-2</v>
      </c>
      <c r="L18" s="74"/>
      <c r="M18" s="74"/>
      <c r="V18" s="74"/>
      <c r="W18" s="75"/>
    </row>
    <row r="19" spans="1:23">
      <c r="A19" t="s">
        <v>238</v>
      </c>
      <c r="B19" s="74">
        <f>(1+B10)*(1+Inflation!$C$16)-1</f>
        <v>3.1627999999999989E-2</v>
      </c>
      <c r="D19" s="74">
        <f>(1+D10)*(1+Inflation!$C$16)-1</f>
        <v>3.1627999999999989E-2</v>
      </c>
      <c r="E19" s="74">
        <f>(1+E10)*(1+Inflation!$C$16)-1</f>
        <v>3.1627999999999989E-2</v>
      </c>
      <c r="F19" s="74">
        <f>(1+F10)*(1+Inflation!$C$16)-1</f>
        <v>3.1627999999999989E-2</v>
      </c>
      <c r="G19" s="74">
        <f>(1+G10)*(1+Inflation!$C$16)-1</f>
        <v>3.1627999999999989E-2</v>
      </c>
      <c r="H19" s="74">
        <f>(1+H10)*(1+Inflation!$C$16)-1</f>
        <v>3.1627999999999989E-2</v>
      </c>
      <c r="I19" s="74">
        <f>(1+I10)*(1+Inflation!$C$16)-1</f>
        <v>3.1627999999999989E-2</v>
      </c>
      <c r="J19" s="74">
        <f>(1+J10)*(1+Inflation!$C$16)-1</f>
        <v>3.264800000000001E-2</v>
      </c>
      <c r="K19" s="74">
        <f>(1+K10)*(1+Inflation!$C$16)-1</f>
        <v>3.1627999999999989E-2</v>
      </c>
      <c r="L19" s="74"/>
      <c r="V19" s="74"/>
      <c r="W19" s="75"/>
    </row>
    <row r="23" spans="1:23">
      <c r="N23" s="66"/>
    </row>
    <row r="26" spans="1:23">
      <c r="B26" s="71">
        <f>B17*$N$23</f>
        <v>0</v>
      </c>
      <c r="N26" s="71"/>
      <c r="O26" s="71"/>
      <c r="P26" s="71"/>
      <c r="Q26" s="71"/>
      <c r="R26" s="71"/>
      <c r="S26" s="71"/>
      <c r="T26" s="71"/>
    </row>
    <row r="28" spans="1:23">
      <c r="N28" s="266"/>
      <c r="O28" s="266"/>
      <c r="P28" s="266"/>
      <c r="Q28" s="266"/>
      <c r="R28" s="266"/>
      <c r="S28" s="266"/>
      <c r="T28" s="266"/>
    </row>
  </sheetData>
  <mergeCells count="1">
    <mergeCell ref="K2:L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6D4C-C7D8-4669-AC63-5C4E19A80891}">
  <sheetPr>
    <tabColor theme="5" tint="0.59999389629810485"/>
  </sheetPr>
  <dimension ref="A1:P57"/>
  <sheetViews>
    <sheetView showGridLines="0" zoomScale="80" zoomScaleNormal="80" workbookViewId="0"/>
  </sheetViews>
  <sheetFormatPr defaultColWidth="8.6640625" defaultRowHeight="14.25"/>
  <cols>
    <col min="1" max="1" width="70" style="299" customWidth="1"/>
    <col min="2" max="2" width="10.33203125" style="299" customWidth="1"/>
    <col min="3" max="3" width="16.6640625" style="299" customWidth="1"/>
    <col min="4" max="9" width="12.33203125" style="299" customWidth="1"/>
    <col min="10" max="16384" width="8.6640625" style="299"/>
  </cols>
  <sheetData>
    <row r="1" spans="1:9" ht="18">
      <c r="A1" s="267" t="s">
        <v>643</v>
      </c>
      <c r="B1" s="268"/>
    </row>
    <row r="3" spans="1:9" ht="18">
      <c r="A3" s="337" t="s">
        <v>668</v>
      </c>
      <c r="B3" s="255" t="s">
        <v>10</v>
      </c>
      <c r="C3" s="255" t="s">
        <v>11</v>
      </c>
      <c r="D3" s="253" t="s">
        <v>5</v>
      </c>
      <c r="E3" s="253" t="s">
        <v>6</v>
      </c>
      <c r="F3" s="253" t="s">
        <v>7</v>
      </c>
      <c r="G3" s="253" t="s">
        <v>8</v>
      </c>
      <c r="H3" s="253" t="s">
        <v>9</v>
      </c>
      <c r="I3" s="254" t="s">
        <v>20</v>
      </c>
    </row>
    <row r="4" spans="1:9">
      <c r="A4" s="1" t="s">
        <v>516</v>
      </c>
    </row>
    <row r="5" spans="1:9">
      <c r="A5" s="299" t="s">
        <v>665</v>
      </c>
      <c r="B5" s="300" t="s">
        <v>40</v>
      </c>
      <c r="C5" s="222" t="s">
        <v>54</v>
      </c>
      <c r="D5" s="413">
        <f>'DD allowances'!D12</f>
        <v>12774.225116835189</v>
      </c>
      <c r="E5" s="413">
        <f>'DD allowances'!E12</f>
        <v>12797.707861657063</v>
      </c>
      <c r="F5" s="413">
        <f>'DD allowances'!F12</f>
        <v>13273.703486876142</v>
      </c>
      <c r="G5" s="413">
        <f>'DD allowances'!G12</f>
        <v>13844.434104260514</v>
      </c>
      <c r="H5" s="413">
        <f>'DD allowances'!H12</f>
        <v>12391.460912135251</v>
      </c>
      <c r="I5" s="413">
        <f>SUM(D5:H5)</f>
        <v>65081.531481764163</v>
      </c>
    </row>
    <row r="6" spans="1:9">
      <c r="A6" s="299" t="s">
        <v>666</v>
      </c>
      <c r="B6" s="300" t="s">
        <v>40</v>
      </c>
      <c r="C6" s="222" t="s">
        <v>54</v>
      </c>
      <c r="D6" s="413">
        <f>'DD forecasts'!D5</f>
        <v>347.20000000000005</v>
      </c>
      <c r="E6" s="413">
        <f>'DD forecasts'!E5</f>
        <v>434</v>
      </c>
      <c r="F6" s="413">
        <f>'DD forecasts'!F5</f>
        <v>434</v>
      </c>
      <c r="G6" s="413">
        <f>'DD forecasts'!G5</f>
        <v>434</v>
      </c>
      <c r="H6" s="413">
        <f>'DD forecasts'!H5</f>
        <v>434</v>
      </c>
      <c r="I6" s="413">
        <f>SUM(D6:H6)</f>
        <v>2083.1999999999998</v>
      </c>
    </row>
    <row r="7" spans="1:9">
      <c r="A7" s="299" t="s">
        <v>667</v>
      </c>
      <c r="B7" s="300" t="s">
        <v>40</v>
      </c>
      <c r="C7" s="222" t="s">
        <v>54</v>
      </c>
      <c r="D7" s="413">
        <f>D5+D6</f>
        <v>13121.425116835189</v>
      </c>
      <c r="E7" s="413">
        <f t="shared" ref="E7:I7" si="0">E5+E6</f>
        <v>13231.707861657063</v>
      </c>
      <c r="F7" s="413">
        <f t="shared" si="0"/>
        <v>13707.703486876142</v>
      </c>
      <c r="G7" s="413">
        <f t="shared" si="0"/>
        <v>14278.434104260514</v>
      </c>
      <c r="H7" s="413">
        <f t="shared" si="0"/>
        <v>12825.460912135251</v>
      </c>
      <c r="I7" s="413">
        <f t="shared" si="0"/>
        <v>67164.73148176416</v>
      </c>
    </row>
    <row r="8" spans="1:9">
      <c r="B8" s="300"/>
      <c r="C8" s="222"/>
      <c r="D8" s="413"/>
      <c r="E8" s="413"/>
      <c r="F8" s="413"/>
      <c r="G8" s="413"/>
      <c r="H8" s="413"/>
      <c r="I8" s="413"/>
    </row>
    <row r="9" spans="1:9">
      <c r="A9" s="1" t="s">
        <v>708</v>
      </c>
      <c r="B9" s="300"/>
      <c r="C9" s="222"/>
      <c r="D9" s="413"/>
      <c r="E9" s="413"/>
      <c r="F9" s="413"/>
      <c r="G9" s="413"/>
      <c r="H9" s="413"/>
      <c r="I9" s="413"/>
    </row>
    <row r="10" spans="1:9">
      <c r="A10" s="299" t="s">
        <v>661</v>
      </c>
      <c r="B10" s="300" t="s">
        <v>40</v>
      </c>
      <c r="C10" s="222" t="s">
        <v>54</v>
      </c>
      <c r="D10" s="413">
        <f>'DD forecasts'!D12</f>
        <v>13121.425116835189</v>
      </c>
      <c r="E10" s="413">
        <f>'DD forecasts'!E12</f>
        <v>13231.707861657063</v>
      </c>
      <c r="F10" s="413">
        <f>'DD forecasts'!F12</f>
        <v>13707.703486876142</v>
      </c>
      <c r="G10" s="413">
        <f>'DD forecasts'!G12</f>
        <v>14278.434104260514</v>
      </c>
      <c r="H10" s="413">
        <f>'DD forecasts'!H12</f>
        <v>12825.460912135251</v>
      </c>
      <c r="I10" s="413">
        <f>SUM(D10:H10)</f>
        <v>67164.73148176416</v>
      </c>
    </row>
    <row r="11" spans="1:9">
      <c r="A11" s="299" t="s">
        <v>662</v>
      </c>
      <c r="B11" s="300" t="s">
        <v>40</v>
      </c>
      <c r="C11" s="222" t="s">
        <v>54</v>
      </c>
      <c r="D11" s="308">
        <f>'DD forecasts'!D17</f>
        <v>0</v>
      </c>
      <c r="E11" s="308">
        <f>'DD forecasts'!E17</f>
        <v>0</v>
      </c>
      <c r="F11" s="308">
        <f>'DD forecasts'!F17</f>
        <v>0</v>
      </c>
      <c r="G11" s="308">
        <f>'DD forecasts'!G17</f>
        <v>0</v>
      </c>
      <c r="H11" s="308">
        <f>'DD forecasts'!H17</f>
        <v>0</v>
      </c>
      <c r="I11" s="308">
        <f>SUM(D11:H11)</f>
        <v>0</v>
      </c>
    </row>
    <row r="12" spans="1:9">
      <c r="A12" s="299" t="s">
        <v>663</v>
      </c>
      <c r="B12" s="300" t="s">
        <v>40</v>
      </c>
      <c r="C12" s="222" t="s">
        <v>54</v>
      </c>
      <c r="D12" s="413">
        <f>'DD forecasts'!D22</f>
        <v>0</v>
      </c>
      <c r="E12" s="413">
        <f>'DD forecasts'!E22</f>
        <v>0</v>
      </c>
      <c r="F12" s="413">
        <f>'DD forecasts'!F22</f>
        <v>0</v>
      </c>
      <c r="G12" s="413">
        <f>'DD forecasts'!G22</f>
        <v>0</v>
      </c>
      <c r="H12" s="413">
        <f>'DD forecasts'!H22</f>
        <v>0</v>
      </c>
      <c r="I12" s="413">
        <f t="shared" ref="I12:I14" si="1">SUM(D12:H12)</f>
        <v>0</v>
      </c>
    </row>
    <row r="13" spans="1:9">
      <c r="A13" s="299" t="s">
        <v>664</v>
      </c>
      <c r="B13" s="300" t="s">
        <v>40</v>
      </c>
      <c r="C13" s="222" t="s">
        <v>54</v>
      </c>
      <c r="D13" s="413">
        <f>'DD forecasts'!D27</f>
        <v>0</v>
      </c>
      <c r="E13" s="413">
        <f>'DD forecasts'!E27</f>
        <v>0</v>
      </c>
      <c r="F13" s="413">
        <f>'DD forecasts'!F27</f>
        <v>0</v>
      </c>
      <c r="G13" s="413">
        <f>'DD forecasts'!G27</f>
        <v>0</v>
      </c>
      <c r="H13" s="413">
        <f>'DD forecasts'!H27</f>
        <v>0</v>
      </c>
      <c r="I13" s="413">
        <f t="shared" si="1"/>
        <v>0</v>
      </c>
    </row>
    <row r="14" spans="1:9">
      <c r="A14" s="299" t="s">
        <v>709</v>
      </c>
      <c r="B14" s="300" t="s">
        <v>40</v>
      </c>
      <c r="C14" s="222" t="s">
        <v>54</v>
      </c>
      <c r="D14" s="413">
        <f>'DD allowances'!$B$5*(D10-D12-D7+D13)+D12-D13-D11</f>
        <v>0</v>
      </c>
      <c r="E14" s="413">
        <f>'DD allowances'!$B$5*(E10-E12-E7+E13)+E12-E13-E11</f>
        <v>0</v>
      </c>
      <c r="F14" s="413">
        <f>'DD allowances'!$B$5*(F10-F12-F7+F13)+F12-F13-F11</f>
        <v>0</v>
      </c>
      <c r="G14" s="413">
        <f>'DD allowances'!$B$5*(G10-G12-G7+G13)+G12-G13-G11</f>
        <v>0</v>
      </c>
      <c r="H14" s="413">
        <f>'DD allowances'!$B$5*(H10-H12-H7+H13)+H12-H13-H11</f>
        <v>0</v>
      </c>
      <c r="I14" s="413">
        <f t="shared" si="1"/>
        <v>0</v>
      </c>
    </row>
    <row r="15" spans="1:9">
      <c r="B15" s="300"/>
      <c r="C15" s="222"/>
      <c r="D15" s="413"/>
      <c r="E15" s="413"/>
      <c r="F15" s="413"/>
      <c r="G15" s="413"/>
      <c r="H15" s="413"/>
      <c r="I15" s="413"/>
    </row>
    <row r="16" spans="1:9" ht="18">
      <c r="A16" s="337" t="s">
        <v>669</v>
      </c>
      <c r="B16" s="255" t="s">
        <v>10</v>
      </c>
      <c r="C16" s="255" t="s">
        <v>11</v>
      </c>
      <c r="D16" s="253" t="s">
        <v>5</v>
      </c>
      <c r="E16" s="253" t="s">
        <v>6</v>
      </c>
      <c r="F16" s="253" t="s">
        <v>7</v>
      </c>
      <c r="G16" s="253" t="s">
        <v>8</v>
      </c>
      <c r="H16" s="253" t="s">
        <v>9</v>
      </c>
      <c r="I16" s="254" t="s">
        <v>20</v>
      </c>
    </row>
    <row r="17" spans="1:12">
      <c r="A17" s="1" t="s">
        <v>516</v>
      </c>
    </row>
    <row r="18" spans="1:12">
      <c r="A18" s="299" t="s">
        <v>665</v>
      </c>
      <c r="B18" s="300" t="s">
        <v>40</v>
      </c>
      <c r="C18" s="222" t="s">
        <v>54</v>
      </c>
      <c r="D18" s="413">
        <f>'DD allowances'!D33</f>
        <v>2302.3474436479596</v>
      </c>
      <c r="E18" s="413">
        <f>'DD allowances'!E33</f>
        <v>1833.7217614478727</v>
      </c>
      <c r="F18" s="413">
        <f>'DD allowances'!F33</f>
        <v>1715.2751380190223</v>
      </c>
      <c r="G18" s="413">
        <f>'DD allowances'!G33</f>
        <v>1525.4778284425727</v>
      </c>
      <c r="H18" s="413">
        <f>'DD allowances'!H33</f>
        <v>1452.6778284425727</v>
      </c>
      <c r="I18" s="413">
        <f>SUM(D18:H18)</f>
        <v>8829.5</v>
      </c>
    </row>
    <row r="19" spans="1:12">
      <c r="A19" s="299" t="s">
        <v>666</v>
      </c>
      <c r="B19" s="300" t="s">
        <v>40</v>
      </c>
      <c r="C19" s="222" t="s">
        <v>54</v>
      </c>
      <c r="D19" s="413">
        <f>'DD forecasts'!D6</f>
        <v>1928.4028691763961</v>
      </c>
      <c r="E19" s="413">
        <f>'DD forecasts'!E6</f>
        <v>1076.61140105237</v>
      </c>
      <c r="F19" s="413">
        <f>'DD forecasts'!F6</f>
        <v>874.86140105237018</v>
      </c>
      <c r="G19" s="413">
        <f>'DD forecasts'!G6</f>
        <v>758.74060432239571</v>
      </c>
      <c r="H19" s="413">
        <f>'DD forecasts'!H6</f>
        <v>689.3837243964681</v>
      </c>
      <c r="I19" s="413">
        <f>SUM(D19:H19)</f>
        <v>5328</v>
      </c>
    </row>
    <row r="20" spans="1:12">
      <c r="A20" s="299" t="s">
        <v>667</v>
      </c>
      <c r="B20" s="300" t="s">
        <v>40</v>
      </c>
      <c r="C20" s="222" t="s">
        <v>54</v>
      </c>
      <c r="D20" s="413">
        <f>D18+D19</f>
        <v>4230.7503128243552</v>
      </c>
      <c r="E20" s="413">
        <f t="shared" ref="E20:I20" si="2">E18+E19</f>
        <v>2910.3331625002429</v>
      </c>
      <c r="F20" s="413">
        <f t="shared" si="2"/>
        <v>2590.1365390713927</v>
      </c>
      <c r="G20" s="413">
        <f t="shared" si="2"/>
        <v>2284.2184327649684</v>
      </c>
      <c r="H20" s="413">
        <f t="shared" si="2"/>
        <v>2142.0615528390408</v>
      </c>
      <c r="I20" s="413">
        <f t="shared" si="2"/>
        <v>14157.5</v>
      </c>
    </row>
    <row r="21" spans="1:12">
      <c r="B21" s="300"/>
      <c r="C21" s="222"/>
      <c r="D21" s="413"/>
      <c r="E21" s="413"/>
      <c r="F21" s="413"/>
      <c r="G21" s="413"/>
      <c r="H21" s="413"/>
      <c r="I21" s="413"/>
    </row>
    <row r="22" spans="1:12">
      <c r="A22" s="1" t="s">
        <v>708</v>
      </c>
      <c r="B22" s="300"/>
      <c r="C22" s="222"/>
      <c r="D22" s="413"/>
      <c r="E22" s="413"/>
      <c r="F22" s="413"/>
      <c r="G22" s="413"/>
      <c r="H22" s="413"/>
      <c r="I22" s="413"/>
    </row>
    <row r="23" spans="1:12">
      <c r="A23" s="299" t="s">
        <v>671</v>
      </c>
      <c r="B23" s="300" t="s">
        <v>40</v>
      </c>
      <c r="C23" s="222" t="s">
        <v>54</v>
      </c>
      <c r="D23" s="413">
        <f>'DD forecasts'!D13</f>
        <v>4230.7503128243552</v>
      </c>
      <c r="E23" s="413">
        <f>'DD forecasts'!E13</f>
        <v>2910.3331625002429</v>
      </c>
      <c r="F23" s="413">
        <f>'DD forecasts'!F13</f>
        <v>2590.1365390713927</v>
      </c>
      <c r="G23" s="413">
        <f>'DD forecasts'!G13</f>
        <v>2284.2184327649684</v>
      </c>
      <c r="H23" s="413">
        <f>'DD forecasts'!H13</f>
        <v>2142.0615528390408</v>
      </c>
      <c r="I23" s="413">
        <f>SUM(D23:H23)</f>
        <v>14157.5</v>
      </c>
    </row>
    <row r="24" spans="1:12">
      <c r="A24" s="299" t="s">
        <v>662</v>
      </c>
      <c r="B24" s="300" t="s">
        <v>40</v>
      </c>
      <c r="C24" s="222" t="s">
        <v>54</v>
      </c>
      <c r="D24" s="413">
        <f>'DD forecasts'!D18</f>
        <v>0</v>
      </c>
      <c r="E24" s="413">
        <f>'DD forecasts'!E18</f>
        <v>0</v>
      </c>
      <c r="F24" s="413">
        <f>'DD forecasts'!F18</f>
        <v>0</v>
      </c>
      <c r="G24" s="413">
        <f>'DD forecasts'!G18</f>
        <v>0</v>
      </c>
      <c r="H24" s="413">
        <f>'DD forecasts'!H18</f>
        <v>0</v>
      </c>
      <c r="I24" s="413">
        <f>SUM(D24:H24)</f>
        <v>0</v>
      </c>
    </row>
    <row r="25" spans="1:12">
      <c r="A25" s="299" t="s">
        <v>663</v>
      </c>
      <c r="B25" s="300" t="s">
        <v>40</v>
      </c>
      <c r="C25" s="222" t="s">
        <v>54</v>
      </c>
      <c r="D25" s="413">
        <f>'DD forecasts'!D23</f>
        <v>0</v>
      </c>
      <c r="E25" s="413">
        <f>'DD forecasts'!E23</f>
        <v>0</v>
      </c>
      <c r="F25" s="413">
        <f>'DD forecasts'!F23</f>
        <v>0</v>
      </c>
      <c r="G25" s="413">
        <f>'DD forecasts'!G23</f>
        <v>0</v>
      </c>
      <c r="H25" s="413">
        <f>'DD forecasts'!H23</f>
        <v>0</v>
      </c>
      <c r="I25" s="413">
        <f t="shared" ref="I25:I26" si="3">SUM(D25:H25)</f>
        <v>0</v>
      </c>
    </row>
    <row r="26" spans="1:12">
      <c r="A26" s="299" t="s">
        <v>664</v>
      </c>
      <c r="B26" s="300" t="s">
        <v>40</v>
      </c>
      <c r="C26" s="222" t="s">
        <v>54</v>
      </c>
      <c r="D26" s="413">
        <f>'DD forecasts'!D29</f>
        <v>0</v>
      </c>
      <c r="E26" s="413">
        <f>'DD forecasts'!E29</f>
        <v>0</v>
      </c>
      <c r="F26" s="413">
        <f>'DD forecasts'!F29</f>
        <v>0</v>
      </c>
      <c r="G26" s="413">
        <f>'DD forecasts'!G29</f>
        <v>0</v>
      </c>
      <c r="H26" s="413">
        <f>'DD forecasts'!H29</f>
        <v>0</v>
      </c>
      <c r="I26" s="413">
        <f t="shared" si="3"/>
        <v>0</v>
      </c>
    </row>
    <row r="27" spans="1:12">
      <c r="A27" s="299" t="s">
        <v>710</v>
      </c>
      <c r="B27" s="300" t="s">
        <v>40</v>
      </c>
      <c r="C27" s="222" t="s">
        <v>54</v>
      </c>
      <c r="D27" s="413">
        <f>'DD allowances'!$B$5*(D23-D25-D20+D26)+D25-D26</f>
        <v>0</v>
      </c>
      <c r="E27" s="413">
        <f>'DD allowances'!$B$5*(E23-E25-E20+E26)+E25-E26</f>
        <v>0</v>
      </c>
      <c r="F27" s="413">
        <f>'DD allowances'!$B$5*(F23-F25-F20+F26)+F25-F26</f>
        <v>0</v>
      </c>
      <c r="G27" s="413">
        <f>'DD allowances'!$B$5*(G23-G25-G20+G26)+G25-G26</f>
        <v>0</v>
      </c>
      <c r="H27" s="413">
        <f>'DD allowances'!$B$5*(H23-H25-H20+H26)+H25-H26</f>
        <v>0</v>
      </c>
      <c r="I27" s="413">
        <f t="shared" ref="I27" si="4">SUM(D27:H27)</f>
        <v>0</v>
      </c>
      <c r="J27" s="66"/>
      <c r="K27" s="66"/>
      <c r="L27" s="66"/>
    </row>
    <row r="28" spans="1:12">
      <c r="A28" s="1"/>
      <c r="D28" s="66"/>
      <c r="E28" s="66"/>
      <c r="F28" s="66"/>
      <c r="G28" s="66"/>
      <c r="H28" s="66"/>
      <c r="I28" s="66"/>
      <c r="J28" s="66"/>
      <c r="K28" s="66"/>
      <c r="L28" s="66"/>
    </row>
    <row r="29" spans="1:12" ht="18">
      <c r="A29" s="337" t="s">
        <v>670</v>
      </c>
      <c r="B29" s="255" t="s">
        <v>10</v>
      </c>
      <c r="C29" s="255" t="s">
        <v>11</v>
      </c>
      <c r="D29" s="253" t="s">
        <v>5</v>
      </c>
      <c r="E29" s="253" t="s">
        <v>6</v>
      </c>
      <c r="F29" s="253" t="s">
        <v>7</v>
      </c>
      <c r="G29" s="253" t="s">
        <v>8</v>
      </c>
      <c r="H29" s="253" t="s">
        <v>9</v>
      </c>
      <c r="I29" s="254" t="s">
        <v>20</v>
      </c>
      <c r="J29" s="66"/>
      <c r="K29" s="66"/>
      <c r="L29" s="66"/>
    </row>
    <row r="30" spans="1:12">
      <c r="A30" s="1" t="s">
        <v>516</v>
      </c>
      <c r="J30" s="66"/>
      <c r="K30" s="66"/>
      <c r="L30" s="66"/>
    </row>
    <row r="31" spans="1:12">
      <c r="A31" s="299" t="s">
        <v>665</v>
      </c>
      <c r="B31" s="300" t="s">
        <v>40</v>
      </c>
      <c r="C31" s="222" t="s">
        <v>54</v>
      </c>
      <c r="D31" s="413">
        <f>'DD allowances'!D37</f>
        <v>47.5</v>
      </c>
      <c r="E31" s="413">
        <f>'DD allowances'!E37</f>
        <v>47.5</v>
      </c>
      <c r="F31" s="413">
        <f>'DD allowances'!F37</f>
        <v>10</v>
      </c>
      <c r="G31" s="413">
        <f>'DD allowances'!G37</f>
        <v>10</v>
      </c>
      <c r="H31" s="413">
        <f>'DD allowances'!H37</f>
        <v>10</v>
      </c>
      <c r="I31" s="413">
        <f>SUM(D31:H31)</f>
        <v>125</v>
      </c>
      <c r="J31" s="66"/>
      <c r="K31" s="66"/>
      <c r="L31" s="66"/>
    </row>
    <row r="32" spans="1:12">
      <c r="A32" s="299" t="s">
        <v>666</v>
      </c>
      <c r="B32" s="300" t="s">
        <v>40</v>
      </c>
      <c r="C32" s="222" t="s">
        <v>54</v>
      </c>
      <c r="D32" s="413">
        <f>'DD forecasts'!D7</f>
        <v>0</v>
      </c>
      <c r="E32" s="413">
        <f>'DD forecasts'!E7</f>
        <v>0</v>
      </c>
      <c r="F32" s="413">
        <f>'DD forecasts'!F7</f>
        <v>0</v>
      </c>
      <c r="G32" s="413">
        <f>'DD forecasts'!G7</f>
        <v>0</v>
      </c>
      <c r="H32" s="413">
        <f>'DD forecasts'!H7</f>
        <v>0</v>
      </c>
      <c r="I32" s="413">
        <f>SUM(D32:H32)</f>
        <v>0</v>
      </c>
      <c r="J32" s="66"/>
      <c r="K32" s="66"/>
      <c r="L32" s="66"/>
    </row>
    <row r="33" spans="1:16">
      <c r="A33" s="299" t="s">
        <v>667</v>
      </c>
      <c r="B33" s="300" t="s">
        <v>40</v>
      </c>
      <c r="C33" s="222" t="s">
        <v>54</v>
      </c>
      <c r="D33" s="413">
        <f>D31+D32</f>
        <v>47.5</v>
      </c>
      <c r="E33" s="413">
        <f t="shared" ref="E33:I33" si="5">E31+E32</f>
        <v>47.5</v>
      </c>
      <c r="F33" s="413">
        <f t="shared" si="5"/>
        <v>10</v>
      </c>
      <c r="G33" s="413">
        <f t="shared" si="5"/>
        <v>10</v>
      </c>
      <c r="H33" s="413">
        <f t="shared" si="5"/>
        <v>10</v>
      </c>
      <c r="I33" s="413">
        <f t="shared" si="5"/>
        <v>125</v>
      </c>
      <c r="J33" s="66"/>
      <c r="K33" s="66"/>
      <c r="L33" s="66"/>
    </row>
    <row r="34" spans="1:16">
      <c r="B34" s="300"/>
      <c r="C34" s="222"/>
      <c r="D34" s="413"/>
      <c r="E34" s="413"/>
      <c r="F34" s="413"/>
      <c r="G34" s="413"/>
      <c r="H34" s="413"/>
      <c r="I34" s="413"/>
      <c r="J34" s="66"/>
      <c r="K34" s="66"/>
      <c r="L34" s="66"/>
    </row>
    <row r="35" spans="1:16">
      <c r="A35" s="1" t="s">
        <v>708</v>
      </c>
      <c r="B35" s="300"/>
      <c r="C35" s="222"/>
      <c r="D35" s="413"/>
      <c r="E35" s="413"/>
      <c r="F35" s="413"/>
      <c r="G35" s="413"/>
      <c r="H35" s="413"/>
      <c r="I35" s="413"/>
      <c r="J35" s="66"/>
      <c r="K35" s="66"/>
      <c r="L35" s="66"/>
    </row>
    <row r="36" spans="1:16">
      <c r="A36" s="299" t="s">
        <v>672</v>
      </c>
      <c r="B36" s="300" t="s">
        <v>40</v>
      </c>
      <c r="C36" s="222" t="s">
        <v>54</v>
      </c>
      <c r="D36" s="413">
        <f>'DD forecasts'!D14</f>
        <v>47.5</v>
      </c>
      <c r="E36" s="413">
        <f>'DD forecasts'!E14</f>
        <v>47.5</v>
      </c>
      <c r="F36" s="413">
        <f>'DD forecasts'!F14</f>
        <v>10</v>
      </c>
      <c r="G36" s="413">
        <f>'DD forecasts'!G14</f>
        <v>10</v>
      </c>
      <c r="H36" s="413">
        <f>'DD forecasts'!H14</f>
        <v>10</v>
      </c>
      <c r="I36" s="413">
        <f>SUM(D36:H36)</f>
        <v>125</v>
      </c>
    </row>
    <row r="37" spans="1:16">
      <c r="A37" s="299" t="s">
        <v>662</v>
      </c>
      <c r="B37" s="300" t="s">
        <v>40</v>
      </c>
      <c r="C37" s="222" t="s">
        <v>54</v>
      </c>
      <c r="D37" s="413">
        <f>'DD forecasts'!D19</f>
        <v>0</v>
      </c>
      <c r="E37" s="413">
        <f>'DD forecasts'!E19</f>
        <v>0</v>
      </c>
      <c r="F37" s="413">
        <f>'DD forecasts'!F19</f>
        <v>0</v>
      </c>
      <c r="G37" s="413">
        <f>'DD forecasts'!G19</f>
        <v>0</v>
      </c>
      <c r="H37" s="413">
        <f>'DD forecasts'!H19</f>
        <v>0</v>
      </c>
      <c r="I37" s="413">
        <f>SUM(D37:H37)</f>
        <v>0</v>
      </c>
    </row>
    <row r="38" spans="1:16">
      <c r="A38" s="299" t="s">
        <v>663</v>
      </c>
      <c r="B38" s="300" t="s">
        <v>40</v>
      </c>
      <c r="C38" s="222" t="s">
        <v>54</v>
      </c>
      <c r="D38" s="413">
        <f>'DD forecasts'!D24</f>
        <v>0</v>
      </c>
      <c r="E38" s="413">
        <f>'DD forecasts'!E24</f>
        <v>0</v>
      </c>
      <c r="F38" s="413">
        <f>'DD forecasts'!F24</f>
        <v>0</v>
      </c>
      <c r="G38" s="413">
        <f>'DD forecasts'!G24</f>
        <v>0</v>
      </c>
      <c r="H38" s="413">
        <f>'DD forecasts'!H24</f>
        <v>0</v>
      </c>
      <c r="I38" s="413">
        <f t="shared" ref="I38:I39" si="6">SUM(D38:H38)</f>
        <v>0</v>
      </c>
    </row>
    <row r="39" spans="1:16">
      <c r="A39" s="299" t="s">
        <v>664</v>
      </c>
      <c r="B39" s="300" t="s">
        <v>40</v>
      </c>
      <c r="C39" s="222" t="s">
        <v>54</v>
      </c>
      <c r="D39" s="413">
        <f>'DD forecasts'!D29</f>
        <v>0</v>
      </c>
      <c r="E39" s="413">
        <f>'DD forecasts'!E29</f>
        <v>0</v>
      </c>
      <c r="F39" s="413">
        <f>'DD forecasts'!F29</f>
        <v>0</v>
      </c>
      <c r="G39" s="413">
        <f>'DD forecasts'!G29</f>
        <v>0</v>
      </c>
      <c r="H39" s="413">
        <f>'DD forecasts'!H29</f>
        <v>0</v>
      </c>
      <c r="I39" s="413">
        <f t="shared" si="6"/>
        <v>0</v>
      </c>
    </row>
    <row r="40" spans="1:16">
      <c r="A40" s="299" t="s">
        <v>711</v>
      </c>
      <c r="B40" s="300" t="s">
        <v>40</v>
      </c>
      <c r="C40" s="222" t="s">
        <v>54</v>
      </c>
      <c r="D40" s="413">
        <f>'DD allowances'!$B$5*(D36-D38-D33+D39)+D38-D39</f>
        <v>0</v>
      </c>
      <c r="E40" s="413">
        <f>'DD allowances'!$B$5*(E36-E38-E33+E39)+E38-E39</f>
        <v>0</v>
      </c>
      <c r="F40" s="413">
        <f>'DD allowances'!$B$5*(F36-F38-F33+F39)+F38-F39</f>
        <v>0</v>
      </c>
      <c r="G40" s="413">
        <f>'DD allowances'!$B$5*(G36-G38-G33+G39)+G38-G39</f>
        <v>0</v>
      </c>
      <c r="H40" s="413">
        <f>'DD allowances'!$B$5*(H36-H38-H33+H39)+H38-H39</f>
        <v>0</v>
      </c>
      <c r="I40" s="413">
        <f t="shared" ref="I40" si="7">SUM(D40:H40)</f>
        <v>0</v>
      </c>
      <c r="M40" s="66"/>
      <c r="N40" s="66"/>
      <c r="O40" s="66"/>
      <c r="P40" s="66"/>
    </row>
    <row r="41" spans="1:16">
      <c r="A41" s="1"/>
      <c r="M41" s="5"/>
      <c r="N41" s="5"/>
      <c r="O41" s="5"/>
    </row>
    <row r="42" spans="1:16">
      <c r="B42" s="300"/>
      <c r="D42" s="71"/>
      <c r="E42" s="71"/>
      <c r="F42" s="71"/>
      <c r="G42" s="71"/>
      <c r="H42" s="71"/>
      <c r="I42" s="66"/>
      <c r="M42" s="5"/>
      <c r="N42" s="5"/>
      <c r="O42" s="5"/>
    </row>
    <row r="43" spans="1:16">
      <c r="A43" s="222"/>
      <c r="B43" s="300"/>
      <c r="D43" s="71"/>
      <c r="E43" s="71"/>
      <c r="F43" s="71"/>
      <c r="G43" s="71"/>
      <c r="H43" s="71"/>
      <c r="I43" s="66"/>
    </row>
    <row r="44" spans="1:16">
      <c r="A44" s="1"/>
      <c r="B44" s="300"/>
      <c r="D44" s="316"/>
      <c r="E44" s="316"/>
      <c r="F44" s="316"/>
      <c r="G44" s="316"/>
      <c r="H44" s="316"/>
      <c r="I44" s="256"/>
    </row>
    <row r="45" spans="1:16">
      <c r="A45" s="222"/>
      <c r="B45" s="300"/>
      <c r="D45" s="71"/>
      <c r="E45" s="71"/>
      <c r="F45" s="71"/>
      <c r="G45" s="71"/>
      <c r="H45" s="71"/>
      <c r="I45" s="66"/>
    </row>
    <row r="46" spans="1:16">
      <c r="A46" s="1"/>
      <c r="B46" s="300"/>
      <c r="D46" s="316"/>
      <c r="E46" s="316"/>
      <c r="F46" s="316"/>
      <c r="G46" s="316"/>
      <c r="H46" s="316"/>
      <c r="I46" s="66"/>
    </row>
    <row r="47" spans="1:16">
      <c r="A47" s="1"/>
      <c r="B47" s="300"/>
      <c r="D47" s="316"/>
      <c r="E47" s="316"/>
      <c r="F47" s="316"/>
      <c r="G47" s="316"/>
      <c r="H47" s="316"/>
      <c r="I47" s="316"/>
    </row>
    <row r="48" spans="1:16">
      <c r="A48" s="1"/>
      <c r="B48" s="300"/>
      <c r="D48" s="316"/>
      <c r="E48" s="316"/>
      <c r="F48" s="316"/>
      <c r="G48" s="316"/>
      <c r="H48" s="316"/>
      <c r="I48" s="66"/>
    </row>
    <row r="50" spans="1:12">
      <c r="A50" s="1"/>
      <c r="B50" s="300"/>
      <c r="D50" s="316"/>
      <c r="E50" s="316"/>
      <c r="F50" s="316"/>
      <c r="G50" s="316"/>
      <c r="H50" s="316"/>
      <c r="I50" s="316"/>
    </row>
    <row r="51" spans="1:12">
      <c r="A51" s="222"/>
      <c r="B51" s="300"/>
      <c r="D51" s="71"/>
      <c r="E51" s="71"/>
      <c r="F51" s="71"/>
      <c r="G51" s="71"/>
      <c r="H51" s="71"/>
      <c r="I51" s="71"/>
      <c r="J51" s="66"/>
      <c r="K51" s="66"/>
      <c r="L51" s="66"/>
    </row>
    <row r="52" spans="1:12">
      <c r="A52" s="222"/>
      <c r="B52" s="300"/>
      <c r="D52" s="71"/>
      <c r="E52" s="71"/>
      <c r="F52" s="71"/>
      <c r="G52" s="71"/>
      <c r="H52" s="71"/>
      <c r="I52" s="71"/>
      <c r="J52" s="66"/>
      <c r="K52" s="66"/>
      <c r="L52" s="66"/>
    </row>
    <row r="53" spans="1:12">
      <c r="A53" s="222"/>
      <c r="B53" s="300"/>
      <c r="D53" s="71"/>
      <c r="E53" s="71"/>
      <c r="F53" s="71"/>
      <c r="G53" s="71"/>
      <c r="H53" s="71"/>
      <c r="I53" s="71"/>
      <c r="J53" s="66"/>
      <c r="K53" s="66"/>
      <c r="L53" s="66"/>
    </row>
    <row r="54" spans="1:12">
      <c r="A54" s="222"/>
      <c r="B54" s="300"/>
      <c r="D54" s="71"/>
      <c r="E54" s="71"/>
      <c r="F54" s="71"/>
      <c r="G54" s="71"/>
      <c r="H54" s="71"/>
      <c r="I54" s="71"/>
      <c r="J54" s="66"/>
      <c r="K54" s="66"/>
      <c r="L54" s="66"/>
    </row>
    <row r="55" spans="1:12">
      <c r="A55" s="222"/>
      <c r="B55" s="300"/>
      <c r="J55" s="66"/>
      <c r="K55" s="66"/>
      <c r="L55" s="66"/>
    </row>
    <row r="56" spans="1:12">
      <c r="A56" s="222"/>
      <c r="B56" s="300"/>
      <c r="J56" s="66"/>
      <c r="K56" s="66"/>
      <c r="L56" s="66"/>
    </row>
    <row r="57" spans="1:12">
      <c r="A57" s="222"/>
      <c r="B57" s="300"/>
      <c r="J57" s="66"/>
      <c r="K57" s="66"/>
      <c r="L57" s="6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BG426"/>
  <sheetViews>
    <sheetView showGridLines="0" zoomScale="70" zoomScaleNormal="70" workbookViewId="0"/>
  </sheetViews>
  <sheetFormatPr defaultColWidth="9.1328125" defaultRowHeight="14.25"/>
  <cols>
    <col min="1" max="1" width="60" style="63" customWidth="1"/>
    <col min="2" max="2" width="19.33203125" style="63" bestFit="1" customWidth="1"/>
    <col min="3" max="3" width="17.33203125" style="63" bestFit="1" customWidth="1"/>
    <col min="4" max="42" width="12.33203125" style="63" bestFit="1" customWidth="1"/>
    <col min="43" max="55" width="10.1328125" style="63" customWidth="1"/>
    <col min="56" max="16384" width="9.1328125" style="63"/>
  </cols>
  <sheetData>
    <row r="1" spans="1:26" s="300" customFormat="1" ht="23.25">
      <c r="A1" s="455" t="s">
        <v>810</v>
      </c>
      <c r="B1" s="268"/>
    </row>
    <row r="2" spans="1:26" s="300" customFormat="1"/>
    <row r="3" spans="1:26" ht="18">
      <c r="A3" s="267" t="s">
        <v>253</v>
      </c>
      <c r="B3" s="268"/>
      <c r="J3" s="280"/>
      <c r="K3" s="280">
        <v>1</v>
      </c>
      <c r="L3" s="280">
        <v>2</v>
      </c>
      <c r="M3" s="280">
        <v>3</v>
      </c>
      <c r="N3" s="280">
        <v>4</v>
      </c>
      <c r="O3" s="280">
        <v>5</v>
      </c>
    </row>
    <row r="4" spans="1:26">
      <c r="B4" s="65" t="s">
        <v>10</v>
      </c>
      <c r="C4" s="65"/>
      <c r="D4" s="238" t="s">
        <v>15</v>
      </c>
      <c r="E4" s="238" t="s">
        <v>16</v>
      </c>
      <c r="F4" s="238" t="s">
        <v>0</v>
      </c>
      <c r="G4" s="238" t="s">
        <v>1</v>
      </c>
      <c r="H4" s="238" t="s">
        <v>2</v>
      </c>
      <c r="I4" s="238" t="s">
        <v>3</v>
      </c>
      <c r="J4" s="238" t="s">
        <v>4</v>
      </c>
      <c r="K4" s="238" t="s">
        <v>5</v>
      </c>
      <c r="L4" s="238" t="s">
        <v>6</v>
      </c>
      <c r="M4" s="238" t="s">
        <v>7</v>
      </c>
      <c r="N4" s="238" t="s">
        <v>8</v>
      </c>
      <c r="O4" s="238" t="s">
        <v>9</v>
      </c>
    </row>
    <row r="5" spans="1:26">
      <c r="A5" t="s">
        <v>299</v>
      </c>
      <c r="B5" s="63" t="s">
        <v>13</v>
      </c>
      <c r="D5" s="244">
        <f>Inflation!C3</f>
        <v>99.641000000000005</v>
      </c>
      <c r="E5" s="244">
        <f>Inflation!D3</f>
        <v>99.897000000000006</v>
      </c>
      <c r="F5" s="244">
        <f>Inflation!E3</f>
        <v>100.58199999999999</v>
      </c>
      <c r="G5" s="244">
        <f>Inflation!F3</f>
        <v>103.226</v>
      </c>
      <c r="H5" s="244">
        <f>Inflation!G3</f>
        <v>105.524</v>
      </c>
      <c r="I5" s="244">
        <f>Inflation!H3</f>
        <v>107.639</v>
      </c>
      <c r="J5" s="244">
        <f>Inflation!I3</f>
        <v>108.6</v>
      </c>
      <c r="K5" s="244">
        <f>J5*(1+Inflation!$C$16)</f>
        <v>110.77199999999999</v>
      </c>
      <c r="L5" s="244">
        <f>K5*(1+Inflation!$C$16)</f>
        <v>112.98743999999999</v>
      </c>
      <c r="M5" s="244">
        <f>L5*(1+Inflation!$C$16)</f>
        <v>115.24718879999999</v>
      </c>
      <c r="N5" s="244">
        <f>M5*(1+Inflation!$C$16)</f>
        <v>117.55213257599999</v>
      </c>
      <c r="O5" s="244">
        <f>N5*(1+Inflation!$C$16)</f>
        <v>119.90317522751999</v>
      </c>
    </row>
    <row r="6" spans="1:26">
      <c r="A6" s="63" t="s">
        <v>214</v>
      </c>
      <c r="B6" s="63" t="s">
        <v>303</v>
      </c>
      <c r="D6" s="244">
        <f>Inflation!$H3/Inflation!C3</f>
        <v>1.0802681627041077</v>
      </c>
      <c r="E6" s="244">
        <f>Inflation!$H3/Inflation!D3</f>
        <v>1.077499824819564</v>
      </c>
      <c r="F6" s="244">
        <f>Inflation!$H3/Inflation!E3</f>
        <v>1.0701616591437833</v>
      </c>
      <c r="G6" s="244">
        <f>Inflation!$H3/Inflation!F3</f>
        <v>1.0427508573421425</v>
      </c>
      <c r="H6" s="244">
        <f>Inflation!$H3/Inflation!G3</f>
        <v>1.0200428338577006</v>
      </c>
      <c r="I6" s="244">
        <f>Inflation!$H3/Inflation!H3</f>
        <v>1</v>
      </c>
      <c r="J6" s="244">
        <f>Inflation!$H3/Inflation!I3</f>
        <v>0.99115101289134444</v>
      </c>
      <c r="K6" s="244"/>
      <c r="L6" s="244"/>
      <c r="M6" s="244"/>
      <c r="N6" s="244"/>
      <c r="O6" s="244"/>
    </row>
    <row r="7" spans="1:26">
      <c r="A7" s="63" t="s">
        <v>213</v>
      </c>
      <c r="B7" s="63" t="s">
        <v>303</v>
      </c>
      <c r="D7" s="244"/>
      <c r="E7" s="244"/>
      <c r="F7" s="244"/>
      <c r="G7" s="244"/>
      <c r="H7" s="244"/>
      <c r="I7" s="244"/>
      <c r="J7" s="244"/>
      <c r="K7" s="244">
        <f>Inflation!$H$3/(Inflation!$I$3*(1+Inflation!$C$16)^K3)</f>
        <v>0.97171667930523964</v>
      </c>
      <c r="L7" s="244">
        <f>Inflation!$H$3/(Inflation!$I$3*(1+Inflation!$C$16)^L3)</f>
        <v>0.95266341108356822</v>
      </c>
      <c r="M7" s="244">
        <f>Inflation!$H$3/(Inflation!$I$3*(1+Inflation!$C$16)^M3)</f>
        <v>0.9339837363564395</v>
      </c>
      <c r="N7" s="244">
        <f>Inflation!$H$3/(Inflation!$I$3*(1+Inflation!$C$16)^N3)</f>
        <v>0.91567032976121521</v>
      </c>
      <c r="O7" s="244">
        <f>Inflation!$H$3/(Inflation!$I$3*(1+Inflation!$C$16)^O3)</f>
        <v>0.89771600956981878</v>
      </c>
    </row>
    <row r="8" spans="1:26">
      <c r="A8" s="63" t="s">
        <v>55</v>
      </c>
      <c r="B8" s="63" t="s">
        <v>303</v>
      </c>
      <c r="D8" s="244">
        <f t="shared" ref="D8:O8" si="0">D6+D7</f>
        <v>1.0802681627041077</v>
      </c>
      <c r="E8" s="244">
        <f t="shared" si="0"/>
        <v>1.077499824819564</v>
      </c>
      <c r="F8" s="244">
        <f t="shared" si="0"/>
        <v>1.0701616591437833</v>
      </c>
      <c r="G8" s="244">
        <f t="shared" si="0"/>
        <v>1.0427508573421425</v>
      </c>
      <c r="H8" s="244">
        <f t="shared" si="0"/>
        <v>1.0200428338577006</v>
      </c>
      <c r="I8" s="244">
        <f t="shared" si="0"/>
        <v>1</v>
      </c>
      <c r="J8" s="244">
        <f t="shared" si="0"/>
        <v>0.99115101289134444</v>
      </c>
      <c r="K8" s="244">
        <f t="shared" si="0"/>
        <v>0.97171667930523964</v>
      </c>
      <c r="L8" s="244">
        <f t="shared" si="0"/>
        <v>0.95266341108356822</v>
      </c>
      <c r="M8" s="244">
        <f t="shared" si="0"/>
        <v>0.9339837363564395</v>
      </c>
      <c r="N8" s="244">
        <f t="shared" si="0"/>
        <v>0.91567032976121521</v>
      </c>
      <c r="O8" s="244">
        <f t="shared" si="0"/>
        <v>0.89771600956981878</v>
      </c>
    </row>
    <row r="9" spans="1:26">
      <c r="A9" s="63" t="s">
        <v>56</v>
      </c>
      <c r="B9" s="63" t="s">
        <v>303</v>
      </c>
      <c r="D9" s="244">
        <v>1</v>
      </c>
      <c r="E9" s="244">
        <v>1</v>
      </c>
      <c r="F9" s="244">
        <v>1</v>
      </c>
      <c r="G9" s="244">
        <v>1</v>
      </c>
      <c r="H9" s="244">
        <v>1</v>
      </c>
      <c r="I9" s="244">
        <v>1</v>
      </c>
      <c r="J9" s="244">
        <f>1/J6</f>
        <v>1.0089279907840094</v>
      </c>
      <c r="K9" s="244">
        <f t="shared" ref="K9:O9" si="1">1/K7</f>
        <v>1.0291065505996897</v>
      </c>
      <c r="L9" s="244">
        <f t="shared" si="1"/>
        <v>1.0496886816116835</v>
      </c>
      <c r="M9" s="244">
        <f t="shared" si="1"/>
        <v>1.0706824552439171</v>
      </c>
      <c r="N9" s="244">
        <f t="shared" si="1"/>
        <v>1.0920961043487953</v>
      </c>
      <c r="O9" s="244">
        <f t="shared" si="1"/>
        <v>1.1139380264357714</v>
      </c>
    </row>
    <row r="10" spans="1:26">
      <c r="D10" s="244"/>
      <c r="E10" s="244"/>
      <c r="F10" s="244"/>
      <c r="G10" s="244"/>
      <c r="H10" s="244"/>
      <c r="I10" s="244"/>
      <c r="J10" s="244"/>
      <c r="K10" s="244"/>
      <c r="L10" s="244"/>
      <c r="M10" s="244"/>
      <c r="N10" s="244"/>
      <c r="O10" s="244"/>
    </row>
    <row r="11" spans="1:26">
      <c r="B11" s="65" t="s">
        <v>10</v>
      </c>
      <c r="C11" s="65"/>
      <c r="D11" s="238" t="s">
        <v>35</v>
      </c>
      <c r="E11" s="238" t="s">
        <v>36</v>
      </c>
      <c r="F11" s="238" t="s">
        <v>37</v>
      </c>
      <c r="G11" s="238" t="s">
        <v>15</v>
      </c>
      <c r="H11" s="238" t="s">
        <v>16</v>
      </c>
      <c r="I11" s="238" t="s">
        <v>0</v>
      </c>
      <c r="J11" s="238" t="s">
        <v>1</v>
      </c>
      <c r="K11" s="238" t="s">
        <v>2</v>
      </c>
      <c r="L11" s="238" t="s">
        <v>3</v>
      </c>
      <c r="M11" s="238" t="s">
        <v>4</v>
      </c>
    </row>
    <row r="12" spans="1:26">
      <c r="A12" t="s">
        <v>256</v>
      </c>
      <c r="B12" s="63" t="s">
        <v>13</v>
      </c>
      <c r="D12" s="244">
        <f>Inflation!C6</f>
        <v>234.4</v>
      </c>
      <c r="E12" s="244">
        <f>Inflation!D6</f>
        <v>242.5</v>
      </c>
      <c r="F12" s="244">
        <f>Inflation!E6</f>
        <v>249.5</v>
      </c>
      <c r="G12" s="244">
        <f>Inflation!F6</f>
        <v>255.7</v>
      </c>
      <c r="H12" s="244">
        <f>Inflation!G6</f>
        <v>258</v>
      </c>
      <c r="I12" s="244">
        <f>Inflation!H6</f>
        <v>261.39999999999998</v>
      </c>
      <c r="J12" s="244">
        <f>Inflation!I6</f>
        <v>270.60000000000002</v>
      </c>
      <c r="K12" s="244">
        <f>Inflation!J6</f>
        <v>279.7</v>
      </c>
      <c r="L12" s="244">
        <f>Inflation!K6</f>
        <v>288.2</v>
      </c>
      <c r="M12" s="244">
        <f>Inflation!L6</f>
        <v>292.60000000000002</v>
      </c>
      <c r="N12" s="244"/>
      <c r="O12" s="244"/>
      <c r="P12" s="244"/>
      <c r="Q12" s="244"/>
      <c r="R12" s="244"/>
      <c r="S12" s="244"/>
      <c r="T12" s="244"/>
      <c r="U12" s="244"/>
      <c r="V12" s="244"/>
      <c r="W12" s="244"/>
      <c r="X12" s="244"/>
      <c r="Y12" s="244"/>
      <c r="Z12" s="244"/>
    </row>
    <row r="13" spans="1:26">
      <c r="A13" s="63" t="s">
        <v>208</v>
      </c>
      <c r="B13" s="63" t="s">
        <v>303</v>
      </c>
      <c r="D13" s="244">
        <f>Inflation!C6/Inflation!$F6</f>
        <v>0.9166992569417286</v>
      </c>
      <c r="E13" s="244">
        <f>Inflation!D6/Inflation!$F6</f>
        <v>0.9483770043019164</v>
      </c>
      <c r="F13" s="244">
        <f>Inflation!E6/Inflation!$F6</f>
        <v>0.97575283535393043</v>
      </c>
      <c r="G13" s="244">
        <f>Inflation!F6/Inflation!$F6</f>
        <v>1</v>
      </c>
      <c r="H13" s="244">
        <f>Inflation!G6/Inflation!$F6</f>
        <v>1.0089949159170903</v>
      </c>
      <c r="I13" s="244">
        <f>Inflation!H6/Inflation!$F6</f>
        <v>1.0222917481423544</v>
      </c>
      <c r="J13" s="244">
        <f>Inflation!I6/Inflation!$F6</f>
        <v>1.0582714118107157</v>
      </c>
      <c r="K13" s="244">
        <f>Inflation!J6/Inflation!$F6</f>
        <v>1.0938599921783341</v>
      </c>
      <c r="L13" s="244">
        <f>Inflation!K6/Inflation!$F6</f>
        <v>1.127102072741494</v>
      </c>
      <c r="M13" s="244"/>
      <c r="N13" s="227"/>
      <c r="O13" s="227"/>
      <c r="P13" s="227"/>
    </row>
    <row r="14" spans="1:26">
      <c r="A14" s="63" t="s">
        <v>209</v>
      </c>
      <c r="B14" s="63" t="s">
        <v>303</v>
      </c>
      <c r="M14" s="244">
        <f>M12/Inflation!$F$6</f>
        <v>1.1443097379741887</v>
      </c>
    </row>
    <row r="15" spans="1:26">
      <c r="A15" s="63" t="s">
        <v>210</v>
      </c>
      <c r="B15" s="63" t="s">
        <v>303</v>
      </c>
      <c r="D15" s="244">
        <f t="shared" ref="D15:M15" si="2">D13+D14</f>
        <v>0.9166992569417286</v>
      </c>
      <c r="E15" s="244">
        <f t="shared" si="2"/>
        <v>0.9483770043019164</v>
      </c>
      <c r="F15" s="244">
        <f t="shared" si="2"/>
        <v>0.97575283535393043</v>
      </c>
      <c r="G15" s="244">
        <f t="shared" si="2"/>
        <v>1</v>
      </c>
      <c r="H15" s="244">
        <f t="shared" si="2"/>
        <v>1.0089949159170903</v>
      </c>
      <c r="I15" s="244">
        <f t="shared" si="2"/>
        <v>1.0222917481423544</v>
      </c>
      <c r="J15" s="244">
        <f t="shared" si="2"/>
        <v>1.0582714118107157</v>
      </c>
      <c r="K15" s="244">
        <f t="shared" si="2"/>
        <v>1.0938599921783341</v>
      </c>
      <c r="L15" s="244">
        <f t="shared" si="2"/>
        <v>1.127102072741494</v>
      </c>
      <c r="M15" s="244">
        <f t="shared" si="2"/>
        <v>1.1443097379741887</v>
      </c>
    </row>
    <row r="16" spans="1:26">
      <c r="A16" s="65"/>
      <c r="B16" s="63" t="s">
        <v>303</v>
      </c>
    </row>
    <row r="17" spans="1:23">
      <c r="A17" s="65" t="s">
        <v>301</v>
      </c>
    </row>
    <row r="18" spans="1:23">
      <c r="A18" s="234" t="s">
        <v>302</v>
      </c>
      <c r="B18" s="63" t="s">
        <v>303</v>
      </c>
      <c r="E18" s="244"/>
      <c r="F18" s="244"/>
      <c r="G18" s="244"/>
      <c r="H18" s="244"/>
      <c r="I18" s="244"/>
      <c r="J18" s="244"/>
      <c r="K18" s="244">
        <f>(M12/G12)*(K5/J5)*(I5/K5)</f>
        <v>1.134183755854546</v>
      </c>
      <c r="L18" s="244"/>
      <c r="M18" s="244"/>
      <c r="N18" s="244"/>
      <c r="O18" s="244"/>
    </row>
    <row r="19" spans="1:23">
      <c r="A19" s="234"/>
      <c r="D19" s="244"/>
      <c r="E19" s="244"/>
      <c r="F19" s="244"/>
      <c r="G19" s="244"/>
      <c r="H19" s="244"/>
      <c r="I19" s="244"/>
      <c r="J19" s="244"/>
      <c r="K19" s="244"/>
      <c r="L19" s="244"/>
      <c r="M19" s="244"/>
      <c r="N19" s="244"/>
      <c r="O19" s="244"/>
    </row>
    <row r="20" spans="1:23" ht="18">
      <c r="A20" s="267" t="s">
        <v>215</v>
      </c>
      <c r="B20" s="268"/>
    </row>
    <row r="21" spans="1:23">
      <c r="B21" s="65" t="s">
        <v>10</v>
      </c>
      <c r="C21" s="269" t="s">
        <v>338</v>
      </c>
      <c r="D21" s="245">
        <v>39538</v>
      </c>
      <c r="E21" s="245">
        <v>39721</v>
      </c>
      <c r="F21" s="245">
        <v>40086</v>
      </c>
      <c r="G21" s="245">
        <v>40268</v>
      </c>
      <c r="H21" s="245">
        <v>40451</v>
      </c>
      <c r="I21" s="245">
        <v>40816</v>
      </c>
      <c r="J21" s="245">
        <v>41182</v>
      </c>
      <c r="K21" s="245">
        <v>41547</v>
      </c>
      <c r="L21" s="245">
        <v>41912</v>
      </c>
      <c r="M21" s="245">
        <v>42277</v>
      </c>
      <c r="N21" s="245">
        <v>42643</v>
      </c>
      <c r="O21" s="245">
        <v>43008</v>
      </c>
      <c r="P21" s="245">
        <v>43373</v>
      </c>
      <c r="Q21" s="245">
        <v>43738</v>
      </c>
      <c r="R21" s="245">
        <v>44104</v>
      </c>
      <c r="S21" s="245">
        <v>44469</v>
      </c>
      <c r="T21" s="245">
        <v>44834</v>
      </c>
      <c r="U21" s="245">
        <v>45199</v>
      </c>
      <c r="V21" s="245">
        <v>45565</v>
      </c>
      <c r="W21" s="245">
        <v>45930</v>
      </c>
    </row>
    <row r="22" spans="1:23">
      <c r="A22" s="234" t="s">
        <v>216</v>
      </c>
      <c r="B22" s="63" t="s">
        <v>230</v>
      </c>
      <c r="D22" s="227">
        <f>'RAB inputs'!D54</f>
        <v>10</v>
      </c>
      <c r="E22" s="227">
        <f>'RAB inputs'!E54</f>
        <v>10</v>
      </c>
      <c r="F22" s="227">
        <f>'RAB inputs'!F54</f>
        <v>10</v>
      </c>
      <c r="G22" s="227">
        <f>'RAB inputs'!G54</f>
        <v>10</v>
      </c>
      <c r="H22" s="227">
        <f>'RAB inputs'!H54</f>
        <v>8</v>
      </c>
      <c r="I22" s="227">
        <f>'RAB inputs'!I54</f>
        <v>8</v>
      </c>
      <c r="J22" s="227">
        <f>'RAB inputs'!J54</f>
        <v>8</v>
      </c>
      <c r="K22" s="227">
        <f>'RAB inputs'!K54</f>
        <v>8</v>
      </c>
      <c r="L22" s="227">
        <f>'RAB inputs'!L54</f>
        <v>8</v>
      </c>
      <c r="M22" s="227">
        <f>'RAB inputs'!M54</f>
        <v>8</v>
      </c>
      <c r="N22" s="227">
        <f>'RAB inputs'!N54</f>
        <v>5</v>
      </c>
      <c r="O22" s="227">
        <f>'RAB inputs'!O54</f>
        <v>5</v>
      </c>
      <c r="P22" s="227">
        <f>'RAB inputs'!P54</f>
        <v>5</v>
      </c>
      <c r="Q22" s="227">
        <f>'RAB inputs'!Q54</f>
        <v>5</v>
      </c>
      <c r="R22" s="227">
        <f>'RAB inputs'!R54</f>
        <v>5</v>
      </c>
      <c r="S22" s="227">
        <f>'RAB inputs'!S54</f>
        <v>5</v>
      </c>
      <c r="T22" s="227">
        <f>'RAB inputs'!T54</f>
        <v>5</v>
      </c>
      <c r="U22" s="227">
        <f>'RAB inputs'!U54</f>
        <v>5</v>
      </c>
      <c r="V22" s="227">
        <f>'RAB inputs'!V54</f>
        <v>5</v>
      </c>
      <c r="W22" s="227">
        <f>'RAB inputs'!W54</f>
        <v>5</v>
      </c>
    </row>
    <row r="23" spans="1:23">
      <c r="A23" s="234" t="s">
        <v>217</v>
      </c>
      <c r="B23" s="63" t="s">
        <v>230</v>
      </c>
      <c r="D23" s="227">
        <f>'RAB inputs'!D55</f>
        <v>25</v>
      </c>
      <c r="E23" s="227">
        <f>'RAB inputs'!E55</f>
        <v>25</v>
      </c>
      <c r="F23" s="227">
        <f>'RAB inputs'!F55</f>
        <v>25</v>
      </c>
      <c r="G23" s="227">
        <f>'RAB inputs'!G55</f>
        <v>25</v>
      </c>
      <c r="H23" s="227">
        <f>'RAB inputs'!H55</f>
        <v>25</v>
      </c>
      <c r="I23" s="227">
        <f>'RAB inputs'!I55</f>
        <v>25</v>
      </c>
      <c r="J23" s="227">
        <f>'RAB inputs'!J55</f>
        <v>25</v>
      </c>
      <c r="K23" s="227">
        <f>'RAB inputs'!K55</f>
        <v>25</v>
      </c>
      <c r="L23" s="227">
        <f>'RAB inputs'!L55</f>
        <v>25</v>
      </c>
      <c r="M23" s="227">
        <f>'RAB inputs'!M55</f>
        <v>25</v>
      </c>
      <c r="N23" s="227">
        <f>'RAB inputs'!N55</f>
        <v>25</v>
      </c>
      <c r="O23" s="227">
        <f>'RAB inputs'!O55</f>
        <v>25</v>
      </c>
      <c r="P23" s="227">
        <f>'RAB inputs'!P55</f>
        <v>25</v>
      </c>
      <c r="Q23" s="227">
        <f>'RAB inputs'!Q55</f>
        <v>25</v>
      </c>
      <c r="R23" s="227">
        <f>'RAB inputs'!R55</f>
        <v>25</v>
      </c>
      <c r="S23" s="227">
        <f>'RAB inputs'!S55</f>
        <v>25</v>
      </c>
      <c r="T23" s="227">
        <f>'RAB inputs'!T55</f>
        <v>25</v>
      </c>
      <c r="U23" s="227">
        <f>'RAB inputs'!U55</f>
        <v>25</v>
      </c>
      <c r="V23" s="227">
        <f>'RAB inputs'!V55</f>
        <v>25</v>
      </c>
      <c r="W23" s="227">
        <f>'RAB inputs'!W55</f>
        <v>25</v>
      </c>
    </row>
    <row r="24" spans="1:23">
      <c r="A24" s="234" t="s">
        <v>48</v>
      </c>
      <c r="B24" s="63" t="s">
        <v>230</v>
      </c>
      <c r="N24" s="227">
        <f>'RAB inputs'!L56</f>
        <v>5</v>
      </c>
      <c r="O24" s="227">
        <f>'RAB inputs'!M56</f>
        <v>5</v>
      </c>
      <c r="P24" s="227">
        <f>'RAB inputs'!N56</f>
        <v>5</v>
      </c>
      <c r="Q24" s="227">
        <f>'RAB inputs'!O56</f>
        <v>5</v>
      </c>
      <c r="R24" s="227">
        <f>'RAB inputs'!P56</f>
        <v>5</v>
      </c>
      <c r="S24" s="227">
        <f>'RAB inputs'!Q56</f>
        <v>5</v>
      </c>
      <c r="T24" s="227">
        <f>'RAB inputs'!R56</f>
        <v>5</v>
      </c>
      <c r="U24" s="227">
        <f>'RAB inputs'!S56</f>
        <v>5</v>
      </c>
      <c r="V24" s="227">
        <f>'RAB inputs'!T56</f>
        <v>5</v>
      </c>
      <c r="W24" s="227">
        <f>'RAB inputs'!U56</f>
        <v>5</v>
      </c>
    </row>
    <row r="25" spans="1:23" s="300" customFormat="1">
      <c r="A25" s="234"/>
      <c r="N25" s="227"/>
      <c r="O25" s="227"/>
      <c r="P25" s="227"/>
      <c r="Q25" s="227"/>
      <c r="R25" s="227"/>
      <c r="S25" s="227"/>
      <c r="T25" s="227"/>
      <c r="U25" s="227"/>
      <c r="V25" s="227"/>
      <c r="W25" s="227"/>
    </row>
    <row r="26" spans="1:23" s="300" customFormat="1" ht="18">
      <c r="A26" s="267" t="s">
        <v>435</v>
      </c>
      <c r="B26" s="299"/>
      <c r="C26" s="299"/>
      <c r="D26" s="299"/>
      <c r="E26" s="299"/>
      <c r="F26" s="299"/>
      <c r="G26" s="299"/>
      <c r="H26" s="299"/>
      <c r="I26" s="299"/>
      <c r="N26" s="227"/>
      <c r="O26" s="227"/>
      <c r="P26" s="227"/>
      <c r="Q26" s="227"/>
      <c r="R26" s="227"/>
      <c r="S26" s="227"/>
      <c r="T26" s="227"/>
      <c r="U26" s="227"/>
      <c r="V26" s="227"/>
      <c r="W26" s="227"/>
    </row>
    <row r="27" spans="1:23" s="300" customFormat="1">
      <c r="A27" s="299"/>
      <c r="B27" s="299"/>
      <c r="C27" s="299"/>
      <c r="D27" s="299"/>
      <c r="E27" s="299"/>
      <c r="F27" s="299"/>
      <c r="G27" s="299"/>
      <c r="H27" s="299"/>
      <c r="I27" s="299"/>
      <c r="N27" s="227"/>
      <c r="O27" s="227"/>
      <c r="P27" s="227"/>
      <c r="Q27" s="227"/>
      <c r="R27" s="227"/>
      <c r="S27" s="227"/>
      <c r="T27" s="227"/>
      <c r="U27" s="227"/>
      <c r="V27" s="227"/>
      <c r="W27" s="227"/>
    </row>
    <row r="28" spans="1:23" s="300" customFormat="1">
      <c r="A28" s="1" t="s">
        <v>436</v>
      </c>
      <c r="B28" s="1" t="s">
        <v>10</v>
      </c>
      <c r="C28" s="1" t="s">
        <v>11</v>
      </c>
      <c r="D28" s="238" t="s">
        <v>0</v>
      </c>
      <c r="E28" s="238" t="s">
        <v>1</v>
      </c>
      <c r="F28" s="238" t="s">
        <v>2</v>
      </c>
      <c r="G28" s="238" t="s">
        <v>3</v>
      </c>
      <c r="H28" s="238" t="s">
        <v>4</v>
      </c>
      <c r="I28" s="238" t="s">
        <v>20</v>
      </c>
      <c r="N28" s="227"/>
      <c r="O28" s="227"/>
      <c r="P28" s="227"/>
      <c r="Q28" s="227"/>
      <c r="R28" s="227"/>
      <c r="S28" s="227"/>
      <c r="T28" s="227"/>
      <c r="U28" s="227"/>
      <c r="V28" s="227"/>
      <c r="W28" s="227"/>
    </row>
    <row r="29" spans="1:23" s="300" customFormat="1">
      <c r="A29" s="299" t="s">
        <v>442</v>
      </c>
      <c r="B29" s="300" t="s">
        <v>40</v>
      </c>
      <c r="C29" s="234" t="s">
        <v>218</v>
      </c>
      <c r="D29" s="66">
        <f>'RAB inputs'!D102/I$15</f>
        <v>914.61170619739858</v>
      </c>
      <c r="E29" s="66">
        <f>'RAB inputs'!E102/J$15</f>
        <v>719.09719142645974</v>
      </c>
      <c r="F29" s="66">
        <f>'RAB inputs'!F102/K$15</f>
        <v>394.93171254915978</v>
      </c>
      <c r="G29" s="66">
        <f>'RAB inputs'!G102/L$15</f>
        <v>920.05863983344898</v>
      </c>
      <c r="H29" s="66">
        <f>'RAB inputs'!H102/M$15</f>
        <v>1688.3540669856457</v>
      </c>
      <c r="I29" s="66">
        <f>SUM(D29:H29)</f>
        <v>4637.0533169921127</v>
      </c>
      <c r="N29" s="227"/>
      <c r="O29" s="227"/>
      <c r="P29" s="227"/>
      <c r="Q29" s="227"/>
      <c r="R29" s="227"/>
      <c r="S29" s="227"/>
      <c r="T29" s="227"/>
      <c r="U29" s="227"/>
      <c r="V29" s="227"/>
      <c r="W29" s="227"/>
    </row>
    <row r="30" spans="1:23" s="300" customFormat="1">
      <c r="A30" s="299"/>
      <c r="C30" s="234"/>
      <c r="D30" s="66"/>
      <c r="E30" s="66"/>
      <c r="F30" s="66"/>
      <c r="G30" s="66"/>
      <c r="H30" s="66"/>
      <c r="I30" s="66"/>
      <c r="N30" s="227"/>
      <c r="O30" s="227"/>
      <c r="P30" s="227"/>
      <c r="Q30" s="227"/>
      <c r="R30" s="227"/>
      <c r="S30" s="227"/>
      <c r="T30" s="227"/>
      <c r="U30" s="227"/>
      <c r="V30" s="227"/>
      <c r="W30" s="227"/>
    </row>
    <row r="31" spans="1:23" s="300" customFormat="1">
      <c r="A31" s="1" t="s">
        <v>439</v>
      </c>
      <c r="B31" s="1" t="s">
        <v>10</v>
      </c>
      <c r="C31" s="1" t="s">
        <v>11</v>
      </c>
      <c r="D31" s="238" t="s">
        <v>0</v>
      </c>
      <c r="E31" s="238" t="s">
        <v>1</v>
      </c>
      <c r="F31" s="238" t="s">
        <v>2</v>
      </c>
      <c r="G31" s="238" t="s">
        <v>3</v>
      </c>
      <c r="H31" s="238" t="s">
        <v>4</v>
      </c>
      <c r="I31" s="238" t="s">
        <v>20</v>
      </c>
      <c r="N31" s="227"/>
      <c r="O31" s="227"/>
      <c r="P31" s="227"/>
      <c r="Q31" s="227"/>
      <c r="R31" s="227"/>
      <c r="S31" s="227"/>
      <c r="T31" s="227"/>
      <c r="U31" s="227"/>
      <c r="V31" s="227"/>
      <c r="W31" s="227"/>
    </row>
    <row r="32" spans="1:23" s="300" customFormat="1">
      <c r="A32" s="299" t="s">
        <v>440</v>
      </c>
      <c r="B32" s="300" t="s">
        <v>40</v>
      </c>
      <c r="C32" s="234" t="s">
        <v>218</v>
      </c>
      <c r="D32" s="66">
        <f>'RAB inputs'!D106/I$15</f>
        <v>191.72609028309105</v>
      </c>
      <c r="E32" s="66">
        <f>'RAB inputs'!E106/J$15</f>
        <v>24.568366592756835</v>
      </c>
      <c r="F32" s="66">
        <f>'RAB inputs'!F106/K$15</f>
        <v>15.541294243832677</v>
      </c>
      <c r="G32" s="66">
        <f>'RAB inputs'!G106/L$15</f>
        <v>34.602012491325468</v>
      </c>
      <c r="H32" s="66">
        <f>'RAB inputs'!H106/M$15</f>
        <v>275.27511961722485</v>
      </c>
      <c r="I32" s="66">
        <f>SUM(D32:H32)</f>
        <v>541.71288322823091</v>
      </c>
      <c r="N32" s="227"/>
      <c r="O32" s="227"/>
      <c r="P32" s="227"/>
      <c r="Q32" s="227"/>
      <c r="R32" s="227"/>
      <c r="S32" s="227"/>
      <c r="T32" s="227"/>
      <c r="U32" s="227"/>
      <c r="V32" s="227"/>
      <c r="W32" s="227"/>
    </row>
    <row r="33" spans="1:23" s="300" customFormat="1">
      <c r="N33" s="227"/>
      <c r="O33" s="227"/>
      <c r="P33" s="227"/>
      <c r="Q33" s="227"/>
      <c r="R33" s="227"/>
      <c r="S33" s="227"/>
      <c r="T33" s="227"/>
      <c r="U33" s="227"/>
      <c r="V33" s="227"/>
      <c r="W33" s="227"/>
    </row>
    <row r="34" spans="1:23">
      <c r="A34" s="65"/>
    </row>
    <row r="35" spans="1:23" ht="18">
      <c r="A35" s="267" t="s">
        <v>304</v>
      </c>
      <c r="B35" s="268"/>
    </row>
    <row r="36" spans="1:23">
      <c r="C36" s="270" t="s">
        <v>290</v>
      </c>
      <c r="D36" s="246">
        <v>42278</v>
      </c>
      <c r="E36" s="246">
        <v>42644</v>
      </c>
      <c r="F36" s="246">
        <v>43009</v>
      </c>
      <c r="G36" s="246">
        <v>43374</v>
      </c>
      <c r="H36" s="246">
        <v>43739</v>
      </c>
    </row>
    <row r="37" spans="1:23">
      <c r="C37" s="270" t="s">
        <v>291</v>
      </c>
      <c r="D37" s="247">
        <v>42643</v>
      </c>
      <c r="E37" s="247">
        <v>43008</v>
      </c>
      <c r="F37" s="247">
        <v>43373</v>
      </c>
      <c r="G37" s="247">
        <v>43738</v>
      </c>
      <c r="H37" s="247">
        <v>44104</v>
      </c>
    </row>
    <row r="38" spans="1:23">
      <c r="B38" s="65" t="s">
        <v>10</v>
      </c>
      <c r="C38" s="65" t="s">
        <v>11</v>
      </c>
      <c r="D38" s="247"/>
      <c r="E38" s="247"/>
      <c r="F38" s="247"/>
      <c r="G38" s="247"/>
      <c r="H38" s="247"/>
    </row>
    <row r="39" spans="1:23">
      <c r="A39" s="63" t="s">
        <v>224</v>
      </c>
      <c r="B39" s="63" t="s">
        <v>40</v>
      </c>
      <c r="C39" s="234" t="s">
        <v>218</v>
      </c>
      <c r="D39" s="236">
        <f>'RAB inputs'!N19</f>
        <v>1408.5</v>
      </c>
      <c r="E39" s="236">
        <f>'RAB inputs'!O19</f>
        <v>1304.1000000000001</v>
      </c>
      <c r="F39" s="236">
        <f>'RAB inputs'!P19</f>
        <v>1035</v>
      </c>
      <c r="G39" s="236">
        <f>'RAB inputs'!Q19</f>
        <v>1369.8</v>
      </c>
      <c r="H39" s="236">
        <f>'RAB inputs'!R19</f>
        <v>1717.1999999999998</v>
      </c>
    </row>
    <row r="40" spans="1:23">
      <c r="A40" s="63" t="s">
        <v>247</v>
      </c>
      <c r="B40" s="63" t="s">
        <v>40</v>
      </c>
      <c r="C40" s="234" t="s">
        <v>218</v>
      </c>
      <c r="D40" s="236">
        <f>D29</f>
        <v>914.61170619739858</v>
      </c>
      <c r="E40" s="236">
        <f t="shared" ref="E40:H40" si="3">E29</f>
        <v>719.09719142645974</v>
      </c>
      <c r="F40" s="236">
        <f t="shared" si="3"/>
        <v>394.93171254915978</v>
      </c>
      <c r="G40" s="236">
        <f t="shared" si="3"/>
        <v>920.05863983344898</v>
      </c>
      <c r="H40" s="236">
        <f t="shared" si="3"/>
        <v>1688.3540669856457</v>
      </c>
    </row>
    <row r="41" spans="1:23">
      <c r="A41" s="234" t="s">
        <v>283</v>
      </c>
      <c r="B41" s="63" t="s">
        <v>40</v>
      </c>
      <c r="C41" s="234" t="s">
        <v>218</v>
      </c>
      <c r="D41" s="236">
        <f>D39+0.5*(D40-D39)</f>
        <v>1161.5558530986993</v>
      </c>
      <c r="E41" s="236">
        <f t="shared" ref="E41:H41" si="4">E39+0.5*(E40-E39)</f>
        <v>1011.59859571323</v>
      </c>
      <c r="F41" s="236">
        <f t="shared" si="4"/>
        <v>714.96585627457989</v>
      </c>
      <c r="G41" s="236">
        <f t="shared" si="4"/>
        <v>1144.9293199167246</v>
      </c>
      <c r="H41" s="236">
        <f t="shared" si="4"/>
        <v>1702.7770334928227</v>
      </c>
    </row>
    <row r="42" spans="1:23">
      <c r="A42" s="65"/>
    </row>
    <row r="43" spans="1:23" ht="18">
      <c r="A43" s="267" t="s">
        <v>305</v>
      </c>
      <c r="B43" s="268"/>
    </row>
    <row r="44" spans="1:23">
      <c r="C44" s="270" t="s">
        <v>290</v>
      </c>
      <c r="D44" s="246">
        <v>42278</v>
      </c>
      <c r="E44" s="246">
        <v>42644</v>
      </c>
      <c r="F44" s="246">
        <v>43009</v>
      </c>
      <c r="G44" s="246">
        <v>43374</v>
      </c>
      <c r="H44" s="246">
        <v>43739</v>
      </c>
    </row>
    <row r="45" spans="1:23">
      <c r="C45" s="270" t="s">
        <v>291</v>
      </c>
      <c r="D45" s="247">
        <v>42643</v>
      </c>
      <c r="E45" s="247">
        <v>43008</v>
      </c>
      <c r="F45" s="247">
        <v>43373</v>
      </c>
      <c r="G45" s="247">
        <v>43738</v>
      </c>
      <c r="H45" s="247">
        <v>44104</v>
      </c>
    </row>
    <row r="46" spans="1:23">
      <c r="B46" s="65" t="s">
        <v>10</v>
      </c>
      <c r="C46" s="65" t="s">
        <v>11</v>
      </c>
      <c r="D46" s="247"/>
      <c r="E46" s="247"/>
      <c r="F46" s="247"/>
      <c r="G46" s="247"/>
      <c r="H46" s="247"/>
    </row>
    <row r="47" spans="1:23">
      <c r="A47" s="63" t="s">
        <v>224</v>
      </c>
      <c r="B47" s="63" t="s">
        <v>40</v>
      </c>
      <c r="C47" s="234" t="s">
        <v>218</v>
      </c>
      <c r="D47" s="236">
        <v>0</v>
      </c>
      <c r="E47" s="236">
        <v>0</v>
      </c>
      <c r="F47" s="236">
        <v>0</v>
      </c>
      <c r="G47" s="236">
        <v>0</v>
      </c>
      <c r="H47" s="236">
        <v>0</v>
      </c>
    </row>
    <row r="48" spans="1:23">
      <c r="A48" s="63" t="s">
        <v>247</v>
      </c>
      <c r="B48" s="63" t="s">
        <v>40</v>
      </c>
      <c r="C48" s="234" t="s">
        <v>218</v>
      </c>
      <c r="D48" s="236">
        <f>D32</f>
        <v>191.72609028309105</v>
      </c>
      <c r="E48" s="236">
        <f t="shared" ref="E48:H48" si="5">E32</f>
        <v>24.568366592756835</v>
      </c>
      <c r="F48" s="236">
        <f t="shared" si="5"/>
        <v>15.541294243832677</v>
      </c>
      <c r="G48" s="236">
        <f t="shared" si="5"/>
        <v>34.602012491325468</v>
      </c>
      <c r="H48" s="236">
        <f t="shared" si="5"/>
        <v>275.27511961722485</v>
      </c>
    </row>
    <row r="49" spans="1:23">
      <c r="A49" s="234" t="s">
        <v>283</v>
      </c>
      <c r="B49" s="63" t="s">
        <v>40</v>
      </c>
      <c r="C49" s="234" t="s">
        <v>218</v>
      </c>
      <c r="D49" s="236">
        <f>D47+0.5*(D48-D47)</f>
        <v>95.863045141545527</v>
      </c>
      <c r="E49" s="236">
        <f t="shared" ref="E49:H49" si="6">E47+0.5*(E48-E47)</f>
        <v>12.284183296378417</v>
      </c>
      <c r="F49" s="236">
        <f t="shared" si="6"/>
        <v>7.7706471219163387</v>
      </c>
      <c r="G49" s="236">
        <f t="shared" si="6"/>
        <v>17.301006245662734</v>
      </c>
      <c r="H49" s="236">
        <f t="shared" si="6"/>
        <v>137.63755980861242</v>
      </c>
    </row>
    <row r="50" spans="1:23" s="300" customFormat="1">
      <c r="A50" s="234"/>
      <c r="C50" s="234"/>
      <c r="D50" s="236"/>
      <c r="E50" s="236"/>
      <c r="F50" s="236"/>
      <c r="G50" s="236"/>
      <c r="H50" s="236"/>
    </row>
    <row r="51" spans="1:23" ht="18">
      <c r="A51" s="267" t="s">
        <v>339</v>
      </c>
      <c r="B51" s="268"/>
    </row>
    <row r="52" spans="1:23">
      <c r="C52" s="270" t="s">
        <v>290</v>
      </c>
      <c r="D52" s="246">
        <v>39387</v>
      </c>
      <c r="E52" s="246">
        <v>39539</v>
      </c>
      <c r="F52" s="246">
        <v>39722</v>
      </c>
      <c r="G52" s="246">
        <v>40087</v>
      </c>
      <c r="H52" s="246">
        <v>40269</v>
      </c>
      <c r="I52" s="246">
        <v>40452</v>
      </c>
      <c r="J52" s="246">
        <v>40817</v>
      </c>
      <c r="K52" s="246">
        <v>41183</v>
      </c>
      <c r="L52" s="246">
        <v>41548</v>
      </c>
      <c r="M52" s="246">
        <v>41913</v>
      </c>
      <c r="N52" s="246">
        <v>42278</v>
      </c>
      <c r="O52" s="246">
        <v>42644</v>
      </c>
      <c r="P52" s="246">
        <v>43009</v>
      </c>
      <c r="Q52" s="246">
        <v>43374</v>
      </c>
      <c r="R52" s="246">
        <v>43739</v>
      </c>
      <c r="S52" s="246">
        <v>44105</v>
      </c>
      <c r="T52" s="246">
        <v>44470</v>
      </c>
      <c r="U52" s="246">
        <v>44835</v>
      </c>
      <c r="V52" s="246">
        <v>45200</v>
      </c>
      <c r="W52" s="246">
        <v>45566</v>
      </c>
    </row>
    <row r="53" spans="1:23">
      <c r="C53" s="270" t="s">
        <v>291</v>
      </c>
      <c r="D53" s="246">
        <v>39538</v>
      </c>
      <c r="E53" s="246">
        <v>39721</v>
      </c>
      <c r="F53" s="246">
        <v>40086</v>
      </c>
      <c r="G53" s="246">
        <v>40268</v>
      </c>
      <c r="H53" s="246">
        <v>40451</v>
      </c>
      <c r="I53" s="247">
        <v>40816</v>
      </c>
      <c r="J53" s="247">
        <v>41182</v>
      </c>
      <c r="K53" s="247">
        <v>41547</v>
      </c>
      <c r="L53" s="247">
        <v>41912</v>
      </c>
      <c r="M53" s="247">
        <v>42277</v>
      </c>
      <c r="N53" s="247">
        <v>42643</v>
      </c>
      <c r="O53" s="247">
        <v>43008</v>
      </c>
      <c r="P53" s="247">
        <v>43373</v>
      </c>
      <c r="Q53" s="247">
        <v>43738</v>
      </c>
      <c r="R53" s="247">
        <v>44104</v>
      </c>
      <c r="S53" s="247">
        <v>44469</v>
      </c>
      <c r="T53" s="247">
        <v>44834</v>
      </c>
      <c r="U53" s="247">
        <v>45199</v>
      </c>
      <c r="V53" s="247">
        <v>45565</v>
      </c>
      <c r="W53" s="247">
        <v>45930</v>
      </c>
    </row>
    <row r="54" spans="1:23">
      <c r="A54" s="65" t="s">
        <v>284</v>
      </c>
      <c r="B54" s="65" t="s">
        <v>10</v>
      </c>
      <c r="C54" s="65" t="s">
        <v>11</v>
      </c>
      <c r="D54" s="64"/>
      <c r="E54" s="64"/>
      <c r="F54" s="64"/>
      <c r="G54" s="64"/>
      <c r="H54" s="64"/>
      <c r="I54" s="248"/>
      <c r="J54" s="248"/>
      <c r="K54" s="248"/>
      <c r="L54" s="248"/>
      <c r="M54" s="248"/>
      <c r="N54" s="248"/>
      <c r="O54" s="248"/>
      <c r="P54" s="248"/>
      <c r="Q54" s="248"/>
      <c r="R54" s="248"/>
      <c r="S54" s="248"/>
      <c r="T54" s="248"/>
      <c r="U54" s="248"/>
      <c r="V54" s="248"/>
      <c r="W54" s="248"/>
    </row>
    <row r="55" spans="1:23">
      <c r="A55" s="63" t="s">
        <v>219</v>
      </c>
      <c r="B55" s="63" t="s">
        <v>40</v>
      </c>
      <c r="C55" s="234" t="s">
        <v>218</v>
      </c>
      <c r="D55" s="236">
        <f>'RAB inputs'!D11</f>
        <v>2116.7832446290081</v>
      </c>
      <c r="E55" s="236">
        <f>'RAB inputs'!E11</f>
        <v>1262.6801421709006</v>
      </c>
      <c r="F55" s="236">
        <f>'RAB inputs'!F11</f>
        <v>2346.1860374137109</v>
      </c>
      <c r="G55" s="236">
        <f>'RAB inputs'!G11</f>
        <v>1466.300982890592</v>
      </c>
      <c r="H55" s="236"/>
      <c r="I55" s="236"/>
      <c r="J55" s="236"/>
      <c r="K55" s="236"/>
      <c r="L55" s="236"/>
      <c r="M55" s="236"/>
      <c r="N55" s="236"/>
      <c r="O55" s="236"/>
      <c r="P55" s="236"/>
      <c r="Q55" s="236"/>
      <c r="R55" s="236"/>
      <c r="S55" s="236"/>
      <c r="T55" s="236"/>
      <c r="U55" s="236"/>
      <c r="V55" s="236"/>
      <c r="W55" s="236"/>
    </row>
    <row r="56" spans="1:23">
      <c r="A56" s="63" t="s">
        <v>220</v>
      </c>
      <c r="B56" s="63" t="s">
        <v>40</v>
      </c>
      <c r="C56" s="234" t="s">
        <v>218</v>
      </c>
      <c r="D56" s="236">
        <f>'RAB inputs'!D12</f>
        <v>0</v>
      </c>
      <c r="E56" s="236">
        <f>'RAB inputs'!E12</f>
        <v>0</v>
      </c>
      <c r="F56" s="236">
        <f>'RAB inputs'!F12</f>
        <v>1308.4658697862565</v>
      </c>
      <c r="G56" s="236">
        <f>'RAB inputs'!G12</f>
        <v>1568.8724418280337</v>
      </c>
      <c r="H56" s="236"/>
      <c r="I56" s="236"/>
      <c r="J56" s="236"/>
      <c r="K56" s="236"/>
      <c r="L56" s="236"/>
      <c r="M56" s="236"/>
      <c r="N56" s="236"/>
      <c r="O56" s="236"/>
      <c r="P56" s="236"/>
      <c r="Q56" s="236"/>
      <c r="R56" s="236"/>
      <c r="S56" s="236"/>
      <c r="T56" s="236"/>
      <c r="U56" s="236"/>
      <c r="V56" s="236"/>
      <c r="W56" s="236"/>
    </row>
    <row r="57" spans="1:23">
      <c r="A57" s="63" t="s">
        <v>225</v>
      </c>
      <c r="B57" s="63" t="s">
        <v>40</v>
      </c>
      <c r="C57" s="234" t="s">
        <v>218</v>
      </c>
      <c r="D57" s="236"/>
      <c r="E57" s="236"/>
      <c r="F57" s="236"/>
      <c r="G57" s="236"/>
      <c r="H57" s="236">
        <f>'RAB inputs'!H13</f>
        <v>1047.8191202872531</v>
      </c>
      <c r="I57" s="236">
        <f>'RAB inputs'!I13</f>
        <v>1013.3891382405744</v>
      </c>
      <c r="J57" s="236">
        <f>'RAB inputs'!J13</f>
        <v>1365.722621184919</v>
      </c>
      <c r="K57" s="236">
        <f>'RAB inputs'!K13</f>
        <v>281.17818671454216</v>
      </c>
      <c r="L57" s="236">
        <f>'RAB inputs'!L13</f>
        <v>1589.5175044883301</v>
      </c>
      <c r="M57" s="236">
        <f>'RAB inputs'!M13</f>
        <v>418.89811490125669</v>
      </c>
      <c r="N57" s="236"/>
      <c r="O57" s="236"/>
      <c r="P57" s="236"/>
      <c r="Q57" s="236"/>
      <c r="R57" s="236"/>
      <c r="S57" s="236"/>
      <c r="T57" s="236"/>
      <c r="U57" s="236"/>
      <c r="V57" s="236"/>
      <c r="W57" s="236"/>
    </row>
    <row r="58" spans="1:23">
      <c r="A58" s="63" t="s">
        <v>221</v>
      </c>
      <c r="B58" s="63" t="s">
        <v>40</v>
      </c>
      <c r="C58" s="234" t="s">
        <v>218</v>
      </c>
      <c r="D58" s="236">
        <v>687.15121839654023</v>
      </c>
      <c r="E58" s="236">
        <v>827.64373752494998</v>
      </c>
      <c r="F58" s="236">
        <v>1656.5634231536922</v>
      </c>
      <c r="G58" s="236">
        <v>828.28171157684608</v>
      </c>
      <c r="H58" s="236">
        <v>1034.5546719061877</v>
      </c>
      <c r="I58" s="236">
        <v>2069.1093438123753</v>
      </c>
      <c r="J58" s="236">
        <v>2069.1093438123753</v>
      </c>
      <c r="K58" s="236">
        <v>2069.1093438123753</v>
      </c>
      <c r="L58" s="236">
        <v>2069.1093438123753</v>
      </c>
      <c r="M58" s="236">
        <v>2069.1093438123753</v>
      </c>
      <c r="N58" s="248"/>
      <c r="O58" s="248"/>
      <c r="P58" s="248"/>
      <c r="Q58" s="248"/>
      <c r="R58" s="248"/>
      <c r="S58" s="248"/>
      <c r="T58" s="248"/>
      <c r="U58" s="248"/>
      <c r="V58" s="248"/>
      <c r="W58" s="248"/>
    </row>
    <row r="59" spans="1:23">
      <c r="A59" s="63" t="s">
        <v>222</v>
      </c>
      <c r="B59" s="63" t="s">
        <v>40</v>
      </c>
      <c r="C59" s="234" t="s">
        <v>218</v>
      </c>
      <c r="D59" s="236"/>
      <c r="E59" s="236"/>
      <c r="F59" s="236">
        <v>71.046407396004938</v>
      </c>
      <c r="G59" s="236">
        <v>65.423293489312812</v>
      </c>
      <c r="H59" s="236"/>
      <c r="I59" s="236"/>
      <c r="J59" s="236"/>
      <c r="K59" s="236"/>
      <c r="L59" s="236"/>
      <c r="M59" s="236"/>
      <c r="N59" s="236"/>
      <c r="O59" s="236"/>
      <c r="P59" s="236"/>
      <c r="Q59" s="236"/>
      <c r="R59" s="236"/>
      <c r="S59" s="236"/>
      <c r="T59" s="236"/>
      <c r="U59" s="236"/>
      <c r="V59" s="236"/>
      <c r="W59" s="236"/>
    </row>
    <row r="60" spans="1:23">
      <c r="A60" s="63" t="s">
        <v>223</v>
      </c>
      <c r="B60" s="63" t="s">
        <v>40</v>
      </c>
      <c r="C60" s="234" t="s">
        <v>218</v>
      </c>
      <c r="D60" s="236"/>
      <c r="E60" s="236"/>
      <c r="F60" s="236"/>
      <c r="G60" s="236">
        <v>12.377105725354388</v>
      </c>
      <c r="H60" s="236"/>
      <c r="I60" s="236"/>
      <c r="J60" s="236"/>
      <c r="K60" s="236"/>
      <c r="L60" s="236"/>
      <c r="M60" s="236"/>
      <c r="N60" s="236"/>
      <c r="O60" s="236"/>
      <c r="P60" s="236"/>
      <c r="Q60" s="236"/>
      <c r="R60" s="236"/>
      <c r="S60" s="236"/>
      <c r="T60" s="236"/>
      <c r="U60" s="236"/>
      <c r="V60" s="236"/>
      <c r="W60" s="236"/>
    </row>
    <row r="61" spans="1:23">
      <c r="C61" s="234"/>
      <c r="D61" s="236"/>
      <c r="E61" s="236"/>
      <c r="F61" s="236"/>
      <c r="G61" s="236"/>
      <c r="H61" s="236"/>
      <c r="I61" s="236"/>
      <c r="J61" s="236"/>
      <c r="K61" s="236"/>
      <c r="L61" s="236"/>
      <c r="M61" s="236"/>
      <c r="N61" s="236"/>
      <c r="O61" s="236"/>
      <c r="P61" s="236"/>
      <c r="Q61" s="236"/>
      <c r="R61" s="236"/>
      <c r="S61" s="236"/>
      <c r="T61" s="236"/>
      <c r="U61" s="236"/>
      <c r="V61" s="236"/>
      <c r="W61" s="236"/>
    </row>
    <row r="62" spans="1:23">
      <c r="A62" s="65" t="s">
        <v>285</v>
      </c>
    </row>
    <row r="63" spans="1:23">
      <c r="A63" s="63" t="s">
        <v>255</v>
      </c>
      <c r="B63" s="63" t="s">
        <v>40</v>
      </c>
      <c r="C63" s="234" t="s">
        <v>218</v>
      </c>
      <c r="D63" s="236"/>
      <c r="E63" s="236"/>
      <c r="F63" s="236"/>
      <c r="G63" s="236"/>
      <c r="H63" s="236"/>
      <c r="I63" s="236"/>
      <c r="J63" s="236"/>
      <c r="K63" s="236"/>
      <c r="L63" s="236"/>
      <c r="M63" s="236"/>
      <c r="N63" s="236">
        <f>D41</f>
        <v>1161.5558530986993</v>
      </c>
      <c r="O63" s="236">
        <f>E41</f>
        <v>1011.59859571323</v>
      </c>
      <c r="P63" s="236">
        <f>F41</f>
        <v>714.96585627457989</v>
      </c>
      <c r="Q63" s="236">
        <f>G41</f>
        <v>1144.9293199167246</v>
      </c>
      <c r="R63" s="236">
        <f>H41</f>
        <v>1702.7770334928227</v>
      </c>
      <c r="S63" s="236"/>
      <c r="T63" s="236"/>
      <c r="U63" s="236"/>
      <c r="V63" s="236"/>
      <c r="W63" s="236"/>
    </row>
    <row r="64" spans="1:23">
      <c r="A64" s="63" t="s">
        <v>254</v>
      </c>
      <c r="B64" s="63" t="s">
        <v>40</v>
      </c>
      <c r="C64" s="234" t="s">
        <v>218</v>
      </c>
      <c r="D64" s="236"/>
      <c r="E64" s="236"/>
      <c r="F64" s="236"/>
      <c r="G64" s="236"/>
      <c r="H64" s="236"/>
      <c r="I64" s="236"/>
      <c r="J64" s="236"/>
      <c r="K64" s="236"/>
      <c r="L64" s="236"/>
      <c r="M64" s="236"/>
      <c r="N64" s="236">
        <f>'RAB inputs'!N20</f>
        <v>3999.2616251784443</v>
      </c>
      <c r="O64" s="236">
        <f>'RAB inputs'!O20</f>
        <v>1762.9726765238149</v>
      </c>
      <c r="P64" s="236">
        <f>'RAB inputs'!P20</f>
        <v>1363.870779847397</v>
      </c>
      <c r="Q64" s="236">
        <f>'RAB inputs'!Q20</f>
        <v>1312.7862152154398</v>
      </c>
      <c r="R64" s="236">
        <f>'RAB inputs'!R20</f>
        <v>1272.6674596050275</v>
      </c>
      <c r="S64" s="236"/>
      <c r="T64" s="236"/>
      <c r="U64" s="236"/>
      <c r="V64" s="236"/>
      <c r="W64" s="236"/>
    </row>
    <row r="65" spans="1:24">
      <c r="C65" s="234"/>
      <c r="D65" s="236"/>
      <c r="E65" s="236"/>
      <c r="F65" s="236"/>
      <c r="G65" s="236"/>
      <c r="H65" s="236"/>
      <c r="I65" s="236"/>
      <c r="J65" s="236"/>
      <c r="K65" s="236"/>
      <c r="L65" s="236"/>
      <c r="M65" s="236"/>
      <c r="N65" s="236"/>
      <c r="O65" s="236"/>
      <c r="P65" s="236"/>
      <c r="Q65" s="236"/>
      <c r="R65" s="236"/>
      <c r="S65" s="236"/>
      <c r="T65" s="236"/>
      <c r="U65" s="236"/>
      <c r="V65" s="236"/>
      <c r="W65" s="236"/>
    </row>
    <row r="66" spans="1:24">
      <c r="A66" s="65" t="s">
        <v>518</v>
      </c>
    </row>
    <row r="67" spans="1:24">
      <c r="A67" s="63" t="s">
        <v>330</v>
      </c>
      <c r="B67" s="63" t="s">
        <v>40</v>
      </c>
      <c r="C67" s="234" t="s">
        <v>54</v>
      </c>
      <c r="D67" s="236"/>
      <c r="E67" s="236"/>
      <c r="F67" s="236"/>
      <c r="G67" s="236"/>
      <c r="H67" s="236"/>
      <c r="I67" s="236"/>
      <c r="J67" s="236"/>
      <c r="K67" s="236"/>
      <c r="L67" s="236"/>
      <c r="M67" s="236"/>
      <c r="N67" s="236"/>
      <c r="O67" s="236"/>
      <c r="P67" s="236"/>
      <c r="Q67" s="236"/>
      <c r="R67" s="236"/>
      <c r="S67" s="236">
        <f>CCS!D20+CCS!D27</f>
        <v>4230.7503128243552</v>
      </c>
      <c r="T67" s="236">
        <f>CCS!E20+CCS!E27</f>
        <v>2910.3331625002429</v>
      </c>
      <c r="U67" s="236">
        <f>CCS!F20+CCS!F27</f>
        <v>2590.1365390713927</v>
      </c>
      <c r="V67" s="236">
        <f>CCS!G20+CCS!G27</f>
        <v>2284.2184327649684</v>
      </c>
      <c r="W67" s="236">
        <f>CCS!H20+CCS!H27</f>
        <v>2142.0615528390408</v>
      </c>
    </row>
    <row r="70" spans="1:24">
      <c r="A70" s="65" t="s">
        <v>226</v>
      </c>
      <c r="C70" s="270" t="s">
        <v>11</v>
      </c>
      <c r="D70" s="271" t="s">
        <v>341</v>
      </c>
      <c r="E70" s="234" t="s">
        <v>218</v>
      </c>
      <c r="F70" s="234" t="s">
        <v>218</v>
      </c>
      <c r="G70" s="234" t="s">
        <v>218</v>
      </c>
      <c r="H70" s="234" t="s">
        <v>218</v>
      </c>
      <c r="I70" s="234" t="s">
        <v>218</v>
      </c>
      <c r="J70" s="234" t="s">
        <v>218</v>
      </c>
      <c r="K70" s="234" t="s">
        <v>218</v>
      </c>
      <c r="L70" s="234" t="s">
        <v>218</v>
      </c>
      <c r="M70" s="234" t="s">
        <v>218</v>
      </c>
      <c r="N70" s="234" t="s">
        <v>218</v>
      </c>
      <c r="O70" s="234" t="s">
        <v>218</v>
      </c>
      <c r="P70" s="234" t="s">
        <v>218</v>
      </c>
      <c r="Q70" s="234" t="s">
        <v>218</v>
      </c>
      <c r="R70" s="234" t="s">
        <v>218</v>
      </c>
      <c r="S70" s="234" t="s">
        <v>218</v>
      </c>
      <c r="T70" s="234" t="s">
        <v>54</v>
      </c>
      <c r="U70" s="234" t="s">
        <v>54</v>
      </c>
      <c r="V70" s="234" t="s">
        <v>54</v>
      </c>
      <c r="W70" s="234" t="s">
        <v>54</v>
      </c>
      <c r="X70" s="234" t="s">
        <v>54</v>
      </c>
    </row>
    <row r="71" spans="1:24">
      <c r="C71" s="270" t="s">
        <v>286</v>
      </c>
      <c r="D71" s="245">
        <v>39386</v>
      </c>
      <c r="E71" s="245">
        <v>39538</v>
      </c>
      <c r="F71" s="245">
        <v>39721</v>
      </c>
      <c r="G71" s="245">
        <v>40086</v>
      </c>
      <c r="H71" s="245">
        <v>40268</v>
      </c>
      <c r="I71" s="245">
        <v>40451</v>
      </c>
      <c r="J71" s="245">
        <v>40816</v>
      </c>
      <c r="K71" s="245">
        <v>41182</v>
      </c>
      <c r="L71" s="245">
        <v>41547</v>
      </c>
      <c r="M71" s="245">
        <v>41912</v>
      </c>
      <c r="N71" s="245">
        <v>42277</v>
      </c>
      <c r="O71" s="245">
        <v>42643</v>
      </c>
      <c r="P71" s="245">
        <v>43008</v>
      </c>
      <c r="Q71" s="245">
        <v>43373</v>
      </c>
      <c r="R71" s="245">
        <v>43738</v>
      </c>
      <c r="S71" s="245">
        <v>44104</v>
      </c>
      <c r="T71" s="245">
        <v>44469</v>
      </c>
      <c r="U71" s="245">
        <v>44834</v>
      </c>
      <c r="V71" s="245">
        <v>45199</v>
      </c>
      <c r="W71" s="245">
        <v>45565</v>
      </c>
      <c r="X71" s="245">
        <v>45930</v>
      </c>
    </row>
    <row r="72" spans="1:24">
      <c r="C72" s="270" t="s">
        <v>81</v>
      </c>
      <c r="D72" s="271" t="s">
        <v>341</v>
      </c>
      <c r="E72" s="249">
        <f t="shared" ref="E72:X72" si="7">MAX(0,(YEAR(E71)-YEAR(D71))*12+(MONTH(E71)-MONTH(D71)))</f>
        <v>5</v>
      </c>
      <c r="F72" s="249">
        <f t="shared" si="7"/>
        <v>6</v>
      </c>
      <c r="G72" s="249">
        <f t="shared" si="7"/>
        <v>12</v>
      </c>
      <c r="H72" s="249">
        <f t="shared" si="7"/>
        <v>6</v>
      </c>
      <c r="I72" s="249">
        <f t="shared" si="7"/>
        <v>6</v>
      </c>
      <c r="J72" s="249">
        <f t="shared" si="7"/>
        <v>12</v>
      </c>
      <c r="K72" s="249">
        <f t="shared" si="7"/>
        <v>12</v>
      </c>
      <c r="L72" s="249">
        <f t="shared" si="7"/>
        <v>12</v>
      </c>
      <c r="M72" s="249">
        <f t="shared" si="7"/>
        <v>12</v>
      </c>
      <c r="N72" s="249">
        <f t="shared" si="7"/>
        <v>12</v>
      </c>
      <c r="O72" s="249">
        <f t="shared" si="7"/>
        <v>12</v>
      </c>
      <c r="P72" s="249">
        <f t="shared" si="7"/>
        <v>12</v>
      </c>
      <c r="Q72" s="249">
        <f t="shared" si="7"/>
        <v>12</v>
      </c>
      <c r="R72" s="249">
        <f t="shared" si="7"/>
        <v>12</v>
      </c>
      <c r="S72" s="249">
        <f t="shared" si="7"/>
        <v>12</v>
      </c>
      <c r="T72" s="249">
        <f t="shared" si="7"/>
        <v>12</v>
      </c>
      <c r="U72" s="249">
        <f t="shared" si="7"/>
        <v>12</v>
      </c>
      <c r="V72" s="249">
        <f t="shared" si="7"/>
        <v>12</v>
      </c>
      <c r="W72" s="249">
        <f t="shared" si="7"/>
        <v>12</v>
      </c>
      <c r="X72" s="249">
        <f t="shared" si="7"/>
        <v>12</v>
      </c>
    </row>
    <row r="73" spans="1:24">
      <c r="A73" s="65"/>
      <c r="D73" s="64"/>
      <c r="E73" s="250"/>
      <c r="F73" s="250"/>
      <c r="G73" s="250"/>
      <c r="H73" s="250"/>
      <c r="I73" s="250"/>
      <c r="J73" s="250"/>
      <c r="K73" s="250"/>
      <c r="L73" s="250"/>
      <c r="M73" s="250"/>
      <c r="N73" s="250"/>
      <c r="O73" s="250"/>
      <c r="P73" s="250"/>
      <c r="Q73" s="250"/>
      <c r="R73" s="250"/>
      <c r="S73" s="250"/>
      <c r="T73" s="250"/>
      <c r="U73" s="250"/>
      <c r="V73" s="250"/>
      <c r="W73" s="250"/>
      <c r="X73" s="250"/>
    </row>
    <row r="74" spans="1:24">
      <c r="A74" s="65" t="s">
        <v>227</v>
      </c>
      <c r="B74" s="65" t="s">
        <v>10</v>
      </c>
      <c r="C74" s="65"/>
    </row>
    <row r="75" spans="1:24">
      <c r="A75" s="242" t="s">
        <v>82</v>
      </c>
      <c r="B75" s="63" t="s">
        <v>40</v>
      </c>
      <c r="C75" s="234"/>
      <c r="D75" s="249"/>
      <c r="E75" s="249">
        <f t="shared" ref="E75:N75" si="8">D58</f>
        <v>687.15121839654023</v>
      </c>
      <c r="F75" s="249">
        <f t="shared" si="8"/>
        <v>827.64373752494998</v>
      </c>
      <c r="G75" s="249">
        <f t="shared" si="8"/>
        <v>1656.5634231536922</v>
      </c>
      <c r="H75" s="249">
        <f t="shared" si="8"/>
        <v>828.28171157684608</v>
      </c>
      <c r="I75" s="249">
        <f t="shared" si="8"/>
        <v>1034.5546719061877</v>
      </c>
      <c r="J75" s="249">
        <f t="shared" si="8"/>
        <v>2069.1093438123753</v>
      </c>
      <c r="K75" s="249">
        <f t="shared" si="8"/>
        <v>2069.1093438123753</v>
      </c>
      <c r="L75" s="249">
        <f t="shared" si="8"/>
        <v>2069.1093438123753</v>
      </c>
      <c r="M75" s="249">
        <f t="shared" si="8"/>
        <v>2069.1093438123753</v>
      </c>
      <c r="N75" s="249">
        <f t="shared" si="8"/>
        <v>2069.1093438123753</v>
      </c>
      <c r="O75" s="249">
        <f>'RAB inputs'!D5-SUM(E75:N75)</f>
        <v>1173.1332688789171</v>
      </c>
      <c r="P75" s="249"/>
      <c r="Q75" s="249"/>
      <c r="R75" s="249"/>
      <c r="S75" s="249"/>
      <c r="T75" s="249"/>
      <c r="U75" s="250"/>
      <c r="V75" s="250"/>
      <c r="W75" s="250"/>
      <c r="X75" s="250"/>
    </row>
    <row r="76" spans="1:24">
      <c r="A76" s="240">
        <v>39538</v>
      </c>
      <c r="B76" s="63" t="s">
        <v>40</v>
      </c>
      <c r="C76" s="234"/>
      <c r="D76" s="250"/>
      <c r="E76" s="249">
        <f t="shared" ref="E76:N76" si="9">$D55/12*E$72/D$22</f>
        <v>88.199301859542004</v>
      </c>
      <c r="F76" s="249">
        <f t="shared" si="9"/>
        <v>105.8391622314504</v>
      </c>
      <c r="G76" s="249">
        <f t="shared" si="9"/>
        <v>211.6783244629008</v>
      </c>
      <c r="H76" s="249">
        <f t="shared" si="9"/>
        <v>105.8391622314504</v>
      </c>
      <c r="I76" s="249">
        <f t="shared" si="9"/>
        <v>132.29895278931301</v>
      </c>
      <c r="J76" s="249">
        <f t="shared" si="9"/>
        <v>264.59790557862601</v>
      </c>
      <c r="K76" s="249">
        <f t="shared" si="9"/>
        <v>264.59790557862601</v>
      </c>
      <c r="L76" s="249">
        <f t="shared" si="9"/>
        <v>264.59790557862601</v>
      </c>
      <c r="M76" s="249">
        <f t="shared" si="9"/>
        <v>264.59790557862601</v>
      </c>
      <c r="N76" s="249">
        <f t="shared" si="9"/>
        <v>264.59790557862601</v>
      </c>
      <c r="O76" s="249">
        <f>$D55-SUM(E76:N76)</f>
        <v>149.93881316122111</v>
      </c>
      <c r="P76" s="249"/>
      <c r="Q76" s="249"/>
      <c r="R76" s="249"/>
      <c r="S76" s="249"/>
      <c r="T76" s="249"/>
      <c r="U76" s="250"/>
      <c r="V76" s="250"/>
      <c r="W76" s="250"/>
      <c r="X76" s="250"/>
    </row>
    <row r="77" spans="1:24">
      <c r="A77" s="240">
        <v>39721</v>
      </c>
      <c r="B77" s="63" t="s">
        <v>40</v>
      </c>
      <c r="C77" s="234"/>
      <c r="D77" s="250"/>
      <c r="E77" s="249"/>
      <c r="F77" s="249">
        <f t="shared" ref="F77:N77" si="10">$E55/12*F$72/E$22</f>
        <v>63.134007108545028</v>
      </c>
      <c r="G77" s="249">
        <f t="shared" si="10"/>
        <v>126.26801421709006</v>
      </c>
      <c r="H77" s="249">
        <f t="shared" si="10"/>
        <v>63.134007108545028</v>
      </c>
      <c r="I77" s="249">
        <f t="shared" si="10"/>
        <v>78.917508885681286</v>
      </c>
      <c r="J77" s="249">
        <f t="shared" si="10"/>
        <v>157.83501777136257</v>
      </c>
      <c r="K77" s="249">
        <f t="shared" si="10"/>
        <v>157.83501777136257</v>
      </c>
      <c r="L77" s="249">
        <f t="shared" si="10"/>
        <v>157.83501777136257</v>
      </c>
      <c r="M77" s="249">
        <f t="shared" si="10"/>
        <v>157.83501777136257</v>
      </c>
      <c r="N77" s="249">
        <f t="shared" si="10"/>
        <v>157.83501777136257</v>
      </c>
      <c r="O77" s="249">
        <f>$E55-SUM(E77:N77)</f>
        <v>142.05151599422629</v>
      </c>
      <c r="P77" s="249"/>
      <c r="Q77" s="249"/>
      <c r="R77" s="249"/>
      <c r="S77" s="249"/>
      <c r="T77" s="249"/>
      <c r="U77" s="250"/>
      <c r="V77" s="250"/>
      <c r="W77" s="250"/>
      <c r="X77" s="250"/>
    </row>
    <row r="78" spans="1:24">
      <c r="A78" s="240">
        <v>40086</v>
      </c>
      <c r="B78" s="63" t="s">
        <v>40</v>
      </c>
      <c r="C78" s="234"/>
      <c r="D78" s="250"/>
      <c r="E78" s="249"/>
      <c r="F78" s="249"/>
      <c r="G78" s="249">
        <f t="shared" ref="G78:N78" si="11">$F55/12*G$72/F$22</f>
        <v>234.61860374137109</v>
      </c>
      <c r="H78" s="249">
        <f t="shared" si="11"/>
        <v>117.30930187068554</v>
      </c>
      <c r="I78" s="249">
        <f t="shared" si="11"/>
        <v>146.63662733835693</v>
      </c>
      <c r="J78" s="249">
        <f t="shared" si="11"/>
        <v>293.27325467671386</v>
      </c>
      <c r="K78" s="249">
        <f t="shared" si="11"/>
        <v>293.27325467671386</v>
      </c>
      <c r="L78" s="249">
        <f t="shared" si="11"/>
        <v>293.27325467671386</v>
      </c>
      <c r="M78" s="249">
        <f t="shared" si="11"/>
        <v>293.27325467671386</v>
      </c>
      <c r="N78" s="249">
        <f t="shared" si="11"/>
        <v>293.27325467671386</v>
      </c>
      <c r="O78" s="249">
        <f>$F55-SUM(E78:N78)</f>
        <v>381.25523107972822</v>
      </c>
      <c r="P78" s="249"/>
      <c r="Q78" s="249"/>
      <c r="R78" s="249"/>
      <c r="S78" s="249"/>
      <c r="T78" s="249"/>
      <c r="U78" s="249"/>
      <c r="V78" s="249"/>
      <c r="W78" s="249"/>
      <c r="X78" s="249"/>
    </row>
    <row r="79" spans="1:24">
      <c r="A79" s="240" t="s">
        <v>83</v>
      </c>
      <c r="B79" s="63" t="s">
        <v>40</v>
      </c>
      <c r="C79" s="234"/>
      <c r="D79" s="251"/>
      <c r="E79" s="249"/>
      <c r="F79" s="249"/>
      <c r="G79" s="249">
        <f>F59</f>
        <v>71.046407396004938</v>
      </c>
      <c r="H79" s="249">
        <f>G59</f>
        <v>65.423293489312812</v>
      </c>
      <c r="I79" s="249">
        <f t="shared" ref="I79:O79" si="12">$F56/12*I$72/H$22</f>
        <v>81.779116861641029</v>
      </c>
      <c r="J79" s="249">
        <f t="shared" si="12"/>
        <v>163.55823372328206</v>
      </c>
      <c r="K79" s="249">
        <f t="shared" si="12"/>
        <v>163.55823372328206</v>
      </c>
      <c r="L79" s="249">
        <f t="shared" si="12"/>
        <v>163.55823372328206</v>
      </c>
      <c r="M79" s="249">
        <f t="shared" si="12"/>
        <v>163.55823372328206</v>
      </c>
      <c r="N79" s="249">
        <f t="shared" si="12"/>
        <v>163.55823372328206</v>
      </c>
      <c r="O79" s="249">
        <f t="shared" si="12"/>
        <v>261.6931739572513</v>
      </c>
      <c r="P79" s="249">
        <f>$F56-SUM(F79:O79)</f>
        <v>10.73270946563639</v>
      </c>
      <c r="Q79" s="249"/>
      <c r="R79" s="249"/>
      <c r="S79" s="249"/>
      <c r="T79" s="249"/>
      <c r="U79" s="249"/>
      <c r="V79" s="249"/>
      <c r="W79" s="249"/>
      <c r="X79" s="249"/>
    </row>
    <row r="80" spans="1:24">
      <c r="A80" s="240">
        <v>40268</v>
      </c>
      <c r="B80" s="63" t="s">
        <v>40</v>
      </c>
      <c r="C80" s="234"/>
      <c r="D80" s="250"/>
      <c r="E80" s="249"/>
      <c r="F80" s="249"/>
      <c r="G80" s="249"/>
      <c r="H80" s="249">
        <f t="shared" ref="H80:O80" si="13">$G55/12*H$72/G$22</f>
        <v>73.315049144529596</v>
      </c>
      <c r="I80" s="249">
        <f t="shared" si="13"/>
        <v>91.643811430661998</v>
      </c>
      <c r="J80" s="249">
        <f t="shared" si="13"/>
        <v>183.287622861324</v>
      </c>
      <c r="K80" s="249">
        <f t="shared" si="13"/>
        <v>183.287622861324</v>
      </c>
      <c r="L80" s="249">
        <f t="shared" si="13"/>
        <v>183.287622861324</v>
      </c>
      <c r="M80" s="249">
        <f t="shared" si="13"/>
        <v>183.287622861324</v>
      </c>
      <c r="N80" s="249">
        <f t="shared" si="13"/>
        <v>183.287622861324</v>
      </c>
      <c r="O80" s="249">
        <f t="shared" si="13"/>
        <v>293.26019657811838</v>
      </c>
      <c r="P80" s="249">
        <f>$G55-SUM(F80:O80)</f>
        <v>91.643811430661799</v>
      </c>
      <c r="Q80" s="249"/>
      <c r="R80" s="249"/>
      <c r="S80" s="249"/>
      <c r="T80" s="249"/>
      <c r="U80" s="249"/>
      <c r="V80" s="249"/>
      <c r="W80" s="249"/>
      <c r="X80" s="249"/>
    </row>
    <row r="81" spans="1:24">
      <c r="A81" s="240" t="s">
        <v>84</v>
      </c>
      <c r="B81" s="63" t="s">
        <v>40</v>
      </c>
      <c r="C81" s="234"/>
      <c r="D81" s="251"/>
      <c r="E81" s="249"/>
      <c r="F81" s="249"/>
      <c r="G81" s="249"/>
      <c r="H81" s="249">
        <f>G60</f>
        <v>12.377105725354388</v>
      </c>
      <c r="I81" s="249">
        <f t="shared" ref="I81:O81" si="14">$G56/12*I$72/H$22</f>
        <v>98.054527614252095</v>
      </c>
      <c r="J81" s="249">
        <f t="shared" si="14"/>
        <v>196.10905522850419</v>
      </c>
      <c r="K81" s="249">
        <f t="shared" si="14"/>
        <v>196.10905522850419</v>
      </c>
      <c r="L81" s="249">
        <f t="shared" si="14"/>
        <v>196.10905522850419</v>
      </c>
      <c r="M81" s="249">
        <f t="shared" si="14"/>
        <v>196.10905522850419</v>
      </c>
      <c r="N81" s="249">
        <f t="shared" si="14"/>
        <v>196.10905522850419</v>
      </c>
      <c r="O81" s="249">
        <f t="shared" si="14"/>
        <v>313.77448836560671</v>
      </c>
      <c r="P81" s="249">
        <f>$G56-SUM(F81:O81)</f>
        <v>164.12104398029965</v>
      </c>
      <c r="Q81" s="249"/>
      <c r="R81" s="249"/>
      <c r="S81" s="249"/>
      <c r="T81" s="249"/>
      <c r="U81" s="249"/>
      <c r="V81" s="249"/>
      <c r="W81" s="249"/>
      <c r="X81" s="249"/>
    </row>
    <row r="82" spans="1:24">
      <c r="A82" s="240">
        <v>40451</v>
      </c>
      <c r="B82" s="63" t="s">
        <v>40</v>
      </c>
      <c r="C82" s="234"/>
      <c r="D82" s="250"/>
      <c r="E82" s="249"/>
      <c r="F82" s="249"/>
      <c r="G82" s="249"/>
      <c r="H82" s="249"/>
      <c r="I82" s="249">
        <f>$H57/12*I$72/H$22/2</f>
        <v>32.744347508976659</v>
      </c>
      <c r="J82" s="249">
        <f>$H57/12*J$72/I$22</f>
        <v>130.97739003590664</v>
      </c>
      <c r="K82" s="249">
        <f>$H57/12*K$72/J$22</f>
        <v>130.97739003590664</v>
      </c>
      <c r="L82" s="249">
        <f>$H57/12*L$72/K$22</f>
        <v>130.97739003590664</v>
      </c>
      <c r="M82" s="249">
        <f>$H57/12*M$72/L$22</f>
        <v>130.97739003590664</v>
      </c>
      <c r="N82" s="249">
        <f>$H57/12*N$72/M$22</f>
        <v>130.97739003590664</v>
      </c>
      <c r="O82" s="249">
        <f>IF($H57-SUM($G82:N82)&lt;=0,0,IF($H57-SUM($G82:N82)&lt;$H57/12*O$72/N$22,$H57-SUM($G82:N82),$H57/12*O$72/N$22))</f>
        <v>209.56382405745063</v>
      </c>
      <c r="P82" s="249">
        <f>IF($H57-SUM($G82:O82)&lt;=0,0,IF($H57-SUM($G82:O82)&lt;$H57/12*P$72/O$22,$H57-SUM($G82:O82),$H57/12*P$72/O$22))</f>
        <v>150.62399854129262</v>
      </c>
      <c r="Q82" s="249">
        <f>IF($H57-SUM($G82:P82)&lt;=0,0,IF($H57-SUM($G82:P82)&lt;$H57/12*Q$72/P$22,$H57-SUM($G82:P82),$H57/12*Q$72/P$22))</f>
        <v>0</v>
      </c>
      <c r="R82" s="249">
        <f>IF($H57-SUM($G82:Q82)&lt;=0,0,IF($H57-SUM($G82:Q82)&lt;$H57/12*R$72/Q$22,$H57-SUM($G82:Q82),$H57/12*R$72/Q$22))</f>
        <v>0</v>
      </c>
      <c r="S82" s="249">
        <f>IF($H57-SUM($G82:R82)&lt;=0,0,IF($H57-SUM($G82:R82)&lt;$H57/12*S$72/R$22,$H57-SUM($G82:R82),$H57/12*S$72/R$22))</f>
        <v>0</v>
      </c>
      <c r="T82" s="249"/>
      <c r="U82" s="249"/>
      <c r="V82" s="249"/>
      <c r="W82" s="249"/>
      <c r="X82" s="249"/>
    </row>
    <row r="83" spans="1:24">
      <c r="A83" s="240">
        <v>40816</v>
      </c>
      <c r="B83" s="63" t="s">
        <v>40</v>
      </c>
      <c r="C83" s="234"/>
      <c r="D83" s="250"/>
      <c r="E83" s="249"/>
      <c r="F83" s="249"/>
      <c r="G83" s="249"/>
      <c r="H83" s="249"/>
      <c r="I83" s="249"/>
      <c r="J83" s="249">
        <f>$I57/12*J$72/I$22/2</f>
        <v>63.336821140035894</v>
      </c>
      <c r="K83" s="249">
        <f>$I57/12*K$72/J$22</f>
        <v>126.67364228007179</v>
      </c>
      <c r="L83" s="249">
        <f>$I57/12*L$72/K$22</f>
        <v>126.67364228007179</v>
      </c>
      <c r="M83" s="249">
        <f>$I57/12*M$72/L$22</f>
        <v>126.67364228007179</v>
      </c>
      <c r="N83" s="249">
        <f>$I57/12*N$72/M$22</f>
        <v>126.67364228007179</v>
      </c>
      <c r="O83" s="249">
        <f>IF($I57-SUM($G83:N83)&lt;=0,0,IF($I57-SUM($G83:N83)&lt;$I57/12*O$72/N$22,$I57-SUM($G83:N83),$I57/12*O$72/N$22))</f>
        <v>202.67782764811486</v>
      </c>
      <c r="P83" s="249">
        <f>IF($I57-SUM($G83:O83)&lt;=0,0,IF($I57-SUM($G83:O83)&lt;$I57/12*P$72/O$22,$I57-SUM($G83:O83),$I57/12*P$72/O$22))</f>
        <v>202.67782764811486</v>
      </c>
      <c r="Q83" s="249">
        <f>IF($I57-SUM($G83:P83)&lt;=0,0,IF($I57-SUM($G83:P83)&lt;$I57/12*Q$72/P$22,$I57-SUM($G83:P83),$I57/12*Q$72/P$22))</f>
        <v>38.002092684021591</v>
      </c>
      <c r="R83" s="249">
        <f>IF($I57-SUM($G83:Q83)&lt;=0,0,IF($I57-SUM($G83:Q83)&lt;$I57/12*R$72/Q$22,$I57-SUM($G83:Q83),$I57/12*R$72/Q$22))</f>
        <v>0</v>
      </c>
      <c r="S83" s="249">
        <f>IF($I57-SUM($G83:R83)&lt;=0,0,IF($I57-SUM($G83:R83)&lt;$I57/12*S$72/R$22,$I57-SUM($G83:R83),$I57/12*S$72/R$22))</f>
        <v>0</v>
      </c>
      <c r="T83" s="249"/>
      <c r="U83" s="249"/>
      <c r="V83" s="249"/>
      <c r="W83" s="249"/>
      <c r="X83" s="249"/>
    </row>
    <row r="84" spans="1:24">
      <c r="A84" s="240">
        <v>41182</v>
      </c>
      <c r="B84" s="63" t="s">
        <v>40</v>
      </c>
      <c r="C84" s="234"/>
      <c r="D84" s="250"/>
      <c r="E84" s="249"/>
      <c r="F84" s="249"/>
      <c r="G84" s="249"/>
      <c r="H84" s="249"/>
      <c r="I84" s="249"/>
      <c r="J84" s="249"/>
      <c r="K84" s="249">
        <f>$J57/12*K$72/J$22/2</f>
        <v>85.35766382405744</v>
      </c>
      <c r="L84" s="249">
        <f>$J57/12*L$72/K$22</f>
        <v>170.71532764811488</v>
      </c>
      <c r="M84" s="249">
        <f>$J57/12*M$72/L$22</f>
        <v>170.71532764811488</v>
      </c>
      <c r="N84" s="249">
        <f>$J57/12*N$72/M$22</f>
        <v>170.71532764811488</v>
      </c>
      <c r="O84" s="249">
        <f>IF($J57-SUM($G84:N84)&lt;=0,0,IF($J57-SUM($G84:N84)&lt;$J57/12*O$72/N$22,$J57-SUM($G84:N84),$J57/12*O$72/N$22))</f>
        <v>273.14452423698378</v>
      </c>
      <c r="P84" s="249">
        <f>IF($J57-SUM($G84:O84)&lt;=0,0,IF($J57-SUM($G84:O84)&lt;$J57/12*P$72/O$22,$J57-SUM($G84:O84),$J57/12*P$72/O$22))</f>
        <v>273.14452423698378</v>
      </c>
      <c r="Q84" s="249">
        <f>IF($J57-SUM($G84:P84)&lt;=0,0,IF($J57-SUM($G84:P84)&lt;$J57/12*Q$72/P$22,$J57-SUM($G84:P84),$J57/12*Q$72/P$22))</f>
        <v>221.92992594254952</v>
      </c>
      <c r="R84" s="249">
        <f>IF($J57-SUM($G84:Q84)&lt;=0,0,IF($J57-SUM($G84:Q84)&lt;$J57/12*R$72/Q$22,$J57-SUM($G84:Q84),$J57/12*R$72/Q$22))</f>
        <v>0</v>
      </c>
      <c r="S84" s="249">
        <f>IF($J57-SUM($G84:R84)&lt;=0,0,IF($J57-SUM($G84:R84)&lt;$J57/12*S$72/R$22,$J57-SUM($G84:R84),$J57/12*S$72/R$22))</f>
        <v>0</v>
      </c>
      <c r="T84" s="249"/>
      <c r="U84" s="249"/>
      <c r="V84" s="249"/>
      <c r="W84" s="249"/>
      <c r="X84" s="249"/>
    </row>
    <row r="85" spans="1:24">
      <c r="A85" s="240">
        <v>41547</v>
      </c>
      <c r="B85" s="63" t="s">
        <v>40</v>
      </c>
      <c r="C85" s="234"/>
      <c r="D85" s="250"/>
      <c r="E85" s="249"/>
      <c r="F85" s="249"/>
      <c r="G85" s="249"/>
      <c r="H85" s="249"/>
      <c r="I85" s="249"/>
      <c r="J85" s="249"/>
      <c r="K85" s="249"/>
      <c r="L85" s="249">
        <f>$K57/12*L$72/K$22/2</f>
        <v>17.573636669658885</v>
      </c>
      <c r="M85" s="249">
        <f>$K57/12*M$72/L$22</f>
        <v>35.147273339317771</v>
      </c>
      <c r="N85" s="249">
        <f>$K57/12*N$72/M$22</f>
        <v>35.147273339317771</v>
      </c>
      <c r="O85" s="249">
        <f>IF($K57-SUM($G85:N85)&lt;=0,0,IF($K57-SUM($G85:N85)&lt;$K57/12*O$72/N$22,$K57-SUM($G85:N85),$K57/12*O$72/N$22))</f>
        <v>56.235637342908433</v>
      </c>
      <c r="P85" s="249">
        <f>IF($K57-SUM($G85:O85)&lt;=0,0,IF($K57-SUM($G85:O85)&lt;$K57/12*P$72/O$22,$K57-SUM($G85:O85),$K57/12*P$72/O$22))</f>
        <v>56.235637342908433</v>
      </c>
      <c r="Q85" s="249">
        <f>IF($K57-SUM($G85:P85)&lt;=0,0,IF($K57-SUM($G85:P85)&lt;$K57/12*Q$72/P$22,$K57-SUM($G85:P85),$K57/12*Q$72/P$22))</f>
        <v>56.235637342908433</v>
      </c>
      <c r="R85" s="249">
        <f>IF($K57-SUM($G85:Q85)&lt;=0,0,IF($K57-SUM($G85:Q85)&lt;$K57/12*R$72/Q$22,$K57-SUM($G85:Q85),$K57/12*R$72/Q$22))</f>
        <v>24.603091337522471</v>
      </c>
      <c r="S85" s="249">
        <f>IF($K57-SUM($G85:R85)&lt;=0,0,IF($K57-SUM($G85:R85)&lt;$K57/12*S$72/R$22,$K57-SUM($G85:R85),$K57/12*S$72/R$22))</f>
        <v>0</v>
      </c>
      <c r="T85" s="249"/>
      <c r="U85" s="249"/>
      <c r="V85" s="249"/>
      <c r="W85" s="249"/>
      <c r="X85" s="249"/>
    </row>
    <row r="86" spans="1:24">
      <c r="A86" s="240">
        <v>41912</v>
      </c>
      <c r="B86" s="63" t="s">
        <v>40</v>
      </c>
      <c r="C86" s="234"/>
      <c r="D86" s="250"/>
      <c r="E86" s="249"/>
      <c r="F86" s="249"/>
      <c r="G86" s="249"/>
      <c r="H86" s="249"/>
      <c r="I86" s="249"/>
      <c r="J86" s="249"/>
      <c r="K86" s="249"/>
      <c r="L86" s="249"/>
      <c r="M86" s="249">
        <f>$L57/12*M$72/L$22/2</f>
        <v>99.344844030520619</v>
      </c>
      <c r="N86" s="249">
        <f>$L57/12*N$72/M$22</f>
        <v>198.68968806104124</v>
      </c>
      <c r="O86" s="249">
        <f>IF($L57-SUM($G86:N86)&lt;=0,0,IF($L57-SUM($G86:N86)&lt;$L57/12*O$72/N$22,$L57-SUM($G86:N86),$L57/12*O$72/N$22))</f>
        <v>317.90350089766599</v>
      </c>
      <c r="P86" s="249">
        <f>IF($L57-SUM($G86:O86)&lt;=0,0,IF($L57-SUM($G86:O86)&lt;$L57/12*P$72/O$22,$L57-SUM($G86:O86),$L57/12*P$72/O$22))</f>
        <v>317.90350089766599</v>
      </c>
      <c r="Q86" s="249">
        <f>IF($L57-SUM($G86:P86)&lt;=0,0,IF($L57-SUM($G86:P86)&lt;$L57/12*Q$72/P$22,$L57-SUM($G86:P86),$L57/12*Q$72/P$22))</f>
        <v>317.90350089766599</v>
      </c>
      <c r="R86" s="249">
        <f>IF($L57-SUM($G86:Q86)&lt;=0,0,IF($L57-SUM($G86:Q86)&lt;$L57/12*R$72/Q$22,$L57-SUM($G86:Q86),$L57/12*R$72/Q$22))</f>
        <v>317.90350089766599</v>
      </c>
      <c r="S86" s="249">
        <f>IF($L57-SUM($G86:R86)&lt;=0,0,IF($L57-SUM($G86:R86)&lt;$L57/12*S$72/R$22,$L57-SUM($G86:R86),$L57/12*S$72/R$22))</f>
        <v>19.868968806104476</v>
      </c>
      <c r="T86" s="249"/>
      <c r="U86" s="249"/>
      <c r="V86" s="249"/>
      <c r="W86" s="249"/>
      <c r="X86" s="249"/>
    </row>
    <row r="87" spans="1:24">
      <c r="A87" s="240">
        <v>42277</v>
      </c>
      <c r="B87" s="63" t="s">
        <v>40</v>
      </c>
      <c r="C87" s="234"/>
      <c r="D87" s="250"/>
      <c r="E87" s="249"/>
      <c r="F87" s="249"/>
      <c r="G87" s="249"/>
      <c r="H87" s="249"/>
      <c r="I87" s="249"/>
      <c r="J87" s="249"/>
      <c r="K87" s="249"/>
      <c r="L87" s="249"/>
      <c r="M87" s="249"/>
      <c r="N87" s="249">
        <f>$M57/12*N$72/M$22/2</f>
        <v>26.181132181328543</v>
      </c>
      <c r="O87" s="249">
        <f>IF($M57-SUM($G87:N87)&lt;=0,0,IF($M57-SUM($G87:N87)&lt;$M57/12*O$72/N$22,$M57-SUM($G87:N87),$M57/12*O$72/N$22))</f>
        <v>83.779622980251332</v>
      </c>
      <c r="P87" s="249">
        <f>IF($M57-SUM($G87:O87)&lt;=0,0,IF($M57-SUM($G87:O87)&lt;$M57/12*P$72/O$22,$M57-SUM($G87:O87),$M57/12*P$72/O$22))</f>
        <v>83.779622980251332</v>
      </c>
      <c r="Q87" s="249">
        <f>IF($M57-SUM($G87:P87)&lt;=0,0,IF($M57-SUM($G87:P87)&lt;$M57/12*Q$72/P$22,$M57-SUM($G87:P87),$M57/12*Q$72/P$22))</f>
        <v>83.779622980251332</v>
      </c>
      <c r="R87" s="249">
        <f>IF($M57-SUM($G87:Q87)&lt;=0,0,IF($M57-SUM($G87:Q87)&lt;$M57/12*R$72/Q$22,$M57-SUM($G87:Q87),$M57/12*R$72/Q$22))</f>
        <v>83.779622980251332</v>
      </c>
      <c r="S87" s="249">
        <f>IF($M57-SUM($G87:R87)&lt;=0,0,IF($M57-SUM($G87:R87)&lt;$M57/12*S$72/R$22,$M57-SUM($G87:R87),$M57/12*S$72/R$22))</f>
        <v>57.598490798922853</v>
      </c>
      <c r="T87" s="249"/>
      <c r="U87" s="249"/>
      <c r="V87" s="249"/>
      <c r="W87" s="249"/>
      <c r="X87" s="249"/>
    </row>
    <row r="88" spans="1:24">
      <c r="A88" s="240">
        <v>42643</v>
      </c>
      <c r="B88" s="63" t="s">
        <v>40</v>
      </c>
      <c r="C88" s="234"/>
      <c r="D88" s="249"/>
      <c r="E88" s="249"/>
      <c r="F88" s="249"/>
      <c r="G88" s="249"/>
      <c r="H88" s="249"/>
      <c r="I88" s="249"/>
      <c r="J88" s="249"/>
      <c r="K88" s="249"/>
      <c r="L88" s="249"/>
      <c r="M88" s="249"/>
      <c r="N88" s="249"/>
      <c r="O88" s="249">
        <f>0.5*IF($N63-SUM($N88:N88)&lt;=0,0,IF($N63-SUM($N88:N88)&lt;$N63/12*O$72/N$22,$N63-SUM($N88:N88),$N63/12*O$72/N$22))</f>
        <v>116.15558530986993</v>
      </c>
      <c r="P88" s="249">
        <f>IF($N63-SUM($N88:O88)&lt;=0,0,IF($N63-SUM($N88:O88)&lt;$N63/12*P$72/O$22,$N63-SUM($N88:O88),$N63/12*P$72/O$22))</f>
        <v>232.31117061973987</v>
      </c>
      <c r="Q88" s="249">
        <f>IF($N63-SUM($N88:P88)&lt;=0,0,IF($N63-SUM($N88:P88)&lt;$N63/12*Q$72/P$22,$N63-SUM($N88:P88),$N63/12*Q$72/P$22))</f>
        <v>232.31117061973987</v>
      </c>
      <c r="R88" s="249">
        <f>IF($N63-SUM($N88:Q88)&lt;=0,0,IF($N63-SUM($N88:Q88)&lt;$N63/12*R$72/Q$22,$N63-SUM($N88:Q88),$N63/12*R$72/Q$22))</f>
        <v>232.31117061973987</v>
      </c>
      <c r="S88" s="249">
        <f>IF($N63-SUM($N88:R88)&lt;=0,0,IF($N63-SUM($N88:R88)&lt;$N63/12*S$72/R$22,$N63-SUM($N88:R88),$N63/12*S$72/R$22))</f>
        <v>232.31117061973987</v>
      </c>
      <c r="T88" s="249">
        <f>(N$63-SUM(O$88:S$88))*K18</f>
        <v>131.74177801023154</v>
      </c>
      <c r="U88" s="249"/>
      <c r="V88" s="249"/>
      <c r="W88" s="249"/>
      <c r="X88" s="249"/>
    </row>
    <row r="89" spans="1:24">
      <c r="A89" s="240">
        <v>43008</v>
      </c>
      <c r="B89" s="63" t="s">
        <v>40</v>
      </c>
      <c r="C89" s="234"/>
      <c r="D89" s="249"/>
      <c r="E89" s="249"/>
      <c r="F89" s="249"/>
      <c r="G89" s="249"/>
      <c r="H89" s="249"/>
      <c r="I89" s="249"/>
      <c r="J89" s="249"/>
      <c r="K89" s="249"/>
      <c r="L89" s="249"/>
      <c r="M89" s="249"/>
      <c r="N89" s="249"/>
      <c r="O89" s="249"/>
      <c r="P89" s="249">
        <f>0.5*IF($O63-SUM($N89:O89)&lt;=0,0,IF($O63-SUM($N89:O89)&lt;$O63/12*P$72/O$22,$O63-SUM($N89:O89),$O63/12*P$72/O$22))</f>
        <v>101.159859571323</v>
      </c>
      <c r="Q89" s="249">
        <f>IF($O63-SUM($N89:P89)&lt;=0,0,IF($O63-SUM($N89:P89)&lt;$O63/12*Q$72/P$22,$O63-SUM($N89:P89),$O63/12*Q$72/P$22))</f>
        <v>202.31971914264599</v>
      </c>
      <c r="R89" s="249">
        <f>IF($O63-SUM($N89:Q89)&lt;=0,0,IF($O63-SUM($N89:Q89)&lt;$O63/12*R$72/Q$22,$O63-SUM($N89:Q89),$O63/12*R$72/Q$22))</f>
        <v>202.31971914264599</v>
      </c>
      <c r="S89" s="249">
        <f>IF($O63-SUM($N89:R89)&lt;=0,0,IF($O63-SUM($N89:R89)&lt;$O63/12*S$72/R$22,$O63-SUM($N89:R89),$O63/12*S$72/R$22))</f>
        <v>202.31971914264599</v>
      </c>
      <c r="T89" s="249">
        <f>(($O$63-SUM($P$89:S$89))*$K$18)/1.5</f>
        <v>229.4677389406431</v>
      </c>
      <c r="U89" s="249">
        <f>T89*0.5</f>
        <v>114.73386947032155</v>
      </c>
      <c r="V89" s="249"/>
      <c r="W89" s="249"/>
      <c r="X89" s="249"/>
    </row>
    <row r="90" spans="1:24">
      <c r="A90" s="240">
        <v>43373</v>
      </c>
      <c r="B90" s="63" t="s">
        <v>40</v>
      </c>
      <c r="C90" s="234"/>
      <c r="D90" s="249"/>
      <c r="E90" s="249"/>
      <c r="F90" s="249"/>
      <c r="G90" s="249"/>
      <c r="H90" s="249"/>
      <c r="I90" s="249"/>
      <c r="J90" s="249"/>
      <c r="K90" s="249"/>
      <c r="L90" s="249"/>
      <c r="M90" s="249"/>
      <c r="N90" s="249"/>
      <c r="O90" s="249"/>
      <c r="P90" s="249"/>
      <c r="Q90" s="249">
        <f>0.5*IF($P63-SUM($N90:P90)&lt;=0,0,IF($P63-SUM($N90:P90)&lt;$P63/12*Q$72/P$22,$P63-SUM($N90:P90),$P63/12*Q$72/P$22))</f>
        <v>71.496585627457989</v>
      </c>
      <c r="R90" s="249">
        <f>IF($P63-SUM($N90:Q90)&lt;=0,0,IF($P63-SUM($N90:Q90)&lt;$P63/12*R$72/Q$22,$P63-SUM($N90:Q90),$P63/12*R$72/Q$22))</f>
        <v>142.99317125491598</v>
      </c>
      <c r="S90" s="249">
        <f>IF($P63-SUM($N90:R90)&lt;=0,0,IF($P63-SUM($N90:R90)&lt;$P63/12*S$72/R$22,$P63-SUM($N90:R90),$P63/12*S$72/R$22))</f>
        <v>142.99317125491598</v>
      </c>
      <c r="T90" s="249">
        <f>(($P$63-SUM($Q$90:S$90))*$K$18)/2.5</f>
        <v>162.18053203545293</v>
      </c>
      <c r="U90" s="249">
        <f>T90</f>
        <v>162.18053203545293</v>
      </c>
      <c r="V90" s="249">
        <f>U90*0.5</f>
        <v>81.090266017726464</v>
      </c>
      <c r="W90" s="249"/>
      <c r="X90" s="249"/>
    </row>
    <row r="91" spans="1:24">
      <c r="A91" s="240">
        <v>43738</v>
      </c>
      <c r="B91" s="63" t="s">
        <v>40</v>
      </c>
      <c r="C91" s="234"/>
      <c r="D91" s="249"/>
      <c r="E91" s="249"/>
      <c r="F91" s="249"/>
      <c r="G91" s="249"/>
      <c r="H91" s="249"/>
      <c r="I91" s="249"/>
      <c r="J91" s="249"/>
      <c r="K91" s="249"/>
      <c r="L91" s="249"/>
      <c r="M91" s="249"/>
      <c r="N91" s="249"/>
      <c r="O91" s="249"/>
      <c r="P91" s="249"/>
      <c r="Q91" s="249"/>
      <c r="R91" s="249">
        <f>0.5*IF($Q63-SUM($N91:Q91)&lt;=0,0,IF($Q63-SUM($N91:Q91)&lt;$Q63/12*R$72/Q$22,$Q63-SUM($N91:Q91),$Q63/12*R$72/Q$22))</f>
        <v>114.49293199167246</v>
      </c>
      <c r="S91" s="249">
        <f>IF($Q63-SUM($N91:R91)&lt;=0,0,IF($Q63-SUM($N91:R91)&lt;$Q63/12*S$72/R$22,$Q63-SUM($N91:R91),$Q63/12*S$72/R$22))</f>
        <v>228.98586398334493</v>
      </c>
      <c r="T91" s="249">
        <f>(($Q$63-SUM($Q$91:S$91))*$K$18)/3.5</f>
        <v>259.7120472502283</v>
      </c>
      <c r="U91" s="249">
        <f>T91</f>
        <v>259.7120472502283</v>
      </c>
      <c r="V91" s="249">
        <f>U91</f>
        <v>259.7120472502283</v>
      </c>
      <c r="W91" s="249">
        <f>V91*0.5</f>
        <v>129.85602362511415</v>
      </c>
      <c r="X91" s="249"/>
    </row>
    <row r="92" spans="1:24">
      <c r="A92" s="240">
        <v>44104</v>
      </c>
      <c r="B92" s="63" t="s">
        <v>40</v>
      </c>
      <c r="C92" s="234"/>
      <c r="D92" s="249"/>
      <c r="E92" s="249"/>
      <c r="F92" s="249"/>
      <c r="G92" s="249"/>
      <c r="H92" s="249"/>
      <c r="I92" s="249"/>
      <c r="J92" s="249"/>
      <c r="K92" s="249"/>
      <c r="L92" s="249"/>
      <c r="M92" s="249"/>
      <c r="N92" s="249"/>
      <c r="O92" s="249"/>
      <c r="P92" s="249"/>
      <c r="Q92" s="249"/>
      <c r="R92" s="249"/>
      <c r="S92" s="249">
        <f>0.5*IF($R63-SUM($N92:R92)&lt;=0,0,IF($R63-SUM($N92:R92)&lt;$R63/12*S$72/R$22,$R63-SUM($N92:R92),$R63/12*S$72/R$22))</f>
        <v>170.27770334928226</v>
      </c>
      <c r="T92" s="249">
        <f>(($R$63-SUM($P$92:S$92))*$K$18)/4.5</f>
        <v>386.25241024595039</v>
      </c>
      <c r="U92" s="249">
        <f>T92</f>
        <v>386.25241024595039</v>
      </c>
      <c r="V92" s="249">
        <f>U92</f>
        <v>386.25241024595039</v>
      </c>
      <c r="W92" s="249">
        <f>V92</f>
        <v>386.25241024595039</v>
      </c>
      <c r="X92" s="249">
        <f>W92*0.5</f>
        <v>193.12620512297519</v>
      </c>
    </row>
    <row r="93" spans="1:24">
      <c r="A93" s="240">
        <v>44469</v>
      </c>
      <c r="B93" s="63" t="s">
        <v>40</v>
      </c>
      <c r="C93" s="234"/>
      <c r="D93" s="249"/>
      <c r="E93" s="249"/>
      <c r="F93" s="249"/>
      <c r="G93" s="249"/>
      <c r="H93" s="249"/>
      <c r="I93" s="249"/>
      <c r="J93" s="249"/>
      <c r="K93" s="249"/>
      <c r="L93" s="249"/>
      <c r="M93" s="249"/>
      <c r="N93" s="249"/>
      <c r="O93" s="249"/>
      <c r="P93" s="249"/>
      <c r="Q93" s="249"/>
      <c r="R93" s="249"/>
      <c r="S93" s="249"/>
      <c r="T93" s="249">
        <f>0.5*IF($S67-SUM($N93:S93)&lt;=0,0,IF($S67-SUM($N93:S93)&lt;$S67/12*T$72/S$22,$S67-SUM($N93:S93),$S67/12*T$72/S$22))</f>
        <v>423.07503128243553</v>
      </c>
      <c r="U93" s="249">
        <f>IF($S67-SUM($N93:T93)&lt;=0,0,IF($S67-SUM($N93:T93)&lt;$S67/12*U$72/T$22,$S67-SUM($N93:T93),$S67/12*U$72/T$22))</f>
        <v>846.15006256487106</v>
      </c>
      <c r="V93" s="249">
        <f>IF($S67-SUM($N93:U93)&lt;=0,0,IF($S67-SUM($N93:U93)&lt;$S67/12*V$72/U$22,$S67-SUM($N93:U93),$S67/12*V$72/U$22))</f>
        <v>846.15006256487106</v>
      </c>
      <c r="W93" s="249">
        <f>IF($S67-SUM($N93:V93)&lt;=0,0,IF($S67-SUM($N93:V93)&lt;$S67/12*W$72/V$22,$S67-SUM($N93:V93),$S67/12*W$72/V$22))</f>
        <v>846.15006256487106</v>
      </c>
      <c r="X93" s="249">
        <f>IF($S67-SUM($N93:W93)&lt;=0,0,IF($S67-SUM($N93:W93)&lt;$S67/12*X$72/W$22,$S67-SUM($N93:W93),$S67/12*X$72/W$22))</f>
        <v>846.15006256487106</v>
      </c>
    </row>
    <row r="94" spans="1:24">
      <c r="A94" s="240">
        <v>44834</v>
      </c>
      <c r="B94" s="63" t="s">
        <v>40</v>
      </c>
      <c r="C94" s="234"/>
      <c r="D94" s="249"/>
      <c r="E94" s="249"/>
      <c r="F94" s="249"/>
      <c r="G94" s="249"/>
      <c r="H94" s="249"/>
      <c r="I94" s="249"/>
      <c r="J94" s="249"/>
      <c r="K94" s="249"/>
      <c r="L94" s="249"/>
      <c r="M94" s="249"/>
      <c r="N94" s="249"/>
      <c r="O94" s="249"/>
      <c r="P94" s="249"/>
      <c r="Q94" s="249"/>
      <c r="R94" s="249"/>
      <c r="S94" s="249"/>
      <c r="T94" s="249"/>
      <c r="U94" s="249">
        <f>0.5*IF($T67-SUM($N94:T94)&lt;=0,0,IF($T67-SUM($N94:T94)&lt;$T67/12*U$72/T$22,$T67-SUM($N94:T94),$T67/12*U$72/T$22))</f>
        <v>291.03331625002431</v>
      </c>
      <c r="V94" s="249">
        <f>IF($T67-SUM($N94:U94)&lt;=0,0,IF($T67-SUM($N94:U94)&lt;$T67/12*V$72/U$22,$T67-SUM($N94:U94),$T67/12*V$72/U$22))</f>
        <v>582.06663250004863</v>
      </c>
      <c r="W94" s="249">
        <f>IF($T67-SUM($N94:V94)&lt;=0,0,IF($T67-SUM($N94:V94)&lt;$T67/12*W$72/V$22,$T67-SUM($N94:V94),$T67/12*W$72/V$22))</f>
        <v>582.06663250004863</v>
      </c>
      <c r="X94" s="249">
        <f>IF($T67-SUM($N94:W94)&lt;=0,0,IF($T67-SUM($N94:W94)&lt;$T67/12*X$72/W$22,$T67-SUM($N94:W94),$T67/12*X$72/W$22))</f>
        <v>582.06663250004863</v>
      </c>
    </row>
    <row r="95" spans="1:24">
      <c r="A95" s="240">
        <v>45199</v>
      </c>
      <c r="B95" s="63" t="s">
        <v>40</v>
      </c>
      <c r="C95" s="234"/>
      <c r="D95" s="249"/>
      <c r="E95" s="249"/>
      <c r="F95" s="249"/>
      <c r="G95" s="249"/>
      <c r="H95" s="249"/>
      <c r="I95" s="249"/>
      <c r="J95" s="249"/>
      <c r="K95" s="249"/>
      <c r="L95" s="249"/>
      <c r="M95" s="249"/>
      <c r="N95" s="249"/>
      <c r="O95" s="249"/>
      <c r="P95" s="249"/>
      <c r="Q95" s="249"/>
      <c r="R95" s="249"/>
      <c r="S95" s="249"/>
      <c r="T95" s="249"/>
      <c r="U95" s="249"/>
      <c r="V95" s="249">
        <f>0.5*IF($U67-SUM($N95:U95)&lt;=0,0,IF($U67-SUM($N95:U95)&lt;$U67/12*V$72/U$22,$U67-SUM($N95:U95),$U67/12*V$72/U$22))</f>
        <v>259.01365390713926</v>
      </c>
      <c r="W95" s="249">
        <f>IF($U67-SUM($N95:V95)&lt;=0,0,IF($U67-SUM($N95:V95)&lt;$U67/12*W$72/V$22,$U67-SUM($N95:V95),$U67/12*W$72/V$22))</f>
        <v>518.02730781427852</v>
      </c>
      <c r="X95" s="249">
        <f>IF($U67-SUM($N95:W95)&lt;=0,0,IF($U67-SUM($N95:W95)&lt;$U67/12*X$72/W$22,$U67-SUM($N95:W95),$U67/12*X$72/W$22))</f>
        <v>518.02730781427852</v>
      </c>
    </row>
    <row r="96" spans="1:24">
      <c r="A96" s="240">
        <v>45565</v>
      </c>
      <c r="B96" s="63" t="s">
        <v>40</v>
      </c>
      <c r="C96" s="234"/>
      <c r="D96" s="249"/>
      <c r="E96" s="249"/>
      <c r="F96" s="249"/>
      <c r="G96" s="249"/>
      <c r="H96" s="249"/>
      <c r="I96" s="249"/>
      <c r="J96" s="249"/>
      <c r="K96" s="249"/>
      <c r="L96" s="249"/>
      <c r="M96" s="249"/>
      <c r="N96" s="249"/>
      <c r="O96" s="249"/>
      <c r="P96" s="249"/>
      <c r="Q96" s="249"/>
      <c r="R96" s="249"/>
      <c r="S96" s="249"/>
      <c r="T96" s="249"/>
      <c r="U96" s="249"/>
      <c r="V96" s="249"/>
      <c r="W96" s="249">
        <f>0.5*IF($V67-SUM($N96:V96)&lt;=0,0,IF($V67-SUM($N96:V96)&lt;$V67/12*W$72/V$22,$V67-SUM($N96:V96),$V67/12*W$72/V$22))</f>
        <v>228.42184327649684</v>
      </c>
      <c r="X96" s="249">
        <f>IF($V67-SUM($N96:W96)&lt;=0,0,IF($V67-SUM($N96:W96)&lt;$V67/12*X$72/W$22,$V67-SUM($N96:W96),$V67/12*X$72/W$22))</f>
        <v>456.84368655299369</v>
      </c>
    </row>
    <row r="97" spans="1:24">
      <c r="A97" s="240">
        <v>45930</v>
      </c>
      <c r="B97" s="63" t="s">
        <v>40</v>
      </c>
      <c r="C97" s="234"/>
      <c r="D97" s="249"/>
      <c r="E97" s="249"/>
      <c r="F97" s="249"/>
      <c r="G97" s="249"/>
      <c r="H97" s="249"/>
      <c r="I97" s="249"/>
      <c r="J97" s="249"/>
      <c r="K97" s="249"/>
      <c r="L97" s="249"/>
      <c r="M97" s="249"/>
      <c r="N97" s="249"/>
      <c r="O97" s="249"/>
      <c r="P97" s="249"/>
      <c r="Q97" s="249"/>
      <c r="R97" s="249"/>
      <c r="S97" s="249"/>
      <c r="T97" s="249"/>
      <c r="U97" s="249"/>
      <c r="V97" s="249"/>
      <c r="W97" s="249"/>
      <c r="X97" s="249">
        <f>0.5*IF($W67-SUM($N97:W97)&lt;=0,0,IF($W67-SUM($N97:W97)&lt;$W67/12*X$72/W$22,$W67-SUM($N97:W97),$W67/12*X$72/W$22))</f>
        <v>214.20615528390408</v>
      </c>
    </row>
    <row r="99" spans="1:24">
      <c r="C99" s="269" t="s">
        <v>286</v>
      </c>
      <c r="D99" s="245">
        <v>39538</v>
      </c>
      <c r="E99" s="245">
        <v>39721</v>
      </c>
      <c r="F99" s="245">
        <v>40086</v>
      </c>
      <c r="G99" s="245">
        <v>40268</v>
      </c>
      <c r="H99" s="245">
        <v>40451</v>
      </c>
      <c r="I99" s="245">
        <v>40816</v>
      </c>
      <c r="J99" s="245">
        <v>41182</v>
      </c>
      <c r="K99" s="245">
        <v>41547</v>
      </c>
      <c r="L99" s="245">
        <v>41912</v>
      </c>
      <c r="M99" s="245">
        <v>42277</v>
      </c>
      <c r="N99" s="245">
        <v>42643</v>
      </c>
      <c r="O99" s="245">
        <v>43008</v>
      </c>
      <c r="P99" s="245">
        <v>43373</v>
      </c>
      <c r="Q99" s="245">
        <v>43738</v>
      </c>
      <c r="R99" s="245">
        <v>44104</v>
      </c>
      <c r="S99" s="234"/>
      <c r="T99" s="234"/>
      <c r="U99" s="234"/>
      <c r="V99" s="234"/>
      <c r="W99" s="234"/>
    </row>
    <row r="100" spans="1:24">
      <c r="C100" s="65" t="s">
        <v>11</v>
      </c>
      <c r="D100" s="245"/>
      <c r="E100" s="245"/>
      <c r="F100" s="245"/>
      <c r="G100" s="245"/>
      <c r="H100" s="245"/>
      <c r="I100" s="245"/>
      <c r="J100" s="245"/>
      <c r="K100" s="245"/>
      <c r="L100" s="245"/>
      <c r="M100" s="245"/>
      <c r="N100" s="245"/>
      <c r="O100" s="245"/>
      <c r="P100" s="245"/>
      <c r="Q100" s="245"/>
      <c r="R100" s="245"/>
    </row>
    <row r="101" spans="1:24">
      <c r="A101" s="65" t="s">
        <v>265</v>
      </c>
      <c r="B101" s="63" t="s">
        <v>40</v>
      </c>
      <c r="C101" s="234" t="s">
        <v>218</v>
      </c>
      <c r="D101" s="236">
        <f>SUM(E75:E92)</f>
        <v>775.35052025608229</v>
      </c>
      <c r="E101" s="236">
        <f t="shared" ref="E101:R101" si="15">SUM(F75:F92)</f>
        <v>996.61690686494535</v>
      </c>
      <c r="F101" s="236">
        <f t="shared" si="15"/>
        <v>2300.1747729710587</v>
      </c>
      <c r="G101" s="236">
        <f t="shared" si="15"/>
        <v>1265.6796311467238</v>
      </c>
      <c r="H101" s="236">
        <f t="shared" si="15"/>
        <v>1696.6295643350707</v>
      </c>
      <c r="I101" s="236">
        <f t="shared" si="15"/>
        <v>3522.08464482813</v>
      </c>
      <c r="J101" s="236">
        <f t="shared" si="15"/>
        <v>3670.7791297922236</v>
      </c>
      <c r="K101" s="236">
        <f t="shared" si="15"/>
        <v>3773.7104302859398</v>
      </c>
      <c r="L101" s="236">
        <f t="shared" si="15"/>
        <v>3890.6289109861195</v>
      </c>
      <c r="M101" s="236">
        <f t="shared" si="15"/>
        <v>4016.1548871979685</v>
      </c>
      <c r="N101" s="236">
        <f t="shared" si="15"/>
        <v>3974.5672104883142</v>
      </c>
      <c r="O101" s="236">
        <f t="shared" si="15"/>
        <v>1684.3337067148777</v>
      </c>
      <c r="P101" s="236">
        <f t="shared" si="15"/>
        <v>1223.9782552372408</v>
      </c>
      <c r="Q101" s="236">
        <f t="shared" si="15"/>
        <v>1118.4032082244141</v>
      </c>
      <c r="R101" s="236">
        <f t="shared" si="15"/>
        <v>1054.3550879549564</v>
      </c>
    </row>
    <row r="103" spans="1:24">
      <c r="A103" s="65" t="s">
        <v>306</v>
      </c>
      <c r="C103" s="269" t="s">
        <v>286</v>
      </c>
      <c r="D103" s="245">
        <v>44469</v>
      </c>
      <c r="E103" s="245">
        <v>44834</v>
      </c>
      <c r="F103" s="245">
        <v>45199</v>
      </c>
      <c r="G103" s="245">
        <v>45565</v>
      </c>
      <c r="H103" s="245">
        <v>45930</v>
      </c>
    </row>
    <row r="104" spans="1:24">
      <c r="A104" s="63" t="s">
        <v>288</v>
      </c>
      <c r="B104" s="63" t="s">
        <v>40</v>
      </c>
      <c r="C104" s="234" t="s">
        <v>54</v>
      </c>
      <c r="D104" s="236">
        <f>SUM(T75:T92)</f>
        <v>1169.3545064825064</v>
      </c>
      <c r="E104" s="236">
        <f>SUM(U75:U92)</f>
        <v>922.87885900195317</v>
      </c>
      <c r="F104" s="236">
        <f>SUM(V75:V92)</f>
        <v>727.05472351390517</v>
      </c>
      <c r="G104" s="236">
        <f>SUM(W75:W92)</f>
        <v>516.10843387106456</v>
      </c>
      <c r="H104" s="236">
        <f>SUM(X75:X92)</f>
        <v>193.12620512297519</v>
      </c>
    </row>
    <row r="105" spans="1:24">
      <c r="A105" s="63" t="s">
        <v>289</v>
      </c>
      <c r="B105" s="63" t="s">
        <v>40</v>
      </c>
      <c r="C105" s="234" t="s">
        <v>54</v>
      </c>
      <c r="D105" s="236">
        <f>SUM(T93:T97)</f>
        <v>423.07503128243553</v>
      </c>
      <c r="E105" s="236">
        <f>SUM(U93:U97)</f>
        <v>1137.1833788148954</v>
      </c>
      <c r="F105" s="236">
        <f>SUM(V93:V97)</f>
        <v>1687.2303489720591</v>
      </c>
      <c r="G105" s="236">
        <f>SUM(W93:W97)</f>
        <v>2174.6658461556954</v>
      </c>
      <c r="H105" s="236">
        <f>SUM(X93:X97)</f>
        <v>2617.2938447160964</v>
      </c>
    </row>
    <row r="106" spans="1:24">
      <c r="A106" s="65" t="s">
        <v>307</v>
      </c>
      <c r="B106" s="63" t="s">
        <v>40</v>
      </c>
      <c r="C106" s="234" t="s">
        <v>54</v>
      </c>
      <c r="D106" s="236">
        <f>D104+D105</f>
        <v>1592.4295377649419</v>
      </c>
      <c r="E106" s="236">
        <f t="shared" ref="E106:H106" si="16">E104+E105</f>
        <v>2060.0622378168487</v>
      </c>
      <c r="F106" s="236">
        <f t="shared" si="16"/>
        <v>2414.2850724859645</v>
      </c>
      <c r="G106" s="236">
        <f t="shared" si="16"/>
        <v>2690.7742800267597</v>
      </c>
      <c r="H106" s="236">
        <f t="shared" si="16"/>
        <v>2810.4200498390715</v>
      </c>
    </row>
    <row r="107" spans="1:24" ht="14.25" customHeight="1"/>
    <row r="108" spans="1:24" ht="14.25" customHeight="1"/>
    <row r="109" spans="1:24" s="62" customFormat="1" ht="19.25" customHeight="1">
      <c r="A109" s="267" t="s">
        <v>340</v>
      </c>
      <c r="B109" s="267"/>
    </row>
    <row r="110" spans="1:24" s="62" customFormat="1" ht="14.25" customHeight="1">
      <c r="A110" s="63"/>
      <c r="C110" s="269" t="s">
        <v>290</v>
      </c>
      <c r="D110" s="246">
        <v>39387</v>
      </c>
      <c r="E110" s="246">
        <v>39539</v>
      </c>
      <c r="F110" s="246">
        <v>39722</v>
      </c>
      <c r="G110" s="246">
        <v>40087</v>
      </c>
      <c r="H110" s="246">
        <v>40269</v>
      </c>
      <c r="I110" s="246">
        <v>40452</v>
      </c>
      <c r="J110" s="246">
        <v>40817</v>
      </c>
      <c r="K110" s="246">
        <v>41183</v>
      </c>
      <c r="L110" s="246">
        <v>41548</v>
      </c>
      <c r="M110" s="246">
        <v>41913</v>
      </c>
      <c r="N110" s="246">
        <v>42278</v>
      </c>
      <c r="O110" s="246">
        <v>42644</v>
      </c>
      <c r="P110" s="246">
        <v>43009</v>
      </c>
      <c r="Q110" s="246">
        <v>43374</v>
      </c>
      <c r="R110" s="246">
        <v>43739</v>
      </c>
      <c r="S110" s="246">
        <v>44105</v>
      </c>
      <c r="T110" s="246">
        <v>44470</v>
      </c>
      <c r="U110" s="246">
        <v>44835</v>
      </c>
      <c r="V110" s="246">
        <v>45200</v>
      </c>
      <c r="W110" s="246">
        <v>45566</v>
      </c>
    </row>
    <row r="111" spans="1:24" s="62" customFormat="1" ht="14.25" customHeight="1">
      <c r="A111" s="63"/>
      <c r="C111" s="269" t="s">
        <v>291</v>
      </c>
      <c r="D111" s="246">
        <v>39538</v>
      </c>
      <c r="E111" s="246">
        <v>39721</v>
      </c>
      <c r="F111" s="246">
        <v>40086</v>
      </c>
      <c r="G111" s="246">
        <v>40268</v>
      </c>
      <c r="H111" s="246">
        <v>40451</v>
      </c>
      <c r="I111" s="246">
        <v>40816</v>
      </c>
      <c r="J111" s="246">
        <v>41182</v>
      </c>
      <c r="K111" s="246">
        <v>41547</v>
      </c>
      <c r="L111" s="246">
        <v>41912</v>
      </c>
      <c r="M111" s="246">
        <v>42277</v>
      </c>
      <c r="N111" s="246">
        <v>42643</v>
      </c>
      <c r="O111" s="246">
        <v>43008</v>
      </c>
      <c r="P111" s="246">
        <v>43373</v>
      </c>
      <c r="Q111" s="246">
        <v>43738</v>
      </c>
      <c r="R111" s="246">
        <v>44104</v>
      </c>
      <c r="S111" s="247" t="s">
        <v>248</v>
      </c>
      <c r="T111" s="247" t="s">
        <v>249</v>
      </c>
      <c r="U111" s="247" t="s">
        <v>250</v>
      </c>
      <c r="V111" s="247" t="s">
        <v>251</v>
      </c>
      <c r="W111" s="247" t="s">
        <v>252</v>
      </c>
    </row>
    <row r="112" spans="1:24" s="62" customFormat="1" ht="14.25" customHeight="1">
      <c r="A112" s="65" t="s">
        <v>287</v>
      </c>
      <c r="B112" s="65" t="s">
        <v>10</v>
      </c>
      <c r="C112" s="65" t="s">
        <v>11</v>
      </c>
      <c r="D112" s="236"/>
      <c r="E112" s="236"/>
      <c r="F112" s="236"/>
      <c r="G112" s="236"/>
      <c r="H112" s="236"/>
      <c r="I112" s="236"/>
      <c r="J112" s="236"/>
      <c r="K112" s="236"/>
      <c r="L112" s="236"/>
      <c r="M112" s="236"/>
      <c r="N112" s="236"/>
      <c r="O112" s="236"/>
      <c r="P112" s="236"/>
      <c r="Q112" s="236"/>
      <c r="R112" s="236"/>
      <c r="S112" s="236"/>
      <c r="T112" s="236"/>
      <c r="U112" s="236"/>
      <c r="V112" s="236"/>
      <c r="W112" s="236"/>
    </row>
    <row r="113" spans="1:59" s="62" customFormat="1" ht="14.25" customHeight="1">
      <c r="A113" s="63" t="s">
        <v>228</v>
      </c>
      <c r="B113" s="63" t="s">
        <v>40</v>
      </c>
      <c r="C113" s="234" t="s">
        <v>218</v>
      </c>
      <c r="D113" s="236"/>
      <c r="E113" s="236"/>
      <c r="F113" s="236"/>
      <c r="G113" s="236"/>
      <c r="H113" s="236">
        <v>0</v>
      </c>
      <c r="I113" s="236">
        <v>1454.0929084380609</v>
      </c>
      <c r="J113" s="236">
        <v>1454.0929084380609</v>
      </c>
      <c r="K113" s="236">
        <v>0</v>
      </c>
      <c r="L113" s="236">
        <v>0</v>
      </c>
      <c r="M113" s="236">
        <v>0</v>
      </c>
      <c r="N113" s="236"/>
      <c r="O113" s="236"/>
      <c r="P113" s="236"/>
      <c r="Q113" s="236"/>
      <c r="R113" s="236"/>
      <c r="S113" s="236"/>
      <c r="T113" s="236"/>
      <c r="U113" s="236"/>
      <c r="V113" s="236"/>
      <c r="W113" s="236"/>
    </row>
    <row r="114" spans="1:59" s="62" customFormat="1" ht="14.25" customHeight="1">
      <c r="A114" s="63"/>
      <c r="B114" s="63"/>
      <c r="C114" s="234"/>
      <c r="D114" s="236"/>
      <c r="E114" s="236"/>
      <c r="F114" s="236"/>
      <c r="G114" s="236"/>
      <c r="H114" s="236"/>
      <c r="I114" s="236"/>
      <c r="J114" s="236"/>
      <c r="K114" s="236"/>
      <c r="L114" s="236"/>
      <c r="M114" s="236"/>
      <c r="N114" s="236"/>
      <c r="O114" s="236"/>
      <c r="P114" s="236"/>
      <c r="Q114" s="236"/>
      <c r="R114" s="236"/>
      <c r="S114" s="236"/>
      <c r="T114" s="236"/>
      <c r="U114" s="236"/>
      <c r="V114" s="236"/>
      <c r="W114" s="236"/>
    </row>
    <row r="115" spans="1:59" s="62" customFormat="1" ht="14.25" customHeight="1">
      <c r="A115" s="65" t="s">
        <v>285</v>
      </c>
      <c r="D115" s="236"/>
      <c r="E115" s="236"/>
      <c r="F115" s="236"/>
      <c r="G115" s="236"/>
      <c r="H115" s="236"/>
      <c r="I115" s="236"/>
      <c r="J115" s="236"/>
      <c r="K115" s="236"/>
      <c r="L115" s="236"/>
      <c r="M115" s="236"/>
      <c r="N115" s="236"/>
      <c r="O115" s="236"/>
      <c r="P115" s="236"/>
      <c r="Q115" s="236"/>
      <c r="R115" s="236"/>
      <c r="S115" s="236"/>
      <c r="T115" s="236"/>
      <c r="U115" s="236"/>
      <c r="V115" s="236"/>
      <c r="W115" s="236"/>
    </row>
    <row r="116" spans="1:59" s="62" customFormat="1" ht="14.25" customHeight="1">
      <c r="A116" s="63" t="s">
        <v>255</v>
      </c>
      <c r="B116" s="63" t="s">
        <v>40</v>
      </c>
      <c r="C116" s="234" t="s">
        <v>218</v>
      </c>
      <c r="D116" s="236"/>
      <c r="E116" s="236"/>
      <c r="F116" s="236"/>
      <c r="G116" s="236"/>
      <c r="H116" s="236"/>
      <c r="I116" s="236"/>
      <c r="J116" s="236"/>
      <c r="K116" s="236"/>
      <c r="L116" s="236"/>
      <c r="M116" s="236"/>
      <c r="N116" s="236">
        <f>D49</f>
        <v>95.863045141545527</v>
      </c>
      <c r="O116" s="236">
        <f>E49</f>
        <v>12.284183296378417</v>
      </c>
      <c r="P116" s="236">
        <f>F49</f>
        <v>7.7706471219163387</v>
      </c>
      <c r="Q116" s="236">
        <f>G49</f>
        <v>17.301006245662734</v>
      </c>
      <c r="R116" s="236">
        <f>H49</f>
        <v>137.63755980861242</v>
      </c>
      <c r="S116" s="236"/>
      <c r="T116" s="236"/>
      <c r="U116" s="236"/>
      <c r="V116" s="236"/>
      <c r="W116" s="236"/>
    </row>
    <row r="117" spans="1:59" s="62" customFormat="1" ht="14.25" customHeight="1">
      <c r="A117" s="63" t="s">
        <v>254</v>
      </c>
      <c r="B117" s="63" t="s">
        <v>40</v>
      </c>
      <c r="C117" s="234" t="s">
        <v>218</v>
      </c>
      <c r="D117" s="236"/>
      <c r="E117" s="236"/>
      <c r="F117" s="236"/>
      <c r="G117" s="236"/>
      <c r="H117" s="236"/>
      <c r="I117" s="236"/>
      <c r="J117" s="236"/>
      <c r="K117" s="236"/>
      <c r="L117" s="236"/>
      <c r="M117" s="236"/>
      <c r="N117" s="236">
        <f>'RAB inputs'!N35</f>
        <v>116.32743267504486</v>
      </c>
      <c r="O117" s="236">
        <f>'RAB inputs'!O35</f>
        <v>116.32743267504486</v>
      </c>
      <c r="P117" s="236">
        <f>'RAB inputs'!P35</f>
        <v>116.32743267504486</v>
      </c>
      <c r="Q117" s="236">
        <f>'RAB inputs'!Q35</f>
        <v>116.32743267504486</v>
      </c>
      <c r="R117" s="236">
        <f>'RAB inputs'!R35</f>
        <v>116.32743267504486</v>
      </c>
      <c r="S117" s="236"/>
      <c r="T117" s="236"/>
      <c r="U117" s="236"/>
      <c r="V117" s="236"/>
      <c r="W117" s="236"/>
    </row>
    <row r="118" spans="1:59" s="62" customFormat="1" ht="14.25" customHeight="1">
      <c r="A118" s="63"/>
      <c r="B118" s="63"/>
      <c r="C118" s="234"/>
      <c r="D118" s="236"/>
      <c r="E118" s="236"/>
      <c r="F118" s="236"/>
      <c r="G118" s="236"/>
      <c r="H118" s="236"/>
      <c r="I118" s="236"/>
      <c r="J118" s="236"/>
      <c r="K118" s="236"/>
      <c r="L118" s="236"/>
      <c r="M118" s="236"/>
      <c r="N118" s="236"/>
      <c r="O118" s="236"/>
      <c r="P118" s="236"/>
      <c r="Q118" s="236"/>
      <c r="R118" s="236"/>
      <c r="S118" s="236"/>
      <c r="T118" s="236"/>
      <c r="U118" s="236"/>
      <c r="V118" s="236"/>
      <c r="W118" s="236"/>
    </row>
    <row r="119" spans="1:59" s="62" customFormat="1" ht="14.25" customHeight="1">
      <c r="A119" s="65" t="s">
        <v>518</v>
      </c>
      <c r="B119" s="63"/>
    </row>
    <row r="120" spans="1:59" s="62" customFormat="1" ht="14.25" customHeight="1">
      <c r="A120" s="63" t="s">
        <v>330</v>
      </c>
      <c r="B120" s="63" t="s">
        <v>40</v>
      </c>
      <c r="C120" s="234" t="s">
        <v>54</v>
      </c>
      <c r="D120" s="236"/>
      <c r="E120" s="236"/>
      <c r="F120" s="236"/>
      <c r="G120" s="236"/>
      <c r="H120" s="236"/>
      <c r="I120" s="236"/>
      <c r="J120" s="236"/>
      <c r="K120" s="236"/>
      <c r="L120" s="236"/>
      <c r="M120" s="236"/>
      <c r="N120" s="236"/>
      <c r="O120" s="236"/>
      <c r="P120" s="236"/>
      <c r="Q120" s="236"/>
      <c r="R120" s="236"/>
      <c r="S120" s="236">
        <f>CCS!D33+CCS!D40</f>
        <v>47.5</v>
      </c>
      <c r="T120" s="236">
        <f>CCS!E33+CCS!E40</f>
        <v>47.5</v>
      </c>
      <c r="U120" s="236">
        <f>CCS!F33+CCS!F40</f>
        <v>10</v>
      </c>
      <c r="V120" s="236">
        <f>CCS!G33+CCS!G40</f>
        <v>10</v>
      </c>
      <c r="W120" s="236">
        <f>CCS!H33+CCS!H40</f>
        <v>10</v>
      </c>
    </row>
    <row r="121" spans="1:59" s="62" customFormat="1" ht="14.25" customHeight="1"/>
    <row r="122" spans="1:59" ht="14.25" customHeight="1">
      <c r="B122" s="234"/>
    </row>
    <row r="123" spans="1:59" ht="14.25" customHeight="1">
      <c r="A123" s="65" t="s">
        <v>226</v>
      </c>
      <c r="C123" s="270" t="s">
        <v>11</v>
      </c>
      <c r="D123" s="239" t="s">
        <v>341</v>
      </c>
      <c r="E123" s="234" t="s">
        <v>218</v>
      </c>
      <c r="F123" s="234" t="s">
        <v>218</v>
      </c>
      <c r="G123" s="234" t="s">
        <v>218</v>
      </c>
      <c r="H123" s="234" t="s">
        <v>218</v>
      </c>
      <c r="I123" s="234" t="s">
        <v>218</v>
      </c>
      <c r="J123" s="234" t="s">
        <v>218</v>
      </c>
      <c r="K123" s="234" t="s">
        <v>218</v>
      </c>
      <c r="L123" s="234" t="s">
        <v>218</v>
      </c>
      <c r="M123" s="234" t="s">
        <v>218</v>
      </c>
      <c r="N123" s="234" t="s">
        <v>218</v>
      </c>
      <c r="O123" s="234" t="s">
        <v>218</v>
      </c>
      <c r="P123" s="234" t="s">
        <v>218</v>
      </c>
      <c r="Q123" s="234" t="s">
        <v>218</v>
      </c>
      <c r="R123" s="234" t="s">
        <v>218</v>
      </c>
      <c r="S123" s="234" t="s">
        <v>218</v>
      </c>
      <c r="T123" s="234" t="s">
        <v>54</v>
      </c>
      <c r="U123" s="234" t="s">
        <v>54</v>
      </c>
      <c r="V123" s="234" t="s">
        <v>54</v>
      </c>
      <c r="W123" s="234" t="s">
        <v>54</v>
      </c>
      <c r="X123" s="234" t="s">
        <v>54</v>
      </c>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row>
    <row r="124" spans="1:59" ht="14.25" customHeight="1">
      <c r="C124" s="270" t="s">
        <v>286</v>
      </c>
      <c r="D124" s="247">
        <v>39386</v>
      </c>
      <c r="E124" s="245">
        <v>39538</v>
      </c>
      <c r="F124" s="245">
        <v>39721</v>
      </c>
      <c r="G124" s="245">
        <v>40086</v>
      </c>
      <c r="H124" s="245">
        <v>40268</v>
      </c>
      <c r="I124" s="245">
        <v>40451</v>
      </c>
      <c r="J124" s="245">
        <v>40816</v>
      </c>
      <c r="K124" s="245">
        <v>41182</v>
      </c>
      <c r="L124" s="245">
        <v>41547</v>
      </c>
      <c r="M124" s="245">
        <v>41912</v>
      </c>
      <c r="N124" s="245">
        <v>42277</v>
      </c>
      <c r="O124" s="245">
        <v>42643</v>
      </c>
      <c r="P124" s="245">
        <v>43008</v>
      </c>
      <c r="Q124" s="245">
        <v>43373</v>
      </c>
      <c r="R124" s="245">
        <v>43738</v>
      </c>
      <c r="S124" s="245">
        <v>44104</v>
      </c>
      <c r="T124" s="245">
        <v>44469</v>
      </c>
      <c r="U124" s="245">
        <v>44834</v>
      </c>
      <c r="V124" s="245">
        <v>45199</v>
      </c>
      <c r="W124" s="245">
        <v>45565</v>
      </c>
      <c r="X124" s="245">
        <v>45930</v>
      </c>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row>
    <row r="125" spans="1:59" ht="14.25" customHeight="1">
      <c r="A125" s="65"/>
      <c r="C125" s="270" t="s">
        <v>81</v>
      </c>
      <c r="D125" s="239" t="s">
        <v>341</v>
      </c>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row>
    <row r="126" spans="1:59" ht="14.25" customHeight="1">
      <c r="A126" s="65" t="s">
        <v>81</v>
      </c>
      <c r="D126" s="64"/>
      <c r="E126" s="249">
        <f t="shared" ref="E126:X126" si="17">MAX(0,(YEAR(E124)-YEAR(D124))*12+(MONTH(E124)-MONTH(D124)))</f>
        <v>5</v>
      </c>
      <c r="F126" s="249">
        <f>MAX(0,(YEAR(F124)-YEAR(E124))*12+(MONTH(F124)-MONTH(E124)))</f>
        <v>6</v>
      </c>
      <c r="G126" s="249">
        <f t="shared" si="17"/>
        <v>12</v>
      </c>
      <c r="H126" s="249">
        <f t="shared" si="17"/>
        <v>6</v>
      </c>
      <c r="I126" s="249">
        <f t="shared" si="17"/>
        <v>6</v>
      </c>
      <c r="J126" s="249">
        <f t="shared" si="17"/>
        <v>12</v>
      </c>
      <c r="K126" s="249">
        <f t="shared" si="17"/>
        <v>12</v>
      </c>
      <c r="L126" s="249">
        <f t="shared" si="17"/>
        <v>12</v>
      </c>
      <c r="M126" s="249">
        <f t="shared" si="17"/>
        <v>12</v>
      </c>
      <c r="N126" s="249">
        <f t="shared" si="17"/>
        <v>12</v>
      </c>
      <c r="O126" s="249">
        <f t="shared" si="17"/>
        <v>12</v>
      </c>
      <c r="P126" s="249">
        <f t="shared" si="17"/>
        <v>12</v>
      </c>
      <c r="Q126" s="249">
        <f t="shared" si="17"/>
        <v>12</v>
      </c>
      <c r="R126" s="249">
        <f t="shared" si="17"/>
        <v>12</v>
      </c>
      <c r="S126" s="249">
        <f t="shared" si="17"/>
        <v>12</v>
      </c>
      <c r="T126" s="249">
        <f t="shared" si="17"/>
        <v>12</v>
      </c>
      <c r="U126" s="249">
        <f t="shared" si="17"/>
        <v>12</v>
      </c>
      <c r="V126" s="249">
        <f t="shared" si="17"/>
        <v>12</v>
      </c>
      <c r="W126" s="249">
        <f t="shared" si="17"/>
        <v>12</v>
      </c>
      <c r="X126" s="249">
        <f t="shared" si="17"/>
        <v>12</v>
      </c>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row>
    <row r="127" spans="1:59" ht="14.25" customHeight="1">
      <c r="A127" s="65" t="s">
        <v>226</v>
      </c>
      <c r="D127" s="64"/>
      <c r="E127" s="250"/>
      <c r="F127" s="250"/>
      <c r="G127" s="250"/>
      <c r="H127" s="250"/>
      <c r="I127" s="250"/>
      <c r="J127" s="250"/>
      <c r="K127" s="250"/>
      <c r="L127" s="250"/>
      <c r="M127" s="250"/>
      <c r="N127" s="250"/>
      <c r="O127" s="250"/>
      <c r="P127" s="250"/>
      <c r="Q127" s="250"/>
      <c r="R127" s="250"/>
      <c r="S127" s="250"/>
      <c r="T127" s="250"/>
      <c r="U127" s="250"/>
      <c r="V127" s="250"/>
      <c r="W127" s="250"/>
      <c r="X127" s="250"/>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row>
    <row r="128" spans="1:59" ht="14.25" customHeight="1">
      <c r="A128" s="65" t="s">
        <v>227</v>
      </c>
      <c r="B128" s="65" t="s">
        <v>10</v>
      </c>
      <c r="C128" s="65"/>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row>
    <row r="129" spans="1:59" ht="14.25" customHeight="1">
      <c r="A129" s="240">
        <v>40451</v>
      </c>
      <c r="B129" s="63" t="s">
        <v>40</v>
      </c>
      <c r="C129" s="234"/>
      <c r="D129" s="236"/>
      <c r="E129" s="236"/>
      <c r="F129" s="236"/>
      <c r="G129" s="236"/>
      <c r="H129" s="236"/>
      <c r="I129" s="236">
        <f t="shared" ref="I129:N129" si="18">$H113/12*I$126/H$23</f>
        <v>0</v>
      </c>
      <c r="J129" s="236">
        <f t="shared" si="18"/>
        <v>0</v>
      </c>
      <c r="K129" s="236">
        <f t="shared" si="18"/>
        <v>0</v>
      </c>
      <c r="L129" s="236">
        <f t="shared" si="18"/>
        <v>0</v>
      </c>
      <c r="M129" s="236">
        <f t="shared" si="18"/>
        <v>0</v>
      </c>
      <c r="N129" s="236">
        <f t="shared" si="18"/>
        <v>0</v>
      </c>
      <c r="O129" s="249">
        <f>($H113-SUM(I129:N129))/(N$23-(YEAR(N124)-YEAR(I124))-(0.5*I126/12))</f>
        <v>0</v>
      </c>
      <c r="P129" s="249">
        <f t="shared" ref="P129:X136" si="19">O129</f>
        <v>0</v>
      </c>
      <c r="Q129" s="249">
        <f t="shared" si="19"/>
        <v>0</v>
      </c>
      <c r="R129" s="249">
        <f t="shared" si="19"/>
        <v>0</v>
      </c>
      <c r="S129" s="249">
        <f t="shared" si="19"/>
        <v>0</v>
      </c>
      <c r="T129" s="249">
        <f t="shared" ref="T129:T134" si="20">S129*$K$18</f>
        <v>0</v>
      </c>
      <c r="U129" s="249">
        <f t="shared" si="19"/>
        <v>0</v>
      </c>
      <c r="V129" s="249">
        <f t="shared" si="19"/>
        <v>0</v>
      </c>
      <c r="W129" s="249">
        <f t="shared" si="19"/>
        <v>0</v>
      </c>
      <c r="X129" s="249">
        <f t="shared" si="19"/>
        <v>0</v>
      </c>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row>
    <row r="130" spans="1:59" ht="14.25" customHeight="1">
      <c r="A130" s="240">
        <v>40816</v>
      </c>
      <c r="B130" s="63" t="s">
        <v>40</v>
      </c>
      <c r="C130" s="234"/>
      <c r="D130" s="236"/>
      <c r="E130" s="236"/>
      <c r="F130" s="236"/>
      <c r="G130" s="236"/>
      <c r="H130" s="236"/>
      <c r="I130" s="236"/>
      <c r="J130" s="236">
        <f>$I113/12*J$126/I$23/2</f>
        <v>29.081858168761219</v>
      </c>
      <c r="K130" s="236">
        <f>$I113/12*K$126/J$23</f>
        <v>58.163716337522438</v>
      </c>
      <c r="L130" s="236">
        <f>$I113/12*L$126/K$23</f>
        <v>58.163716337522438</v>
      </c>
      <c r="M130" s="236">
        <f>$I113/12*M$126/L$23</f>
        <v>58.163716337522438</v>
      </c>
      <c r="N130" s="236">
        <f>$I113/12*N$126/M$23</f>
        <v>58.163716337522438</v>
      </c>
      <c r="O130" s="249">
        <f>($I113-SUM(J130:N130))/(N$23-(YEAR(N124)-YEAR(J124))-(0.5*J126/12))</f>
        <v>58.163716337522438</v>
      </c>
      <c r="P130" s="249">
        <f t="shared" si="19"/>
        <v>58.163716337522438</v>
      </c>
      <c r="Q130" s="249">
        <f t="shared" si="19"/>
        <v>58.163716337522438</v>
      </c>
      <c r="R130" s="249">
        <f t="shared" si="19"/>
        <v>58.163716337522438</v>
      </c>
      <c r="S130" s="249">
        <f t="shared" si="19"/>
        <v>58.163716337522438</v>
      </c>
      <c r="T130" s="249">
        <f t="shared" si="20"/>
        <v>65.968342250149618</v>
      </c>
      <c r="U130" s="249">
        <f t="shared" si="19"/>
        <v>65.968342250149618</v>
      </c>
      <c r="V130" s="249">
        <f t="shared" si="19"/>
        <v>65.968342250149618</v>
      </c>
      <c r="W130" s="249">
        <f t="shared" si="19"/>
        <v>65.968342250149618</v>
      </c>
      <c r="X130" s="249">
        <f t="shared" si="19"/>
        <v>65.968342250149618</v>
      </c>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row>
    <row r="131" spans="1:59" ht="14.25" customHeight="1">
      <c r="A131" s="240">
        <v>41182</v>
      </c>
      <c r="B131" s="63" t="s">
        <v>40</v>
      </c>
      <c r="C131" s="234"/>
      <c r="D131" s="236"/>
      <c r="E131" s="236"/>
      <c r="F131" s="236"/>
      <c r="G131" s="236"/>
      <c r="H131" s="236"/>
      <c r="I131" s="236"/>
      <c r="J131" s="236"/>
      <c r="K131" s="236">
        <f>$J113/12*K$126/J$23/2</f>
        <v>29.081858168761219</v>
      </c>
      <c r="L131" s="236">
        <f>$J113/12*L$126/K$23</f>
        <v>58.163716337522438</v>
      </c>
      <c r="M131" s="236">
        <f>$J113/12*M$126/L$23</f>
        <v>58.163716337522438</v>
      </c>
      <c r="N131" s="236">
        <f>$J113/12*N$126/M$23</f>
        <v>58.163716337522438</v>
      </c>
      <c r="O131" s="249">
        <f>($J113-SUM(K131:N131))/(N$23-(YEAR(N124)-YEAR(K124))-(0.5*K126/12))</f>
        <v>58.16371633752243</v>
      </c>
      <c r="P131" s="249">
        <f t="shared" si="19"/>
        <v>58.16371633752243</v>
      </c>
      <c r="Q131" s="249">
        <f t="shared" si="19"/>
        <v>58.16371633752243</v>
      </c>
      <c r="R131" s="249">
        <f t="shared" si="19"/>
        <v>58.16371633752243</v>
      </c>
      <c r="S131" s="249">
        <f t="shared" si="19"/>
        <v>58.16371633752243</v>
      </c>
      <c r="T131" s="249">
        <f t="shared" si="20"/>
        <v>65.968342250149604</v>
      </c>
      <c r="U131" s="249">
        <f t="shared" si="19"/>
        <v>65.968342250149604</v>
      </c>
      <c r="V131" s="249">
        <f t="shared" si="19"/>
        <v>65.968342250149604</v>
      </c>
      <c r="W131" s="249">
        <f t="shared" si="19"/>
        <v>65.968342250149604</v>
      </c>
      <c r="X131" s="249">
        <f t="shared" si="19"/>
        <v>65.968342250149604</v>
      </c>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row>
    <row r="132" spans="1:59" ht="14.25" customHeight="1">
      <c r="A132" s="240">
        <v>41547</v>
      </c>
      <c r="B132" s="63" t="s">
        <v>40</v>
      </c>
      <c r="C132" s="234"/>
      <c r="D132" s="236"/>
      <c r="E132" s="236"/>
      <c r="F132" s="236"/>
      <c r="G132" s="236"/>
      <c r="H132" s="236"/>
      <c r="I132" s="236"/>
      <c r="J132" s="236"/>
      <c r="K132" s="236"/>
      <c r="L132" s="236">
        <f>$K113/12*L$126/K$23/2</f>
        <v>0</v>
      </c>
      <c r="M132" s="236">
        <f>$K113/12*M$126/L$23</f>
        <v>0</v>
      </c>
      <c r="N132" s="236">
        <f>$K113/12*N$126/M$23</f>
        <v>0</v>
      </c>
      <c r="O132" s="249">
        <f>($K113-SUM(L132:N132))/(N$23-(YEAR(N124)-YEAR(L124))-(0.5*L126/12))</f>
        <v>0</v>
      </c>
      <c r="P132" s="249">
        <f t="shared" si="19"/>
        <v>0</v>
      </c>
      <c r="Q132" s="249">
        <f t="shared" si="19"/>
        <v>0</v>
      </c>
      <c r="R132" s="249">
        <f t="shared" si="19"/>
        <v>0</v>
      </c>
      <c r="S132" s="249">
        <f t="shared" si="19"/>
        <v>0</v>
      </c>
      <c r="T132" s="249">
        <f t="shared" si="20"/>
        <v>0</v>
      </c>
      <c r="U132" s="249">
        <f t="shared" si="19"/>
        <v>0</v>
      </c>
      <c r="V132" s="249">
        <f t="shared" si="19"/>
        <v>0</v>
      </c>
      <c r="W132" s="249">
        <f t="shared" si="19"/>
        <v>0</v>
      </c>
      <c r="X132" s="249">
        <f t="shared" si="19"/>
        <v>0</v>
      </c>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row>
    <row r="133" spans="1:59" ht="14.25" customHeight="1">
      <c r="A133" s="240">
        <v>41912</v>
      </c>
      <c r="B133" s="63" t="s">
        <v>40</v>
      </c>
      <c r="C133" s="234"/>
      <c r="D133" s="236"/>
      <c r="E133" s="236"/>
      <c r="F133" s="236"/>
      <c r="G133" s="236"/>
      <c r="H133" s="236"/>
      <c r="I133" s="236"/>
      <c r="J133" s="236"/>
      <c r="K133" s="236"/>
      <c r="L133" s="236"/>
      <c r="M133" s="236">
        <f>$L113/12*M$126/L$23/2</f>
        <v>0</v>
      </c>
      <c r="N133" s="236">
        <f>$L113/12*N$126/M$23</f>
        <v>0</v>
      </c>
      <c r="O133" s="249">
        <f>($L113-SUM(M133:N133))/(N$23-(YEAR(N124)-YEAR(M124))-(0.5*M126/12))</f>
        <v>0</v>
      </c>
      <c r="P133" s="249">
        <f t="shared" si="19"/>
        <v>0</v>
      </c>
      <c r="Q133" s="249">
        <f t="shared" si="19"/>
        <v>0</v>
      </c>
      <c r="R133" s="249">
        <f t="shared" si="19"/>
        <v>0</v>
      </c>
      <c r="S133" s="249">
        <f t="shared" si="19"/>
        <v>0</v>
      </c>
      <c r="T133" s="249">
        <f t="shared" si="20"/>
        <v>0</v>
      </c>
      <c r="U133" s="249">
        <f t="shared" si="19"/>
        <v>0</v>
      </c>
      <c r="V133" s="249">
        <f t="shared" si="19"/>
        <v>0</v>
      </c>
      <c r="W133" s="249">
        <f t="shared" si="19"/>
        <v>0</v>
      </c>
      <c r="X133" s="249">
        <f t="shared" si="19"/>
        <v>0</v>
      </c>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row>
    <row r="134" spans="1:59" ht="14.25" customHeight="1">
      <c r="A134" s="240">
        <v>42277</v>
      </c>
      <c r="B134" s="63" t="s">
        <v>40</v>
      </c>
      <c r="C134" s="234"/>
      <c r="D134" s="236"/>
      <c r="E134" s="236"/>
      <c r="F134" s="236"/>
      <c r="G134" s="236"/>
      <c r="H134" s="236"/>
      <c r="I134" s="236"/>
      <c r="J134" s="236"/>
      <c r="K134" s="236"/>
      <c r="L134" s="236"/>
      <c r="M134" s="236"/>
      <c r="N134" s="236">
        <f>$M113/12*N$126/M$23/2</f>
        <v>0</v>
      </c>
      <c r="O134" s="249">
        <f>($M113-N134)/(N$23-(YEAR(N124)-YEAR(N124))-(0.5*N126/12))</f>
        <v>0</v>
      </c>
      <c r="P134" s="249">
        <f t="shared" si="19"/>
        <v>0</v>
      </c>
      <c r="Q134" s="249">
        <f t="shared" si="19"/>
        <v>0</v>
      </c>
      <c r="R134" s="249">
        <f t="shared" si="19"/>
        <v>0</v>
      </c>
      <c r="S134" s="249">
        <f t="shared" si="19"/>
        <v>0</v>
      </c>
      <c r="T134" s="249">
        <f t="shared" si="20"/>
        <v>0</v>
      </c>
      <c r="U134" s="249">
        <f t="shared" si="19"/>
        <v>0</v>
      </c>
      <c r="V134" s="249">
        <f t="shared" si="19"/>
        <v>0</v>
      </c>
      <c r="W134" s="249">
        <f t="shared" si="19"/>
        <v>0</v>
      </c>
      <c r="X134" s="249">
        <f t="shared" si="19"/>
        <v>0</v>
      </c>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row>
    <row r="135" spans="1:59" ht="14.25" customHeight="1">
      <c r="A135" s="240">
        <v>42643</v>
      </c>
      <c r="B135" s="63" t="s">
        <v>40</v>
      </c>
      <c r="C135" s="234"/>
      <c r="D135" s="249"/>
      <c r="E135" s="249"/>
      <c r="F135" s="249"/>
      <c r="G135" s="249"/>
      <c r="H135" s="249"/>
      <c r="I135" s="249"/>
      <c r="J135" s="249"/>
      <c r="K135" s="249"/>
      <c r="L135" s="249"/>
      <c r="M135" s="249"/>
      <c r="N135" s="249"/>
      <c r="O135" s="249">
        <f>$N116/12*O$126/N$23/2</f>
        <v>1.9172609028309104</v>
      </c>
      <c r="P135" s="249">
        <f>$N116/12*P$126/O$23</f>
        <v>3.8345218056618209</v>
      </c>
      <c r="Q135" s="249">
        <f>$N116/12*Q$126/P$23</f>
        <v>3.8345218056618209</v>
      </c>
      <c r="R135" s="249">
        <f>$N116/12*R$126/Q$23</f>
        <v>3.8345218056618209</v>
      </c>
      <c r="S135" s="249">
        <f>$N116/12*S$126/R$23</f>
        <v>3.8345218056618209</v>
      </c>
      <c r="T135" s="249">
        <f>$N116/12*T$126/S$23*$K$18</f>
        <v>4.3490523434516799</v>
      </c>
      <c r="U135" s="249">
        <f>T135</f>
        <v>4.3490523434516799</v>
      </c>
      <c r="V135" s="249">
        <f t="shared" si="19"/>
        <v>4.3490523434516799</v>
      </c>
      <c r="W135" s="249">
        <f t="shared" si="19"/>
        <v>4.3490523434516799</v>
      </c>
      <c r="X135" s="249">
        <f t="shared" si="19"/>
        <v>4.3490523434516799</v>
      </c>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row>
    <row r="136" spans="1:59" ht="14.25" customHeight="1">
      <c r="A136" s="240">
        <v>43008</v>
      </c>
      <c r="B136" s="63" t="s">
        <v>40</v>
      </c>
      <c r="C136" s="234"/>
      <c r="D136" s="249"/>
      <c r="E136" s="249"/>
      <c r="F136" s="249"/>
      <c r="G136" s="249"/>
      <c r="H136" s="249"/>
      <c r="I136" s="249"/>
      <c r="J136" s="249"/>
      <c r="K136" s="249"/>
      <c r="L136" s="249"/>
      <c r="M136" s="249"/>
      <c r="N136" s="249"/>
      <c r="O136" s="249"/>
      <c r="P136" s="249">
        <f>$O116/12*P$126/O$23/2</f>
        <v>0.24568366592756835</v>
      </c>
      <c r="Q136" s="249">
        <f>$O116/12*Q$126/P$23</f>
        <v>0.4913673318551367</v>
      </c>
      <c r="R136" s="249">
        <f>$O116/12*R$126/Q$23</f>
        <v>0.4913673318551367</v>
      </c>
      <c r="S136" s="249">
        <f>$O116/12*S$126/R$23</f>
        <v>0.4913673318551367</v>
      </c>
      <c r="T136" s="249">
        <f>$O116/12*T$126/S$23*$K$18</f>
        <v>0.55730084594768603</v>
      </c>
      <c r="U136" s="249">
        <f>T136</f>
        <v>0.55730084594768603</v>
      </c>
      <c r="V136" s="249">
        <f t="shared" si="19"/>
        <v>0.55730084594768603</v>
      </c>
      <c r="W136" s="249">
        <f t="shared" si="19"/>
        <v>0.55730084594768603</v>
      </c>
      <c r="X136" s="249">
        <f t="shared" si="19"/>
        <v>0.55730084594768603</v>
      </c>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row>
    <row r="137" spans="1:59" ht="14.25" customHeight="1">
      <c r="A137" s="240">
        <v>43373</v>
      </c>
      <c r="B137" s="63" t="s">
        <v>40</v>
      </c>
      <c r="C137" s="234"/>
      <c r="D137" s="249"/>
      <c r="E137" s="249"/>
      <c r="F137" s="249"/>
      <c r="G137" s="249"/>
      <c r="H137" s="249"/>
      <c r="I137" s="249"/>
      <c r="J137" s="249"/>
      <c r="K137" s="249"/>
      <c r="L137" s="249"/>
      <c r="M137" s="249"/>
      <c r="N137" s="249"/>
      <c r="O137" s="249"/>
      <c r="P137" s="249"/>
      <c r="Q137" s="249">
        <f>$P116/12*Q$126/P$23/2</f>
        <v>0.15541294243832676</v>
      </c>
      <c r="R137" s="249">
        <f>$P116/12*R$126/Q$23</f>
        <v>0.31082588487665352</v>
      </c>
      <c r="S137" s="249">
        <f>$P116/12*S$126/R$23</f>
        <v>0.31082588487665352</v>
      </c>
      <c r="T137" s="249">
        <f>$P116/12*T$126/S$23*$K$18</f>
        <v>0.35253366952621562</v>
      </c>
      <c r="U137" s="249">
        <f t="shared" ref="U137:X139" si="21">T137</f>
        <v>0.35253366952621562</v>
      </c>
      <c r="V137" s="249">
        <f t="shared" si="21"/>
        <v>0.35253366952621562</v>
      </c>
      <c r="W137" s="249">
        <f t="shared" si="21"/>
        <v>0.35253366952621562</v>
      </c>
      <c r="X137" s="249">
        <f t="shared" si="21"/>
        <v>0.35253366952621562</v>
      </c>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row>
    <row r="138" spans="1:59" ht="14.25" customHeight="1">
      <c r="A138" s="240">
        <v>43738</v>
      </c>
      <c r="B138" s="63" t="s">
        <v>40</v>
      </c>
      <c r="C138" s="234"/>
      <c r="D138" s="249"/>
      <c r="E138" s="249"/>
      <c r="F138" s="249"/>
      <c r="G138" s="249"/>
      <c r="H138" s="249"/>
      <c r="I138" s="249"/>
      <c r="J138" s="249"/>
      <c r="K138" s="249"/>
      <c r="L138" s="249"/>
      <c r="M138" s="249"/>
      <c r="N138" s="249"/>
      <c r="O138" s="249"/>
      <c r="P138" s="249"/>
      <c r="Q138" s="249"/>
      <c r="R138" s="249">
        <f>$Q116/12*R$126/Q$23/2</f>
        <v>0.34602012491325468</v>
      </c>
      <c r="S138" s="249">
        <f>$Q116/12*S$126/R$23</f>
        <v>0.69204024982650936</v>
      </c>
      <c r="T138" s="249">
        <f>$Q116/12*T$126/S$23*$K$18</f>
        <v>0.78490080975074872</v>
      </c>
      <c r="U138" s="249">
        <f t="shared" si="21"/>
        <v>0.78490080975074872</v>
      </c>
      <c r="V138" s="249">
        <f t="shared" ref="V138:X139" si="22">U138</f>
        <v>0.78490080975074872</v>
      </c>
      <c r="W138" s="249">
        <f t="shared" si="22"/>
        <v>0.78490080975074872</v>
      </c>
      <c r="X138" s="249">
        <f t="shared" si="22"/>
        <v>0.78490080975074872</v>
      </c>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row>
    <row r="139" spans="1:59" ht="14.25" customHeight="1">
      <c r="A139" s="240">
        <v>44104</v>
      </c>
      <c r="B139" s="63" t="s">
        <v>40</v>
      </c>
      <c r="C139" s="234"/>
      <c r="D139" s="249"/>
      <c r="E139" s="249"/>
      <c r="F139" s="249"/>
      <c r="G139" s="249"/>
      <c r="H139" s="249"/>
      <c r="I139" s="249"/>
      <c r="J139" s="249"/>
      <c r="K139" s="249"/>
      <c r="L139" s="249"/>
      <c r="M139" s="249"/>
      <c r="N139" s="249"/>
      <c r="O139" s="249"/>
      <c r="P139" s="249"/>
      <c r="Q139" s="249"/>
      <c r="R139" s="249"/>
      <c r="S139" s="249">
        <f>$R116/12*S$126/R$23/2</f>
        <v>2.7527511961722486</v>
      </c>
      <c r="T139" s="249">
        <f>$R116/12*T$126/S$23*$K$18</f>
        <v>6.2442513812154701</v>
      </c>
      <c r="U139" s="249">
        <f t="shared" si="21"/>
        <v>6.2442513812154701</v>
      </c>
      <c r="V139" s="249">
        <f t="shared" si="22"/>
        <v>6.2442513812154701</v>
      </c>
      <c r="W139" s="249">
        <f t="shared" si="22"/>
        <v>6.2442513812154701</v>
      </c>
      <c r="X139" s="249">
        <f t="shared" si="22"/>
        <v>6.2442513812154701</v>
      </c>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row>
    <row r="140" spans="1:59" ht="14.25" customHeight="1">
      <c r="A140" s="240">
        <v>44469</v>
      </c>
      <c r="B140" s="63" t="s">
        <v>40</v>
      </c>
      <c r="C140" s="234"/>
      <c r="D140" s="249"/>
      <c r="E140" s="249"/>
      <c r="F140" s="249"/>
      <c r="G140" s="249"/>
      <c r="H140" s="249"/>
      <c r="I140" s="249"/>
      <c r="J140" s="249"/>
      <c r="K140" s="249"/>
      <c r="L140" s="249"/>
      <c r="M140" s="249"/>
      <c r="N140" s="249"/>
      <c r="O140" s="249"/>
      <c r="P140" s="249"/>
      <c r="Q140" s="249"/>
      <c r="R140" s="249"/>
      <c r="S140" s="249"/>
      <c r="T140" s="249">
        <f>$S120/12*T$126/S$23/2</f>
        <v>0.95</v>
      </c>
      <c r="U140" s="249">
        <f>$S120/12*U$126/T$23</f>
        <v>1.9</v>
      </c>
      <c r="V140" s="249">
        <f>$S120/12*V$126/U$23</f>
        <v>1.9</v>
      </c>
      <c r="W140" s="249">
        <f>$S120/12*W$126/V$23</f>
        <v>1.9</v>
      </c>
      <c r="X140" s="249">
        <f>$S120/12*X$126/W$23</f>
        <v>1.9</v>
      </c>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row>
    <row r="141" spans="1:59" ht="14.25" customHeight="1">
      <c r="A141" s="240">
        <v>44834</v>
      </c>
      <c r="B141" s="63" t="s">
        <v>40</v>
      </c>
      <c r="C141" s="234"/>
      <c r="D141" s="249"/>
      <c r="E141" s="249"/>
      <c r="F141" s="249"/>
      <c r="G141" s="249"/>
      <c r="H141" s="249"/>
      <c r="I141" s="249"/>
      <c r="J141" s="249"/>
      <c r="K141" s="249"/>
      <c r="L141" s="249"/>
      <c r="M141" s="249"/>
      <c r="N141" s="249"/>
      <c r="O141" s="249"/>
      <c r="P141" s="249"/>
      <c r="Q141" s="249"/>
      <c r="R141" s="249"/>
      <c r="S141" s="249"/>
      <c r="T141" s="249"/>
      <c r="U141" s="249">
        <f>$T120/12*U$126/T$23/2</f>
        <v>0.95</v>
      </c>
      <c r="V141" s="249">
        <f>$T120/12*V$126/U$23</f>
        <v>1.9</v>
      </c>
      <c r="W141" s="249">
        <f>$T120/12*W$126/V$23</f>
        <v>1.9</v>
      </c>
      <c r="X141" s="249">
        <f>$T120/12*X$126/W$23</f>
        <v>1.9</v>
      </c>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row>
    <row r="142" spans="1:59" ht="14.25" customHeight="1">
      <c r="A142" s="240">
        <v>45199</v>
      </c>
      <c r="B142" s="63" t="s">
        <v>40</v>
      </c>
      <c r="C142" s="234"/>
      <c r="D142" s="249"/>
      <c r="E142" s="249"/>
      <c r="F142" s="249"/>
      <c r="G142" s="249"/>
      <c r="H142" s="249"/>
      <c r="I142" s="249"/>
      <c r="J142" s="249"/>
      <c r="K142" s="249"/>
      <c r="L142" s="249"/>
      <c r="M142" s="249"/>
      <c r="N142" s="249"/>
      <c r="O142" s="249"/>
      <c r="P142" s="249"/>
      <c r="Q142" s="249"/>
      <c r="R142" s="249"/>
      <c r="S142" s="249"/>
      <c r="T142" s="249"/>
      <c r="U142" s="249"/>
      <c r="V142" s="249">
        <f>$U120/12*V$126/U$23/2</f>
        <v>0.2</v>
      </c>
      <c r="W142" s="249">
        <f>$U120/12*W$126/V$23</f>
        <v>0.4</v>
      </c>
      <c r="X142" s="249">
        <f>$U120/12*X$126/W$23</f>
        <v>0.4</v>
      </c>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row>
    <row r="143" spans="1:59" ht="14.25" customHeight="1">
      <c r="A143" s="240">
        <v>45565</v>
      </c>
      <c r="B143" s="63" t="s">
        <v>40</v>
      </c>
      <c r="C143" s="234"/>
      <c r="D143" s="249"/>
      <c r="E143" s="249"/>
      <c r="F143" s="249"/>
      <c r="G143" s="249"/>
      <c r="H143" s="249"/>
      <c r="I143" s="249"/>
      <c r="J143" s="249"/>
      <c r="K143" s="249"/>
      <c r="L143" s="249"/>
      <c r="M143" s="249"/>
      <c r="N143" s="249"/>
      <c r="O143" s="249"/>
      <c r="P143" s="249"/>
      <c r="Q143" s="249"/>
      <c r="R143" s="249"/>
      <c r="S143" s="249"/>
      <c r="T143" s="249"/>
      <c r="U143" s="249"/>
      <c r="V143" s="249"/>
      <c r="W143" s="249">
        <f>$V120/12*W$126/V$23/2</f>
        <v>0.2</v>
      </c>
      <c r="X143" s="249">
        <f>$V120/12*X$126/W$23</f>
        <v>0.4</v>
      </c>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row>
    <row r="144" spans="1:59" ht="14.25" customHeight="1">
      <c r="A144" s="240">
        <v>45930</v>
      </c>
      <c r="B144" s="63" t="s">
        <v>40</v>
      </c>
      <c r="C144" s="234"/>
      <c r="D144" s="249"/>
      <c r="E144" s="249"/>
      <c r="F144" s="249"/>
      <c r="G144" s="249"/>
      <c r="H144" s="249"/>
      <c r="I144" s="249"/>
      <c r="J144" s="249"/>
      <c r="K144" s="249"/>
      <c r="L144" s="249"/>
      <c r="M144" s="249"/>
      <c r="N144" s="249"/>
      <c r="O144" s="249"/>
      <c r="P144" s="249"/>
      <c r="Q144" s="249"/>
      <c r="R144" s="249"/>
      <c r="S144" s="249"/>
      <c r="T144" s="249"/>
      <c r="U144" s="249"/>
      <c r="V144" s="249"/>
      <c r="W144" s="249"/>
      <c r="X144" s="249">
        <f>$W120/12*X$126/W$23/2</f>
        <v>0.2</v>
      </c>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row>
    <row r="145" spans="1:18" ht="14.25" customHeight="1">
      <c r="D145" s="234"/>
      <c r="E145" s="234"/>
      <c r="F145" s="234"/>
      <c r="G145" s="234"/>
      <c r="H145" s="234"/>
      <c r="I145" s="234"/>
      <c r="J145" s="234"/>
      <c r="K145" s="234"/>
      <c r="L145" s="234"/>
      <c r="M145" s="234"/>
      <c r="N145" s="234"/>
      <c r="O145" s="234"/>
      <c r="P145" s="234"/>
      <c r="Q145" s="234"/>
      <c r="R145" s="234"/>
    </row>
    <row r="146" spans="1:18" ht="14.25" customHeight="1">
      <c r="C146" s="269" t="s">
        <v>286</v>
      </c>
      <c r="D146" s="245">
        <v>39538</v>
      </c>
      <c r="E146" s="245">
        <v>39721</v>
      </c>
      <c r="F146" s="245">
        <v>40086</v>
      </c>
      <c r="G146" s="245">
        <v>40268</v>
      </c>
      <c r="H146" s="245">
        <v>40451</v>
      </c>
      <c r="I146" s="245">
        <v>40816</v>
      </c>
      <c r="J146" s="245">
        <v>41182</v>
      </c>
      <c r="K146" s="245">
        <v>41547</v>
      </c>
      <c r="L146" s="245">
        <v>41912</v>
      </c>
      <c r="M146" s="245">
        <v>42277</v>
      </c>
      <c r="N146" s="245">
        <v>42643</v>
      </c>
      <c r="O146" s="245">
        <v>43008</v>
      </c>
      <c r="P146" s="245">
        <v>43373</v>
      </c>
      <c r="Q146" s="245">
        <v>43738</v>
      </c>
      <c r="R146" s="245">
        <v>44104</v>
      </c>
    </row>
    <row r="147" spans="1:18" ht="14.25" customHeight="1">
      <c r="C147" s="65" t="s">
        <v>11</v>
      </c>
      <c r="D147" s="245"/>
      <c r="E147" s="245"/>
      <c r="F147" s="245"/>
      <c r="G147" s="245"/>
      <c r="H147" s="245"/>
      <c r="I147" s="245"/>
      <c r="J147" s="245"/>
      <c r="K147" s="245"/>
      <c r="L147" s="245"/>
      <c r="M147" s="245"/>
      <c r="N147" s="245"/>
      <c r="O147" s="245"/>
      <c r="P147" s="245"/>
      <c r="Q147" s="245"/>
      <c r="R147" s="245"/>
    </row>
    <row r="148" spans="1:18" ht="14.25" customHeight="1">
      <c r="A148" s="65" t="s">
        <v>265</v>
      </c>
      <c r="B148" s="272" t="s">
        <v>40</v>
      </c>
      <c r="C148" s="234" t="s">
        <v>218</v>
      </c>
      <c r="D148" s="236"/>
      <c r="E148" s="236"/>
      <c r="F148" s="236"/>
      <c r="G148" s="236"/>
      <c r="H148" s="236">
        <f t="shared" ref="H148:R148" si="23">SUM(I129:I139)</f>
        <v>0</v>
      </c>
      <c r="I148" s="236">
        <f t="shared" si="23"/>
        <v>29.081858168761219</v>
      </c>
      <c r="J148" s="236">
        <f t="shared" si="23"/>
        <v>87.24557450628366</v>
      </c>
      <c r="K148" s="236">
        <f t="shared" si="23"/>
        <v>116.32743267504488</v>
      </c>
      <c r="L148" s="236">
        <f t="shared" si="23"/>
        <v>116.32743267504488</v>
      </c>
      <c r="M148" s="236">
        <f t="shared" si="23"/>
        <v>116.32743267504488</v>
      </c>
      <c r="N148" s="236">
        <f t="shared" si="23"/>
        <v>118.24469357787576</v>
      </c>
      <c r="O148" s="236">
        <f t="shared" si="23"/>
        <v>120.40763814663426</v>
      </c>
      <c r="P148" s="236">
        <f t="shared" si="23"/>
        <v>120.80873475500015</v>
      </c>
      <c r="Q148" s="236">
        <f t="shared" si="23"/>
        <v>121.31016782235172</v>
      </c>
      <c r="R148" s="236">
        <f t="shared" si="23"/>
        <v>124.40893914343722</v>
      </c>
    </row>
    <row r="149" spans="1:18" ht="14.25" customHeight="1"/>
    <row r="150" spans="1:18" ht="14.25" customHeight="1"/>
    <row r="151" spans="1:18" ht="14.25" customHeight="1">
      <c r="A151" s="65" t="s">
        <v>306</v>
      </c>
      <c r="B151" s="65" t="s">
        <v>10</v>
      </c>
      <c r="C151" s="269" t="s">
        <v>286</v>
      </c>
      <c r="D151" s="245">
        <v>44469</v>
      </c>
      <c r="E151" s="245">
        <v>44834</v>
      </c>
      <c r="F151" s="245">
        <v>45199</v>
      </c>
      <c r="G151" s="245">
        <v>45565</v>
      </c>
      <c r="H151" s="245">
        <v>45930</v>
      </c>
    </row>
    <row r="152" spans="1:18" ht="14.25" customHeight="1">
      <c r="A152" s="65"/>
      <c r="B152" s="65"/>
      <c r="C152" s="65" t="s">
        <v>11</v>
      </c>
      <c r="D152" s="245"/>
      <c r="E152" s="245"/>
      <c r="F152" s="245"/>
      <c r="G152" s="245"/>
      <c r="H152" s="245"/>
    </row>
    <row r="153" spans="1:18" ht="14.25" customHeight="1">
      <c r="A153" s="63" t="s">
        <v>288</v>
      </c>
      <c r="B153" s="272" t="s">
        <v>40</v>
      </c>
      <c r="C153" s="234" t="s">
        <v>54</v>
      </c>
      <c r="D153" s="236">
        <f>SUM(T129:T139)</f>
        <v>144.22472355019104</v>
      </c>
      <c r="E153" s="236">
        <f>SUM(U129:U139)</f>
        <v>144.22472355019104</v>
      </c>
      <c r="F153" s="236">
        <f>SUM(V129:V139)</f>
        <v>144.22472355019104</v>
      </c>
      <c r="G153" s="236">
        <f>SUM(W129:W139)</f>
        <v>144.22472355019104</v>
      </c>
      <c r="H153" s="236">
        <f>SUM(X129:X139)</f>
        <v>144.22472355019104</v>
      </c>
    </row>
    <row r="154" spans="1:18" ht="14.25" customHeight="1">
      <c r="A154" s="63" t="s">
        <v>289</v>
      </c>
      <c r="B154" s="272" t="s">
        <v>40</v>
      </c>
      <c r="C154" s="234" t="s">
        <v>54</v>
      </c>
      <c r="D154" s="236">
        <f>SUM(T140:T144)</f>
        <v>0.95</v>
      </c>
      <c r="E154" s="236">
        <f>SUM(U140:U144)</f>
        <v>2.8499999999999996</v>
      </c>
      <c r="F154" s="236">
        <f>SUM(V140:V144)</f>
        <v>4</v>
      </c>
      <c r="G154" s="236">
        <f>SUM(W140:W144)</f>
        <v>4.4000000000000004</v>
      </c>
      <c r="H154" s="236">
        <f>SUM(X140:X144)</f>
        <v>4.8000000000000007</v>
      </c>
    </row>
    <row r="155" spans="1:18" ht="14.25" customHeight="1">
      <c r="A155" s="65" t="s">
        <v>307</v>
      </c>
      <c r="B155" s="272" t="s">
        <v>40</v>
      </c>
      <c r="C155" s="234" t="s">
        <v>54</v>
      </c>
      <c r="D155" s="236">
        <f>D153+D154</f>
        <v>145.17472355019103</v>
      </c>
      <c r="E155" s="236">
        <f t="shared" ref="E155:H155" si="24">E153+E154</f>
        <v>147.07472355019104</v>
      </c>
      <c r="F155" s="236">
        <f t="shared" si="24"/>
        <v>148.22472355019104</v>
      </c>
      <c r="G155" s="236">
        <f t="shared" si="24"/>
        <v>148.62472355019105</v>
      </c>
      <c r="H155" s="236">
        <f t="shared" si="24"/>
        <v>149.02472355019106</v>
      </c>
    </row>
    <row r="156" spans="1:18" ht="14.25" customHeight="1">
      <c r="A156" s="65"/>
      <c r="B156" s="272"/>
      <c r="C156" s="234"/>
      <c r="D156" s="236"/>
      <c r="E156" s="236"/>
      <c r="F156" s="236"/>
      <c r="G156" s="236"/>
      <c r="H156" s="236"/>
    </row>
    <row r="157" spans="1:18" ht="14.25" customHeight="1"/>
    <row r="158" spans="1:18" ht="18" customHeight="1">
      <c r="A158" s="267" t="s">
        <v>308</v>
      </c>
      <c r="B158" s="268"/>
    </row>
    <row r="159" spans="1:18">
      <c r="A159" s="65"/>
      <c r="C159" s="269" t="s">
        <v>286</v>
      </c>
      <c r="D159" s="245">
        <v>39538</v>
      </c>
      <c r="E159" s="245">
        <v>39721</v>
      </c>
      <c r="F159" s="245">
        <v>40086</v>
      </c>
      <c r="G159" s="245">
        <v>40268</v>
      </c>
      <c r="H159" s="245">
        <v>40451</v>
      </c>
      <c r="I159" s="245">
        <v>40816</v>
      </c>
      <c r="J159" s="245">
        <v>41182</v>
      </c>
      <c r="K159" s="245">
        <v>41547</v>
      </c>
      <c r="L159" s="245">
        <v>41912</v>
      </c>
      <c r="M159" s="245">
        <v>42277</v>
      </c>
      <c r="N159" s="245">
        <v>42643</v>
      </c>
      <c r="O159" s="245">
        <v>43008</v>
      </c>
      <c r="P159" s="245">
        <v>43373</v>
      </c>
      <c r="Q159" s="245">
        <v>43738</v>
      </c>
      <c r="R159" s="245">
        <v>44104</v>
      </c>
    </row>
    <row r="160" spans="1:18">
      <c r="A160" s="65"/>
      <c r="B160" s="65" t="s">
        <v>10</v>
      </c>
      <c r="C160" s="65" t="s">
        <v>11</v>
      </c>
      <c r="D160" s="245"/>
      <c r="E160" s="245"/>
      <c r="F160" s="245"/>
      <c r="G160" s="245"/>
      <c r="H160" s="245"/>
      <c r="I160" s="245"/>
      <c r="J160" s="245"/>
      <c r="K160" s="245"/>
      <c r="L160" s="245"/>
      <c r="M160" s="245"/>
      <c r="N160" s="245"/>
      <c r="O160" s="245"/>
      <c r="P160" s="245"/>
      <c r="Q160" s="245"/>
      <c r="R160" s="245"/>
    </row>
    <row r="161" spans="1:18">
      <c r="A161" s="63" t="s">
        <v>39</v>
      </c>
      <c r="B161" s="272" t="s">
        <v>40</v>
      </c>
      <c r="C161" s="234" t="s">
        <v>218</v>
      </c>
      <c r="D161" s="236"/>
      <c r="E161" s="236"/>
      <c r="F161" s="236"/>
      <c r="G161" s="236"/>
      <c r="H161" s="236"/>
      <c r="I161" s="236"/>
      <c r="J161" s="236"/>
      <c r="K161" s="236"/>
      <c r="L161" s="236"/>
      <c r="M161" s="236"/>
      <c r="N161" s="236"/>
      <c r="O161" s="236"/>
      <c r="P161" s="236"/>
      <c r="Q161" s="236">
        <f>'RAB inputs'!G39</f>
        <v>1700</v>
      </c>
      <c r="R161" s="236">
        <f>Q163</f>
        <v>850</v>
      </c>
    </row>
    <row r="162" spans="1:18">
      <c r="A162" s="63" t="s">
        <v>61</v>
      </c>
      <c r="B162" s="272" t="s">
        <v>40</v>
      </c>
      <c r="C162" s="234" t="s">
        <v>218</v>
      </c>
      <c r="D162" s="236"/>
      <c r="E162" s="236"/>
      <c r="F162" s="236"/>
      <c r="G162" s="236"/>
      <c r="H162" s="236"/>
      <c r="I162" s="236"/>
      <c r="J162" s="236"/>
      <c r="K162" s="236"/>
      <c r="L162" s="236"/>
      <c r="M162" s="236"/>
      <c r="N162" s="236"/>
      <c r="O162" s="236"/>
      <c r="P162" s="236"/>
      <c r="Q162" s="236">
        <f>'RAB inputs'!G40</f>
        <v>850</v>
      </c>
      <c r="R162" s="236">
        <f>'RAB inputs'!H40</f>
        <v>850</v>
      </c>
    </row>
    <row r="163" spans="1:18">
      <c r="A163" s="63" t="s">
        <v>45</v>
      </c>
      <c r="B163" s="272" t="s">
        <v>40</v>
      </c>
      <c r="C163" s="234" t="s">
        <v>218</v>
      </c>
      <c r="D163" s="236"/>
      <c r="E163" s="236"/>
      <c r="F163" s="236"/>
      <c r="G163" s="236"/>
      <c r="H163" s="236"/>
      <c r="I163" s="236"/>
      <c r="J163" s="236"/>
      <c r="K163" s="236"/>
      <c r="L163" s="236"/>
      <c r="M163" s="236"/>
      <c r="N163" s="236"/>
      <c r="O163" s="236"/>
      <c r="P163" s="236"/>
      <c r="Q163" s="236">
        <f>Q161-Q162</f>
        <v>850</v>
      </c>
      <c r="R163" s="236">
        <f>R161-R162</f>
        <v>0</v>
      </c>
    </row>
    <row r="164" spans="1:18">
      <c r="A164" s="63" t="s">
        <v>46</v>
      </c>
      <c r="B164" s="272" t="s">
        <v>40</v>
      </c>
      <c r="C164" s="234" t="s">
        <v>218</v>
      </c>
      <c r="D164" s="236"/>
      <c r="E164" s="236"/>
      <c r="F164" s="236"/>
      <c r="G164" s="236"/>
      <c r="H164" s="236"/>
      <c r="I164" s="236"/>
      <c r="J164" s="236"/>
      <c r="K164" s="236"/>
      <c r="L164" s="236"/>
      <c r="M164" s="236"/>
      <c r="N164" s="236"/>
      <c r="O164" s="236"/>
      <c r="P164" s="236"/>
      <c r="Q164" s="236">
        <f>(Q161+Q163)/2</f>
        <v>1275</v>
      </c>
      <c r="R164" s="236">
        <f>(R161+R163)/2</f>
        <v>425</v>
      </c>
    </row>
    <row r="167" spans="1:18" ht="18">
      <c r="A167" s="267" t="s">
        <v>266</v>
      </c>
      <c r="B167" s="268"/>
    </row>
    <row r="168" spans="1:18">
      <c r="C168" s="269" t="s">
        <v>286</v>
      </c>
      <c r="D168" s="245">
        <v>39538</v>
      </c>
      <c r="E168" s="245">
        <v>39721</v>
      </c>
      <c r="F168" s="245">
        <v>40086</v>
      </c>
      <c r="G168" s="245">
        <v>40268</v>
      </c>
      <c r="H168" s="245">
        <v>40451</v>
      </c>
      <c r="I168" s="245">
        <v>40816</v>
      </c>
      <c r="J168" s="245">
        <v>41182</v>
      </c>
      <c r="K168" s="245">
        <v>41547</v>
      </c>
      <c r="L168" s="245">
        <v>41912</v>
      </c>
      <c r="M168" s="245">
        <v>42277</v>
      </c>
      <c r="N168" s="245">
        <v>42643</v>
      </c>
      <c r="O168" s="245">
        <v>43008</v>
      </c>
      <c r="P168" s="245">
        <v>43373</v>
      </c>
      <c r="Q168" s="245">
        <v>43738</v>
      </c>
      <c r="R168" s="245">
        <v>44104</v>
      </c>
    </row>
    <row r="169" spans="1:18">
      <c r="A169" s="65" t="s">
        <v>339</v>
      </c>
      <c r="B169" s="65" t="s">
        <v>10</v>
      </c>
      <c r="C169" s="65" t="s">
        <v>11</v>
      </c>
      <c r="D169" s="245"/>
      <c r="E169" s="245"/>
      <c r="F169" s="245"/>
      <c r="G169" s="245"/>
      <c r="H169" s="245"/>
      <c r="I169" s="245"/>
      <c r="J169" s="245"/>
      <c r="K169" s="245"/>
      <c r="L169" s="245"/>
      <c r="M169" s="245"/>
      <c r="N169" s="245"/>
      <c r="O169" s="245"/>
      <c r="P169" s="245"/>
      <c r="Q169" s="245"/>
      <c r="R169" s="245"/>
    </row>
    <row r="170" spans="1:18">
      <c r="A170" s="63" t="s">
        <v>39</v>
      </c>
      <c r="B170" s="272" t="s">
        <v>40</v>
      </c>
      <c r="C170" s="234" t="s">
        <v>218</v>
      </c>
      <c r="D170" s="236">
        <f>'RAB inputs'!D5</f>
        <v>16552.87475049901</v>
      </c>
      <c r="E170" s="236">
        <f t="shared" ref="E170:M170" si="25">D174</f>
        <v>17894.307474871937</v>
      </c>
      <c r="F170" s="236">
        <f t="shared" si="25"/>
        <v>18160.370710177893</v>
      </c>
      <c r="G170" s="236">
        <f t="shared" si="25"/>
        <v>19514.847844406802</v>
      </c>
      <c r="H170" s="236">
        <f t="shared" si="25"/>
        <v>21284.341637978705</v>
      </c>
      <c r="I170" s="236">
        <f t="shared" si="25"/>
        <v>20635.531193930885</v>
      </c>
      <c r="J170" s="236">
        <f t="shared" si="25"/>
        <v>18126.835687343329</v>
      </c>
      <c r="K170" s="236">
        <f t="shared" si="25"/>
        <v>15821.779178736026</v>
      </c>
      <c r="L170" s="236">
        <f t="shared" si="25"/>
        <v>12329.246935164629</v>
      </c>
      <c r="M170" s="236">
        <f t="shared" si="25"/>
        <v>10028.13552866684</v>
      </c>
      <c r="N170" s="236">
        <f>H170+SUM(H171:M171)-SUM(H101:M101)</f>
        <v>6430.8787563701262</v>
      </c>
      <c r="O170" s="236">
        <f>N174</f>
        <v>3617.8673989805111</v>
      </c>
      <c r="P170" s="236">
        <f>O174</f>
        <v>2945.1322879788631</v>
      </c>
      <c r="Q170" s="236">
        <f>P174</f>
        <v>2436.1198890162023</v>
      </c>
      <c r="R170" s="236">
        <f>Q174</f>
        <v>2462.6460007085125</v>
      </c>
    </row>
    <row r="171" spans="1:18">
      <c r="A171" s="63" t="s">
        <v>85</v>
      </c>
      <c r="B171" s="272" t="s">
        <v>40</v>
      </c>
      <c r="C171" s="234" t="s">
        <v>218</v>
      </c>
      <c r="D171" s="236">
        <f t="shared" ref="D171:R171" si="26">SUM(D55:D57)</f>
        <v>2116.7832446290081</v>
      </c>
      <c r="E171" s="236">
        <f t="shared" si="26"/>
        <v>1262.6801421709006</v>
      </c>
      <c r="F171" s="236">
        <f t="shared" si="26"/>
        <v>3654.6519071999674</v>
      </c>
      <c r="G171" s="236">
        <f t="shared" si="26"/>
        <v>3035.1734247186259</v>
      </c>
      <c r="H171" s="236">
        <f t="shared" si="26"/>
        <v>1047.8191202872531</v>
      </c>
      <c r="I171" s="236">
        <f t="shared" si="26"/>
        <v>1013.3891382405744</v>
      </c>
      <c r="J171" s="236">
        <f t="shared" si="26"/>
        <v>1365.722621184919</v>
      </c>
      <c r="K171" s="236">
        <f t="shared" si="26"/>
        <v>281.17818671454216</v>
      </c>
      <c r="L171" s="236">
        <f t="shared" si="26"/>
        <v>1589.5175044883301</v>
      </c>
      <c r="M171" s="236">
        <f t="shared" si="26"/>
        <v>418.89811490125669</v>
      </c>
      <c r="N171" s="236">
        <f t="shared" si="26"/>
        <v>0</v>
      </c>
      <c r="O171" s="236">
        <f t="shared" si="26"/>
        <v>0</v>
      </c>
      <c r="P171" s="236">
        <f t="shared" si="26"/>
        <v>0</v>
      </c>
      <c r="Q171" s="236">
        <f t="shared" si="26"/>
        <v>0</v>
      </c>
      <c r="R171" s="236">
        <f t="shared" si="26"/>
        <v>0</v>
      </c>
    </row>
    <row r="172" spans="1:18">
      <c r="A172" s="63" t="s">
        <v>263</v>
      </c>
      <c r="B172" s="272" t="s">
        <v>40</v>
      </c>
      <c r="C172" s="234" t="s">
        <v>218</v>
      </c>
      <c r="D172" s="236"/>
      <c r="E172" s="236"/>
      <c r="F172" s="236"/>
      <c r="G172" s="236"/>
      <c r="H172" s="236"/>
      <c r="I172" s="236"/>
      <c r="J172" s="236"/>
      <c r="K172" s="236"/>
      <c r="L172" s="236"/>
      <c r="M172" s="236"/>
      <c r="N172" s="236">
        <f>N63</f>
        <v>1161.5558530986993</v>
      </c>
      <c r="O172" s="236">
        <f>O63</f>
        <v>1011.59859571323</v>
      </c>
      <c r="P172" s="236">
        <f>P63</f>
        <v>714.96585627457989</v>
      </c>
      <c r="Q172" s="236">
        <f>Q63</f>
        <v>1144.9293199167246</v>
      </c>
      <c r="R172" s="236">
        <f>R63</f>
        <v>1702.7770334928227</v>
      </c>
    </row>
    <row r="173" spans="1:18">
      <c r="A173" s="63" t="s">
        <v>267</v>
      </c>
      <c r="B173" s="272" t="s">
        <v>40</v>
      </c>
      <c r="C173" s="234" t="s">
        <v>218</v>
      </c>
      <c r="D173" s="236">
        <f t="shared" ref="D173:M173" si="27">D101</f>
        <v>775.35052025608229</v>
      </c>
      <c r="E173" s="236">
        <f t="shared" si="27"/>
        <v>996.61690686494535</v>
      </c>
      <c r="F173" s="236">
        <f t="shared" si="27"/>
        <v>2300.1747729710587</v>
      </c>
      <c r="G173" s="236">
        <f t="shared" si="27"/>
        <v>1265.6796311467238</v>
      </c>
      <c r="H173" s="236">
        <f t="shared" si="27"/>
        <v>1696.6295643350707</v>
      </c>
      <c r="I173" s="236">
        <f t="shared" si="27"/>
        <v>3522.08464482813</v>
      </c>
      <c r="J173" s="236">
        <f t="shared" si="27"/>
        <v>3670.7791297922236</v>
      </c>
      <c r="K173" s="236">
        <f t="shared" si="27"/>
        <v>3773.7104302859398</v>
      </c>
      <c r="L173" s="236">
        <f t="shared" si="27"/>
        <v>3890.6289109861195</v>
      </c>
      <c r="M173" s="236">
        <f t="shared" si="27"/>
        <v>4016.1548871979685</v>
      </c>
      <c r="N173" s="236">
        <f>N101</f>
        <v>3974.5672104883142</v>
      </c>
      <c r="O173" s="236">
        <f>O101</f>
        <v>1684.3337067148777</v>
      </c>
      <c r="P173" s="236">
        <f>P101</f>
        <v>1223.9782552372408</v>
      </c>
      <c r="Q173" s="236">
        <f>Q101</f>
        <v>1118.4032082244141</v>
      </c>
      <c r="R173" s="236">
        <f>R101</f>
        <v>1054.3550879549564</v>
      </c>
    </row>
    <row r="174" spans="1:18">
      <c r="A174" s="63" t="s">
        <v>45</v>
      </c>
      <c r="B174" s="272" t="s">
        <v>40</v>
      </c>
      <c r="C174" s="234" t="s">
        <v>218</v>
      </c>
      <c r="D174" s="236">
        <f>D170+D171+D172-D173</f>
        <v>17894.307474871937</v>
      </c>
      <c r="E174" s="236">
        <f t="shared" ref="E174:R174" si="28">E170+E171+E172-E173</f>
        <v>18160.370710177893</v>
      </c>
      <c r="F174" s="236">
        <f t="shared" si="28"/>
        <v>19514.847844406802</v>
      </c>
      <c r="G174" s="236">
        <f t="shared" si="28"/>
        <v>21284.341637978705</v>
      </c>
      <c r="H174" s="236">
        <f t="shared" si="28"/>
        <v>20635.531193930885</v>
      </c>
      <c r="I174" s="236">
        <f t="shared" si="28"/>
        <v>18126.835687343329</v>
      </c>
      <c r="J174" s="236">
        <f t="shared" si="28"/>
        <v>15821.779178736026</v>
      </c>
      <c r="K174" s="236">
        <f t="shared" si="28"/>
        <v>12329.246935164629</v>
      </c>
      <c r="L174" s="236">
        <f t="shared" si="28"/>
        <v>10028.13552866684</v>
      </c>
      <c r="M174" s="236">
        <f t="shared" si="28"/>
        <v>6430.878756370128</v>
      </c>
      <c r="N174" s="236">
        <f t="shared" si="28"/>
        <v>3617.8673989805111</v>
      </c>
      <c r="O174" s="236">
        <f t="shared" si="28"/>
        <v>2945.1322879788631</v>
      </c>
      <c r="P174" s="236">
        <f t="shared" si="28"/>
        <v>2436.1198890162023</v>
      </c>
      <c r="Q174" s="236">
        <f t="shared" si="28"/>
        <v>2462.6460007085125</v>
      </c>
      <c r="R174" s="236">
        <f t="shared" si="28"/>
        <v>3111.0679462463786</v>
      </c>
    </row>
    <row r="175" spans="1:18">
      <c r="A175" s="63" t="s">
        <v>46</v>
      </c>
      <c r="B175" s="272" t="s">
        <v>40</v>
      </c>
      <c r="C175" s="234" t="s">
        <v>218</v>
      </c>
      <c r="D175" s="236">
        <f t="shared" ref="D175:R175" si="29">(D170+D174)/2</f>
        <v>17223.591112685473</v>
      </c>
      <c r="E175" s="236">
        <f t="shared" si="29"/>
        <v>18027.339092524915</v>
      </c>
      <c r="F175" s="236">
        <f t="shared" si="29"/>
        <v>18837.609277292348</v>
      </c>
      <c r="G175" s="236">
        <f t="shared" si="29"/>
        <v>20399.594741192755</v>
      </c>
      <c r="H175" s="236">
        <f t="shared" si="29"/>
        <v>20959.936415954795</v>
      </c>
      <c r="I175" s="236">
        <f t="shared" si="29"/>
        <v>19381.183440637105</v>
      </c>
      <c r="J175" s="236">
        <f t="shared" si="29"/>
        <v>16974.307433039678</v>
      </c>
      <c r="K175" s="236">
        <f t="shared" si="29"/>
        <v>14075.513056950327</v>
      </c>
      <c r="L175" s="236">
        <f t="shared" si="29"/>
        <v>11178.691231915735</v>
      </c>
      <c r="M175" s="236">
        <f t="shared" si="29"/>
        <v>8229.5071425184833</v>
      </c>
      <c r="N175" s="236">
        <f t="shared" si="29"/>
        <v>5024.3730776753182</v>
      </c>
      <c r="O175" s="236">
        <f t="shared" si="29"/>
        <v>3281.4998434796871</v>
      </c>
      <c r="P175" s="236">
        <f t="shared" si="29"/>
        <v>2690.6260884975327</v>
      </c>
      <c r="Q175" s="236">
        <f t="shared" si="29"/>
        <v>2449.3829448623574</v>
      </c>
      <c r="R175" s="236">
        <f t="shared" si="29"/>
        <v>2786.8569734774455</v>
      </c>
    </row>
    <row r="177" spans="1:18">
      <c r="C177" s="269" t="s">
        <v>286</v>
      </c>
      <c r="D177" s="245">
        <v>39538</v>
      </c>
      <c r="E177" s="245">
        <v>39721</v>
      </c>
      <c r="F177" s="245">
        <v>40086</v>
      </c>
      <c r="G177" s="245">
        <v>40268</v>
      </c>
      <c r="H177" s="245">
        <v>40451</v>
      </c>
      <c r="I177" s="245">
        <v>40816</v>
      </c>
      <c r="J177" s="245">
        <v>41182</v>
      </c>
      <c r="K177" s="245">
        <v>41547</v>
      </c>
      <c r="L177" s="245">
        <v>41912</v>
      </c>
      <c r="M177" s="245">
        <v>42277</v>
      </c>
      <c r="N177" s="245">
        <v>42643</v>
      </c>
      <c r="O177" s="245">
        <v>43008</v>
      </c>
      <c r="P177" s="245">
        <v>43373</v>
      </c>
      <c r="Q177" s="245">
        <v>43738</v>
      </c>
      <c r="R177" s="245">
        <v>44104</v>
      </c>
    </row>
    <row r="178" spans="1:18">
      <c r="A178" s="65" t="s">
        <v>340</v>
      </c>
      <c r="B178" s="65" t="s">
        <v>10</v>
      </c>
      <c r="C178" s="65" t="s">
        <v>11</v>
      </c>
      <c r="D178" s="245"/>
      <c r="E178" s="245"/>
      <c r="F178" s="245"/>
      <c r="G178" s="245"/>
      <c r="H178" s="245"/>
      <c r="I178" s="245"/>
      <c r="J178" s="245"/>
      <c r="K178" s="245"/>
      <c r="L178" s="245"/>
      <c r="M178" s="245"/>
      <c r="N178" s="245"/>
      <c r="O178" s="245"/>
      <c r="P178" s="245"/>
      <c r="Q178" s="245"/>
      <c r="R178" s="245"/>
    </row>
    <row r="179" spans="1:18">
      <c r="A179" s="63" t="s">
        <v>39</v>
      </c>
      <c r="B179" s="272" t="s">
        <v>40</v>
      </c>
      <c r="C179" s="234" t="s">
        <v>218</v>
      </c>
      <c r="D179" s="236"/>
      <c r="E179" s="236"/>
      <c r="F179" s="236"/>
      <c r="G179" s="236"/>
      <c r="H179" s="236">
        <f>'RAB inputs'!D24</f>
        <v>0</v>
      </c>
      <c r="I179" s="236">
        <f>H183</f>
        <v>0</v>
      </c>
      <c r="J179" s="236">
        <f>I183</f>
        <v>1425.0110502692996</v>
      </c>
      <c r="K179" s="236">
        <f>J183</f>
        <v>2791.8583842010771</v>
      </c>
      <c r="L179" s="236">
        <f>K183</f>
        <v>2675.5309515260324</v>
      </c>
      <c r="M179" s="236">
        <f>L183</f>
        <v>2559.2035188509876</v>
      </c>
      <c r="N179" s="236">
        <f>H179+SUM(H180:M180)-SUM(H148:M148)</f>
        <v>2442.8760861759424</v>
      </c>
      <c r="O179" s="236">
        <f>N183</f>
        <v>2420.4944377396123</v>
      </c>
      <c r="P179" s="236">
        <f>O183</f>
        <v>2312.3709828893566</v>
      </c>
      <c r="Q179" s="236">
        <f>P183</f>
        <v>2199.3328952562729</v>
      </c>
      <c r="R179" s="236">
        <f>Q183</f>
        <v>2095.3237336795842</v>
      </c>
    </row>
    <row r="180" spans="1:18">
      <c r="A180" s="63" t="s">
        <v>85</v>
      </c>
      <c r="B180" s="272" t="s">
        <v>40</v>
      </c>
      <c r="C180" s="234" t="s">
        <v>218</v>
      </c>
      <c r="D180" s="236"/>
      <c r="E180" s="236"/>
      <c r="F180" s="236"/>
      <c r="G180" s="236"/>
      <c r="H180" s="236">
        <f t="shared" ref="H180:M180" si="30">H113</f>
        <v>0</v>
      </c>
      <c r="I180" s="236">
        <f t="shared" si="30"/>
        <v>1454.0929084380609</v>
      </c>
      <c r="J180" s="236">
        <f t="shared" si="30"/>
        <v>1454.0929084380609</v>
      </c>
      <c r="K180" s="236">
        <f t="shared" si="30"/>
        <v>0</v>
      </c>
      <c r="L180" s="236">
        <f t="shared" si="30"/>
        <v>0</v>
      </c>
      <c r="M180" s="236">
        <f t="shared" si="30"/>
        <v>0</v>
      </c>
      <c r="N180" s="236">
        <f>N113+D47</f>
        <v>0</v>
      </c>
      <c r="O180" s="236">
        <f>O113+E47</f>
        <v>0</v>
      </c>
      <c r="P180" s="236">
        <f>P113+F47</f>
        <v>0</v>
      </c>
      <c r="Q180" s="236">
        <f>Q113+G47</f>
        <v>0</v>
      </c>
      <c r="R180" s="236">
        <f>R113+H47</f>
        <v>0</v>
      </c>
    </row>
    <row r="181" spans="1:18">
      <c r="A181" s="63" t="s">
        <v>263</v>
      </c>
      <c r="B181" s="272" t="s">
        <v>40</v>
      </c>
      <c r="C181" s="234" t="s">
        <v>218</v>
      </c>
      <c r="D181" s="236"/>
      <c r="E181" s="236"/>
      <c r="F181" s="236"/>
      <c r="G181" s="236"/>
      <c r="H181" s="236"/>
      <c r="I181" s="236"/>
      <c r="J181" s="236"/>
      <c r="K181" s="236"/>
      <c r="L181" s="236"/>
      <c r="M181" s="236"/>
      <c r="N181" s="236">
        <f>D49</f>
        <v>95.863045141545527</v>
      </c>
      <c r="O181" s="236">
        <f>E49</f>
        <v>12.284183296378417</v>
      </c>
      <c r="P181" s="236">
        <f>F49</f>
        <v>7.7706471219163387</v>
      </c>
      <c r="Q181" s="236">
        <f>G49</f>
        <v>17.301006245662734</v>
      </c>
      <c r="R181" s="236">
        <f>H49</f>
        <v>137.63755980861242</v>
      </c>
    </row>
    <row r="182" spans="1:18">
      <c r="A182" s="63" t="s">
        <v>267</v>
      </c>
      <c r="B182" s="272" t="s">
        <v>40</v>
      </c>
      <c r="C182" s="234" t="s">
        <v>218</v>
      </c>
      <c r="H182" s="236">
        <f t="shared" ref="H182:M182" si="31">H148</f>
        <v>0</v>
      </c>
      <c r="I182" s="236">
        <f t="shared" si="31"/>
        <v>29.081858168761219</v>
      </c>
      <c r="J182" s="236">
        <f t="shared" si="31"/>
        <v>87.24557450628366</v>
      </c>
      <c r="K182" s="236">
        <f t="shared" si="31"/>
        <v>116.32743267504488</v>
      </c>
      <c r="L182" s="236">
        <f t="shared" si="31"/>
        <v>116.32743267504488</v>
      </c>
      <c r="M182" s="236">
        <f t="shared" si="31"/>
        <v>116.32743267504488</v>
      </c>
      <c r="N182" s="236">
        <f>N148</f>
        <v>118.24469357787576</v>
      </c>
      <c r="O182" s="236">
        <f t="shared" ref="O182:R182" si="32">O148</f>
        <v>120.40763814663426</v>
      </c>
      <c r="P182" s="236">
        <f t="shared" si="32"/>
        <v>120.80873475500015</v>
      </c>
      <c r="Q182" s="236">
        <f t="shared" si="32"/>
        <v>121.31016782235172</v>
      </c>
      <c r="R182" s="236">
        <f t="shared" si="32"/>
        <v>124.40893914343722</v>
      </c>
    </row>
    <row r="183" spans="1:18">
      <c r="A183" s="63" t="s">
        <v>45</v>
      </c>
      <c r="B183" s="272" t="s">
        <v>40</v>
      </c>
      <c r="C183" s="234" t="s">
        <v>218</v>
      </c>
      <c r="D183" s="236"/>
      <c r="E183" s="236"/>
      <c r="F183" s="236"/>
      <c r="G183" s="236"/>
      <c r="H183" s="236">
        <f>H179+H180+H181-H182</f>
        <v>0</v>
      </c>
      <c r="I183" s="236">
        <f t="shared" ref="I183:R183" si="33">I179+I180+I181-I182</f>
        <v>1425.0110502692996</v>
      </c>
      <c r="J183" s="236">
        <f t="shared" si="33"/>
        <v>2791.8583842010771</v>
      </c>
      <c r="K183" s="236">
        <f t="shared" si="33"/>
        <v>2675.5309515260324</v>
      </c>
      <c r="L183" s="236">
        <f t="shared" si="33"/>
        <v>2559.2035188509876</v>
      </c>
      <c r="M183" s="236">
        <f t="shared" si="33"/>
        <v>2442.8760861759429</v>
      </c>
      <c r="N183" s="236">
        <f t="shared" si="33"/>
        <v>2420.4944377396123</v>
      </c>
      <c r="O183" s="236">
        <f t="shared" si="33"/>
        <v>2312.3709828893566</v>
      </c>
      <c r="P183" s="236">
        <f t="shared" si="33"/>
        <v>2199.3328952562729</v>
      </c>
      <c r="Q183" s="236">
        <f t="shared" si="33"/>
        <v>2095.3237336795842</v>
      </c>
      <c r="R183" s="236">
        <f t="shared" si="33"/>
        <v>2108.5523543447594</v>
      </c>
    </row>
    <row r="184" spans="1:18">
      <c r="A184" s="63" t="s">
        <v>46</v>
      </c>
      <c r="B184" s="272" t="s">
        <v>40</v>
      </c>
      <c r="C184" s="234" t="s">
        <v>218</v>
      </c>
      <c r="D184" s="236"/>
      <c r="E184" s="236"/>
      <c r="F184" s="236"/>
      <c r="G184" s="236"/>
      <c r="H184" s="236">
        <f t="shared" ref="H184:R184" si="34">(H179+H183)/2</f>
        <v>0</v>
      </c>
      <c r="I184" s="236">
        <f t="shared" si="34"/>
        <v>712.50552513464982</v>
      </c>
      <c r="J184" s="236">
        <f t="shared" si="34"/>
        <v>2108.4347172351881</v>
      </c>
      <c r="K184" s="236">
        <f t="shared" si="34"/>
        <v>2733.694667863555</v>
      </c>
      <c r="L184" s="236">
        <f t="shared" si="34"/>
        <v>2617.3672351885098</v>
      </c>
      <c r="M184" s="236">
        <f t="shared" si="34"/>
        <v>2501.0398025134655</v>
      </c>
      <c r="N184" s="236">
        <f t="shared" si="34"/>
        <v>2431.6852619577776</v>
      </c>
      <c r="O184" s="236">
        <f t="shared" si="34"/>
        <v>2366.4327103144842</v>
      </c>
      <c r="P184" s="236">
        <f t="shared" si="34"/>
        <v>2255.8519390728147</v>
      </c>
      <c r="Q184" s="236">
        <f t="shared" si="34"/>
        <v>2147.3283144679285</v>
      </c>
      <c r="R184" s="236">
        <f t="shared" si="34"/>
        <v>2101.9380440121718</v>
      </c>
    </row>
    <row r="187" spans="1:18" ht="18">
      <c r="A187" s="267" t="s">
        <v>456</v>
      </c>
      <c r="B187" s="268"/>
    </row>
    <row r="189" spans="1:18" s="300" customFormat="1">
      <c r="A189" s="65" t="s">
        <v>458</v>
      </c>
    </row>
    <row r="190" spans="1:18" s="300" customFormat="1">
      <c r="A190" s="234" t="s">
        <v>343</v>
      </c>
      <c r="D190" s="281">
        <f>SUM(N173:R173)/(SUM(N173:R173)+SUM(N182:R182))</f>
        <v>0.93735725112849411</v>
      </c>
    </row>
    <row r="191" spans="1:18" s="300" customFormat="1">
      <c r="A191" s="234" t="s">
        <v>217</v>
      </c>
      <c r="D191" s="305">
        <f>1-D190</f>
        <v>6.2642748871505893E-2</v>
      </c>
    </row>
    <row r="192" spans="1:18" s="300" customFormat="1"/>
    <row r="193" spans="1:9">
      <c r="A193" s="65" t="s">
        <v>803</v>
      </c>
      <c r="B193" s="65" t="s">
        <v>10</v>
      </c>
      <c r="C193" s="65" t="s">
        <v>11</v>
      </c>
      <c r="D193" s="238" t="s">
        <v>0</v>
      </c>
      <c r="E193" s="238" t="s">
        <v>1</v>
      </c>
      <c r="F193" s="238" t="s">
        <v>2</v>
      </c>
      <c r="G193" s="238" t="s">
        <v>3</v>
      </c>
      <c r="H193" s="238" t="s">
        <v>4</v>
      </c>
      <c r="I193" s="238" t="s">
        <v>20</v>
      </c>
    </row>
    <row r="194" spans="1:9">
      <c r="A194" s="234" t="s">
        <v>343</v>
      </c>
      <c r="B194" s="272" t="s">
        <v>40</v>
      </c>
      <c r="C194" s="234" t="s">
        <v>218</v>
      </c>
      <c r="D194" s="236">
        <f>N64</f>
        <v>3999.2616251784443</v>
      </c>
      <c r="E194" s="236">
        <f t="shared" ref="E194:H194" si="35">O64</f>
        <v>1762.9726765238149</v>
      </c>
      <c r="F194" s="236">
        <f t="shared" si="35"/>
        <v>1363.870779847397</v>
      </c>
      <c r="G194" s="236">
        <f t="shared" si="35"/>
        <v>1312.7862152154398</v>
      </c>
      <c r="H194" s="236">
        <f t="shared" si="35"/>
        <v>1272.6674596050275</v>
      </c>
      <c r="I194" s="236">
        <f>SUM(D194:H194)</f>
        <v>9711.5587563701229</v>
      </c>
    </row>
    <row r="195" spans="1:9">
      <c r="A195" s="234" t="s">
        <v>217</v>
      </c>
      <c r="B195" s="272" t="s">
        <v>40</v>
      </c>
      <c r="C195" s="234" t="s">
        <v>218</v>
      </c>
      <c r="D195" s="236">
        <f>N117</f>
        <v>116.32743267504486</v>
      </c>
      <c r="E195" s="236">
        <f t="shared" ref="E195:H195" si="36">O117</f>
        <v>116.32743267504486</v>
      </c>
      <c r="F195" s="236">
        <f t="shared" si="36"/>
        <v>116.32743267504486</v>
      </c>
      <c r="G195" s="236">
        <f t="shared" si="36"/>
        <v>116.32743267504486</v>
      </c>
      <c r="H195" s="236">
        <f t="shared" si="36"/>
        <v>116.32743267504486</v>
      </c>
      <c r="I195" s="236">
        <f>SUM(D195:H195)</f>
        <v>581.6371633752243</v>
      </c>
    </row>
    <row r="196" spans="1:9" s="300" customFormat="1">
      <c r="A196" s="234" t="s">
        <v>460</v>
      </c>
      <c r="B196" s="272" t="s">
        <v>40</v>
      </c>
      <c r="C196" s="234" t="s">
        <v>218</v>
      </c>
      <c r="D196" s="236">
        <f>'RAB inputs'!D40</f>
        <v>0</v>
      </c>
      <c r="E196" s="236">
        <f>'RAB inputs'!E40</f>
        <v>0</v>
      </c>
      <c r="F196" s="236">
        <f>'RAB inputs'!F40</f>
        <v>0</v>
      </c>
      <c r="G196" s="236">
        <f>'RAB inputs'!G40</f>
        <v>850</v>
      </c>
      <c r="H196" s="236">
        <f>'RAB inputs'!H40</f>
        <v>850</v>
      </c>
      <c r="I196" s="236">
        <f>SUM(D196:H196)</f>
        <v>1700</v>
      </c>
    </row>
    <row r="198" spans="1:9">
      <c r="A198" s="65" t="s">
        <v>443</v>
      </c>
      <c r="D198" s="238" t="s">
        <v>0</v>
      </c>
      <c r="E198" s="238" t="s">
        <v>1</v>
      </c>
      <c r="F198" s="238" t="s">
        <v>2</v>
      </c>
      <c r="G198" s="238" t="s">
        <v>3</v>
      </c>
      <c r="H198" s="238" t="s">
        <v>4</v>
      </c>
      <c r="I198" s="238" t="s">
        <v>20</v>
      </c>
    </row>
    <row r="199" spans="1:9">
      <c r="A199" s="234" t="s">
        <v>343</v>
      </c>
      <c r="B199" s="272" t="s">
        <v>40</v>
      </c>
      <c r="C199" s="234" t="s">
        <v>218</v>
      </c>
      <c r="D199" s="236">
        <f>'RAB inputs'!$F$96*RAB!$D$190/$K$15</f>
        <v>1314.0362933793353</v>
      </c>
      <c r="E199" s="236">
        <f>'RAB inputs'!$F$96*RAB!$D$190/$K$15</f>
        <v>1314.0362933793353</v>
      </c>
      <c r="F199" s="236">
        <f>'RAB inputs'!$F$96*RAB!$D$190/$K$15</f>
        <v>1314.0362933793353</v>
      </c>
      <c r="G199" s="236">
        <f>'RAB inputs'!$F$96*RAB!$D$190/$K$15</f>
        <v>1314.0362933793353</v>
      </c>
      <c r="H199" s="236">
        <f>'RAB inputs'!$F$96*RAB!$D$190/$K$15</f>
        <v>1314.0362933793353</v>
      </c>
      <c r="I199" s="236">
        <f>SUM(D199:H199)</f>
        <v>6570.1814668966763</v>
      </c>
    </row>
    <row r="200" spans="1:9">
      <c r="A200" s="234" t="s">
        <v>217</v>
      </c>
      <c r="B200" s="272" t="s">
        <v>40</v>
      </c>
      <c r="C200" s="234" t="s">
        <v>218</v>
      </c>
      <c r="D200" s="236">
        <f>'RAB inputs'!$F$96*RAB!$D$191/$K$15</f>
        <v>87.815873227743694</v>
      </c>
      <c r="E200" s="236">
        <f>'RAB inputs'!$F$96*RAB!$D$191/$K$15</f>
        <v>87.815873227743694</v>
      </c>
      <c r="F200" s="236">
        <f>'RAB inputs'!$F$96*RAB!$D$191/$K$15</f>
        <v>87.815873227743694</v>
      </c>
      <c r="G200" s="236">
        <f>'RAB inputs'!$F$96*RAB!$D$191/$K$15</f>
        <v>87.815873227743694</v>
      </c>
      <c r="H200" s="236">
        <f>'RAB inputs'!$F$96*RAB!$D$191/$K$15</f>
        <v>87.815873227743694</v>
      </c>
      <c r="I200" s="236">
        <f>SUM(D200:H200)</f>
        <v>439.07936613871846</v>
      </c>
    </row>
    <row r="201" spans="1:9" s="300" customFormat="1">
      <c r="A201" s="234" t="s">
        <v>460</v>
      </c>
      <c r="B201" s="272" t="s">
        <v>40</v>
      </c>
      <c r="C201" s="234" t="s">
        <v>218</v>
      </c>
      <c r="D201" s="236">
        <f>D196</f>
        <v>0</v>
      </c>
      <c r="E201" s="236">
        <f t="shared" ref="E201:H201" si="37">E196</f>
        <v>0</v>
      </c>
      <c r="F201" s="236">
        <f t="shared" si="37"/>
        <v>0</v>
      </c>
      <c r="G201" s="236">
        <f t="shared" si="37"/>
        <v>850</v>
      </c>
      <c r="H201" s="236">
        <f t="shared" si="37"/>
        <v>850</v>
      </c>
      <c r="I201" s="236">
        <f>SUM(D201:H201)</f>
        <v>1700</v>
      </c>
    </row>
    <row r="203" spans="1:9">
      <c r="A203" s="65" t="s">
        <v>309</v>
      </c>
      <c r="D203" s="238" t="s">
        <v>0</v>
      </c>
      <c r="E203" s="238" t="s">
        <v>1</v>
      </c>
      <c r="F203" s="238" t="s">
        <v>2</v>
      </c>
      <c r="G203" s="238" t="s">
        <v>3</v>
      </c>
      <c r="H203" s="238" t="s">
        <v>4</v>
      </c>
      <c r="I203" s="238" t="s">
        <v>20</v>
      </c>
    </row>
    <row r="204" spans="1:9">
      <c r="A204" s="234" t="s">
        <v>343</v>
      </c>
      <c r="B204" s="272" t="s">
        <v>40</v>
      </c>
      <c r="C204" s="234" t="s">
        <v>218</v>
      </c>
      <c r="D204" s="236">
        <f>(D194-D199)*0.5</f>
        <v>1342.6126658995545</v>
      </c>
      <c r="E204" s="236">
        <f t="shared" ref="E204:H204" si="38">(E194-E199)*0.5</f>
        <v>224.46819157223979</v>
      </c>
      <c r="F204" s="236">
        <f t="shared" si="38"/>
        <v>24.917243234030821</v>
      </c>
      <c r="G204" s="236">
        <f t="shared" si="38"/>
        <v>-0.62503908194776159</v>
      </c>
      <c r="H204" s="236">
        <f t="shared" si="38"/>
        <v>-20.68441688715393</v>
      </c>
      <c r="I204" s="236">
        <f>SUM(D204:H204)</f>
        <v>1570.6886447367235</v>
      </c>
    </row>
    <row r="205" spans="1:9">
      <c r="A205" s="234" t="s">
        <v>217</v>
      </c>
      <c r="B205" s="272" t="s">
        <v>40</v>
      </c>
      <c r="C205" s="234" t="s">
        <v>218</v>
      </c>
      <c r="D205" s="236">
        <f t="shared" ref="D205:H206" si="39">(D195-D200)*0.5</f>
        <v>14.255779723650583</v>
      </c>
      <c r="E205" s="236">
        <f t="shared" si="39"/>
        <v>14.255779723650583</v>
      </c>
      <c r="F205" s="236">
        <f t="shared" si="39"/>
        <v>14.255779723650583</v>
      </c>
      <c r="G205" s="236">
        <f t="shared" si="39"/>
        <v>14.255779723650583</v>
      </c>
      <c r="H205" s="236">
        <f t="shared" si="39"/>
        <v>14.255779723650583</v>
      </c>
      <c r="I205" s="236">
        <f>SUM(D205:H205)</f>
        <v>71.278898618252924</v>
      </c>
    </row>
    <row r="206" spans="1:9" s="300" customFormat="1">
      <c r="A206" s="234" t="s">
        <v>460</v>
      </c>
      <c r="B206" s="272" t="s">
        <v>40</v>
      </c>
      <c r="C206" s="234" t="s">
        <v>218</v>
      </c>
      <c r="D206" s="236">
        <f t="shared" si="39"/>
        <v>0</v>
      </c>
      <c r="E206" s="236">
        <f t="shared" si="39"/>
        <v>0</v>
      </c>
      <c r="F206" s="236">
        <f t="shared" si="39"/>
        <v>0</v>
      </c>
      <c r="G206" s="236">
        <f t="shared" si="39"/>
        <v>0</v>
      </c>
      <c r="H206" s="236">
        <f t="shared" si="39"/>
        <v>0</v>
      </c>
      <c r="I206" s="236">
        <f>SUM(D206:H206)</f>
        <v>0</v>
      </c>
    </row>
    <row r="208" spans="1:9">
      <c r="A208" s="65" t="s">
        <v>450</v>
      </c>
      <c r="D208" s="238" t="s">
        <v>0</v>
      </c>
      <c r="E208" s="238" t="s">
        <v>1</v>
      </c>
      <c r="F208" s="238" t="s">
        <v>2</v>
      </c>
      <c r="G208" s="238" t="s">
        <v>3</v>
      </c>
      <c r="H208" s="238" t="s">
        <v>4</v>
      </c>
      <c r="I208" s="238" t="s">
        <v>20</v>
      </c>
    </row>
    <row r="209" spans="1:18">
      <c r="A209" s="234" t="s">
        <v>343</v>
      </c>
      <c r="B209" s="272" t="s">
        <v>40</v>
      </c>
      <c r="C209" s="234" t="s">
        <v>218</v>
      </c>
      <c r="D209" s="236">
        <f>D194-D204</f>
        <v>2656.6489592788898</v>
      </c>
      <c r="E209" s="236">
        <f t="shared" ref="E209:H209" si="40">E194-E204</f>
        <v>1538.5044849515753</v>
      </c>
      <c r="F209" s="236">
        <f t="shared" si="40"/>
        <v>1338.9535366133662</v>
      </c>
      <c r="G209" s="236">
        <f t="shared" si="40"/>
        <v>1313.4112542973876</v>
      </c>
      <c r="H209" s="236">
        <f t="shared" si="40"/>
        <v>1293.3518764921814</v>
      </c>
      <c r="I209" s="236">
        <f>SUM(D209:H209)</f>
        <v>8140.8701116333996</v>
      </c>
    </row>
    <row r="210" spans="1:18">
      <c r="A210" s="234" t="s">
        <v>217</v>
      </c>
      <c r="B210" s="272" t="s">
        <v>40</v>
      </c>
      <c r="C210" s="234" t="s">
        <v>218</v>
      </c>
      <c r="D210" s="236">
        <f>D195-D205</f>
        <v>102.07165295139427</v>
      </c>
      <c r="E210" s="236">
        <f t="shared" ref="E210:H210" si="41">E195-E205</f>
        <v>102.07165295139427</v>
      </c>
      <c r="F210" s="236">
        <f t="shared" si="41"/>
        <v>102.07165295139427</v>
      </c>
      <c r="G210" s="236">
        <f t="shared" si="41"/>
        <v>102.07165295139427</v>
      </c>
      <c r="H210" s="236">
        <f t="shared" si="41"/>
        <v>102.07165295139427</v>
      </c>
      <c r="I210" s="236">
        <f>SUM(D210:H210)</f>
        <v>510.35826475697138</v>
      </c>
    </row>
    <row r="211" spans="1:18" s="300" customFormat="1">
      <c r="A211" s="234" t="s">
        <v>460</v>
      </c>
      <c r="B211" s="272" t="s">
        <v>40</v>
      </c>
      <c r="C211" s="234" t="s">
        <v>218</v>
      </c>
      <c r="D211" s="236">
        <f>D196-D206</f>
        <v>0</v>
      </c>
      <c r="E211" s="236">
        <f t="shared" ref="E211:H211" si="42">E196-E206</f>
        <v>0</v>
      </c>
      <c r="F211" s="236">
        <f t="shared" si="42"/>
        <v>0</v>
      </c>
      <c r="G211" s="236">
        <f t="shared" si="42"/>
        <v>850</v>
      </c>
      <c r="H211" s="236">
        <f t="shared" si="42"/>
        <v>850</v>
      </c>
      <c r="I211" s="236">
        <f>SUM(D211:H211)</f>
        <v>1700</v>
      </c>
    </row>
    <row r="214" spans="1:18" ht="18">
      <c r="A214" s="267" t="s">
        <v>310</v>
      </c>
      <c r="B214" s="268"/>
    </row>
    <row r="215" spans="1:18">
      <c r="C215" s="269" t="s">
        <v>286</v>
      </c>
      <c r="D215" s="245">
        <v>39538</v>
      </c>
      <c r="E215" s="245">
        <v>39721</v>
      </c>
      <c r="F215" s="245">
        <v>40086</v>
      </c>
      <c r="G215" s="245">
        <v>40268</v>
      </c>
      <c r="H215" s="245">
        <v>40451</v>
      </c>
      <c r="I215" s="245">
        <v>40816</v>
      </c>
      <c r="J215" s="245">
        <v>41182</v>
      </c>
      <c r="K215" s="245">
        <v>41547</v>
      </c>
      <c r="L215" s="245">
        <v>41912</v>
      </c>
      <c r="M215" s="245">
        <v>42277</v>
      </c>
      <c r="N215" s="245">
        <v>42643</v>
      </c>
      <c r="O215" s="245">
        <v>43008</v>
      </c>
      <c r="P215" s="245">
        <v>43373</v>
      </c>
      <c r="Q215" s="245">
        <v>43738</v>
      </c>
      <c r="R215" s="245">
        <v>44104</v>
      </c>
    </row>
    <row r="216" spans="1:18">
      <c r="A216" s="65" t="s">
        <v>339</v>
      </c>
      <c r="B216" s="65" t="s">
        <v>10</v>
      </c>
      <c r="C216" s="65" t="s">
        <v>11</v>
      </c>
      <c r="D216" s="245"/>
      <c r="E216" s="245"/>
      <c r="F216" s="245"/>
      <c r="G216" s="245"/>
      <c r="H216" s="245"/>
      <c r="I216" s="245"/>
      <c r="J216" s="245"/>
      <c r="K216" s="245"/>
      <c r="L216" s="245"/>
      <c r="M216" s="245"/>
      <c r="N216" s="245"/>
      <c r="O216" s="245"/>
      <c r="P216" s="245"/>
      <c r="Q216" s="245"/>
      <c r="R216" s="245"/>
    </row>
    <row r="217" spans="1:18">
      <c r="A217" s="63" t="s">
        <v>39</v>
      </c>
      <c r="B217" s="272" t="s">
        <v>40</v>
      </c>
      <c r="C217" s="234" t="s">
        <v>218</v>
      </c>
      <c r="D217" s="236">
        <f>'RAB inputs'!D5</f>
        <v>16552.87475049901</v>
      </c>
      <c r="E217" s="236">
        <f>D221</f>
        <v>17894.307474871937</v>
      </c>
      <c r="F217" s="236">
        <f t="shared" ref="F217:R217" si="43">E221</f>
        <v>18160.370710177893</v>
      </c>
      <c r="G217" s="236">
        <f t="shared" si="43"/>
        <v>19514.847844406802</v>
      </c>
      <c r="H217" s="236">
        <f t="shared" si="43"/>
        <v>21284.341637978705</v>
      </c>
      <c r="I217" s="236">
        <f t="shared" si="43"/>
        <v>20635.531193930885</v>
      </c>
      <c r="J217" s="236">
        <f t="shared" si="43"/>
        <v>18126.835687343329</v>
      </c>
      <c r="K217" s="236">
        <f t="shared" si="43"/>
        <v>15821.779178736026</v>
      </c>
      <c r="L217" s="236">
        <f t="shared" si="43"/>
        <v>12329.246935164629</v>
      </c>
      <c r="M217" s="236">
        <f t="shared" si="43"/>
        <v>10028.13552866684</v>
      </c>
      <c r="N217" s="236">
        <f t="shared" si="43"/>
        <v>6430.878756370128</v>
      </c>
      <c r="O217" s="236">
        <f t="shared" si="43"/>
        <v>4935.7856501899369</v>
      </c>
      <c r="P217" s="236">
        <f t="shared" si="43"/>
        <v>4408.8797609515914</v>
      </c>
      <c r="Q217" s="236">
        <f>P221</f>
        <v>3784.8920806128053</v>
      </c>
      <c r="R217" s="236">
        <f t="shared" si="43"/>
        <v>3616.4101462321428</v>
      </c>
    </row>
    <row r="218" spans="1:18">
      <c r="A218" s="63" t="s">
        <v>85</v>
      </c>
      <c r="B218" s="272" t="s">
        <v>40</v>
      </c>
      <c r="C218" s="234" t="s">
        <v>218</v>
      </c>
      <c r="D218" s="236">
        <f t="shared" ref="D218:R218" si="44">SUM(D55:D57)</f>
        <v>2116.7832446290081</v>
      </c>
      <c r="E218" s="236">
        <f t="shared" si="44"/>
        <v>1262.6801421709006</v>
      </c>
      <c r="F218" s="236">
        <f t="shared" si="44"/>
        <v>3654.6519071999674</v>
      </c>
      <c r="G218" s="236">
        <f t="shared" si="44"/>
        <v>3035.1734247186259</v>
      </c>
      <c r="H218" s="236">
        <f t="shared" si="44"/>
        <v>1047.8191202872531</v>
      </c>
      <c r="I218" s="236">
        <f t="shared" si="44"/>
        <v>1013.3891382405744</v>
      </c>
      <c r="J218" s="236">
        <f t="shared" si="44"/>
        <v>1365.722621184919</v>
      </c>
      <c r="K218" s="236">
        <f t="shared" si="44"/>
        <v>281.17818671454216</v>
      </c>
      <c r="L218" s="236">
        <f t="shared" si="44"/>
        <v>1589.5175044883301</v>
      </c>
      <c r="M218" s="236">
        <f t="shared" si="44"/>
        <v>418.89811490125669</v>
      </c>
      <c r="N218" s="236">
        <f t="shared" si="44"/>
        <v>0</v>
      </c>
      <c r="O218" s="236">
        <f t="shared" si="44"/>
        <v>0</v>
      </c>
      <c r="P218" s="236">
        <f t="shared" si="44"/>
        <v>0</v>
      </c>
      <c r="Q218" s="236">
        <f t="shared" si="44"/>
        <v>0</v>
      </c>
      <c r="R218" s="236">
        <f t="shared" si="44"/>
        <v>0</v>
      </c>
    </row>
    <row r="219" spans="1:18">
      <c r="A219" s="63" t="s">
        <v>263</v>
      </c>
      <c r="B219" s="272" t="s">
        <v>40</v>
      </c>
      <c r="C219" s="234" t="s">
        <v>218</v>
      </c>
      <c r="D219" s="236"/>
      <c r="E219" s="236"/>
      <c r="F219" s="236"/>
      <c r="G219" s="236"/>
      <c r="H219" s="236"/>
      <c r="I219" s="236"/>
      <c r="J219" s="236"/>
      <c r="K219" s="236"/>
      <c r="L219" s="236"/>
      <c r="M219" s="236"/>
      <c r="N219" s="236">
        <f>D41</f>
        <v>1161.5558530986993</v>
      </c>
      <c r="O219" s="236">
        <f>E41</f>
        <v>1011.59859571323</v>
      </c>
      <c r="P219" s="236">
        <f>F41</f>
        <v>714.96585627457989</v>
      </c>
      <c r="Q219" s="236">
        <f>G41</f>
        <v>1144.9293199167246</v>
      </c>
      <c r="R219" s="236">
        <f>H41</f>
        <v>1702.7770334928227</v>
      </c>
    </row>
    <row r="220" spans="1:18">
      <c r="A220" s="63" t="s">
        <v>451</v>
      </c>
      <c r="B220" s="272" t="s">
        <v>40</v>
      </c>
      <c r="C220" s="234" t="s">
        <v>218</v>
      </c>
      <c r="D220" s="236">
        <f t="shared" ref="D220:M220" si="45">D101</f>
        <v>775.35052025608229</v>
      </c>
      <c r="E220" s="236">
        <f t="shared" si="45"/>
        <v>996.61690686494535</v>
      </c>
      <c r="F220" s="236">
        <f t="shared" si="45"/>
        <v>2300.1747729710587</v>
      </c>
      <c r="G220" s="236">
        <f t="shared" si="45"/>
        <v>1265.6796311467238</v>
      </c>
      <c r="H220" s="236">
        <f t="shared" si="45"/>
        <v>1696.6295643350707</v>
      </c>
      <c r="I220" s="236">
        <f t="shared" si="45"/>
        <v>3522.08464482813</v>
      </c>
      <c r="J220" s="236">
        <f t="shared" si="45"/>
        <v>3670.7791297922236</v>
      </c>
      <c r="K220" s="236">
        <f t="shared" si="45"/>
        <v>3773.7104302859398</v>
      </c>
      <c r="L220" s="236">
        <f t="shared" si="45"/>
        <v>3890.6289109861195</v>
      </c>
      <c r="M220" s="236">
        <f t="shared" si="45"/>
        <v>4016.1548871979685</v>
      </c>
      <c r="N220" s="236">
        <f>D209</f>
        <v>2656.6489592788898</v>
      </c>
      <c r="O220" s="236">
        <f>E209</f>
        <v>1538.5044849515753</v>
      </c>
      <c r="P220" s="236">
        <f>F209</f>
        <v>1338.9535366133662</v>
      </c>
      <c r="Q220" s="236">
        <f>G209</f>
        <v>1313.4112542973876</v>
      </c>
      <c r="R220" s="236">
        <f>H209</f>
        <v>1293.3518764921814</v>
      </c>
    </row>
    <row r="221" spans="1:18">
      <c r="A221" s="63" t="s">
        <v>45</v>
      </c>
      <c r="B221" s="272" t="s">
        <v>40</v>
      </c>
      <c r="C221" s="234" t="s">
        <v>218</v>
      </c>
      <c r="D221" s="236">
        <f t="shared" ref="D221:R221" si="46">D217+D218+D219-D220</f>
        <v>17894.307474871937</v>
      </c>
      <c r="E221" s="236">
        <f t="shared" si="46"/>
        <v>18160.370710177893</v>
      </c>
      <c r="F221" s="236">
        <f t="shared" si="46"/>
        <v>19514.847844406802</v>
      </c>
      <c r="G221" s="236">
        <f t="shared" si="46"/>
        <v>21284.341637978705</v>
      </c>
      <c r="H221" s="236">
        <f t="shared" si="46"/>
        <v>20635.531193930885</v>
      </c>
      <c r="I221" s="236">
        <f t="shared" si="46"/>
        <v>18126.835687343329</v>
      </c>
      <c r="J221" s="236">
        <f t="shared" si="46"/>
        <v>15821.779178736026</v>
      </c>
      <c r="K221" s="236">
        <f t="shared" si="46"/>
        <v>12329.246935164629</v>
      </c>
      <c r="L221" s="236">
        <f t="shared" si="46"/>
        <v>10028.13552866684</v>
      </c>
      <c r="M221" s="236">
        <f t="shared" si="46"/>
        <v>6430.878756370128</v>
      </c>
      <c r="N221" s="236">
        <f t="shared" si="46"/>
        <v>4935.7856501899369</v>
      </c>
      <c r="O221" s="236">
        <f t="shared" si="46"/>
        <v>4408.8797609515914</v>
      </c>
      <c r="P221" s="236">
        <f t="shared" si="46"/>
        <v>3784.8920806128053</v>
      </c>
      <c r="Q221" s="236">
        <f t="shared" si="46"/>
        <v>3616.4101462321428</v>
      </c>
      <c r="R221" s="236">
        <f t="shared" si="46"/>
        <v>4025.8353032327846</v>
      </c>
    </row>
    <row r="222" spans="1:18">
      <c r="A222" s="63" t="s">
        <v>46</v>
      </c>
      <c r="B222" s="272" t="s">
        <v>40</v>
      </c>
      <c r="C222" s="234" t="s">
        <v>218</v>
      </c>
      <c r="D222" s="236">
        <f t="shared" ref="D222:R222" si="47">(D217+D221)/2</f>
        <v>17223.591112685473</v>
      </c>
      <c r="E222" s="236">
        <f t="shared" si="47"/>
        <v>18027.339092524915</v>
      </c>
      <c r="F222" s="236">
        <f t="shared" si="47"/>
        <v>18837.609277292348</v>
      </c>
      <c r="G222" s="236">
        <f t="shared" si="47"/>
        <v>20399.594741192755</v>
      </c>
      <c r="H222" s="236">
        <f t="shared" si="47"/>
        <v>20959.936415954795</v>
      </c>
      <c r="I222" s="236">
        <f t="shared" si="47"/>
        <v>19381.183440637105</v>
      </c>
      <c r="J222" s="236">
        <f t="shared" si="47"/>
        <v>16974.307433039678</v>
      </c>
      <c r="K222" s="236">
        <f t="shared" si="47"/>
        <v>14075.513056950327</v>
      </c>
      <c r="L222" s="236">
        <f t="shared" si="47"/>
        <v>11178.691231915735</v>
      </c>
      <c r="M222" s="236">
        <f t="shared" si="47"/>
        <v>8229.5071425184833</v>
      </c>
      <c r="N222" s="236">
        <f t="shared" si="47"/>
        <v>5683.3322032800324</v>
      </c>
      <c r="O222" s="236">
        <f t="shared" si="47"/>
        <v>4672.3327055707641</v>
      </c>
      <c r="P222" s="236">
        <f t="shared" si="47"/>
        <v>4096.8859207821988</v>
      </c>
      <c r="Q222" s="236">
        <f t="shared" si="47"/>
        <v>3700.6511134224738</v>
      </c>
      <c r="R222" s="236">
        <f t="shared" si="47"/>
        <v>3821.1227247324637</v>
      </c>
    </row>
    <row r="224" spans="1:18">
      <c r="A224" s="65" t="s">
        <v>340</v>
      </c>
      <c r="B224" s="65" t="s">
        <v>10</v>
      </c>
      <c r="C224" s="65" t="s">
        <v>11</v>
      </c>
      <c r="D224" s="245">
        <v>39538</v>
      </c>
      <c r="E224" s="245">
        <v>39721</v>
      </c>
      <c r="F224" s="245">
        <v>40086</v>
      </c>
      <c r="G224" s="245">
        <v>40268</v>
      </c>
      <c r="H224" s="245">
        <v>40451</v>
      </c>
      <c r="I224" s="245">
        <v>40816</v>
      </c>
      <c r="J224" s="245">
        <v>41182</v>
      </c>
      <c r="K224" s="245">
        <v>41547</v>
      </c>
      <c r="L224" s="245">
        <v>41912</v>
      </c>
      <c r="M224" s="245">
        <v>42277</v>
      </c>
      <c r="N224" s="245">
        <v>42643</v>
      </c>
      <c r="O224" s="245">
        <v>43008</v>
      </c>
      <c r="P224" s="245">
        <v>43373</v>
      </c>
      <c r="Q224" s="245">
        <v>43738</v>
      </c>
      <c r="R224" s="245">
        <v>44104</v>
      </c>
    </row>
    <row r="225" spans="1:18">
      <c r="A225" s="63" t="s">
        <v>39</v>
      </c>
      <c r="B225" s="272" t="s">
        <v>40</v>
      </c>
      <c r="C225" s="234" t="s">
        <v>218</v>
      </c>
      <c r="D225" s="236"/>
      <c r="E225" s="236"/>
      <c r="F225" s="236"/>
      <c r="G225" s="236"/>
      <c r="H225" s="236">
        <f>'RAB inputs'!D24</f>
        <v>0</v>
      </c>
      <c r="I225" s="236">
        <f>H229</f>
        <v>0</v>
      </c>
      <c r="J225" s="236">
        <f t="shared" ref="J225:R225" si="48">I229</f>
        <v>1425.0110502692996</v>
      </c>
      <c r="K225" s="236">
        <f t="shared" si="48"/>
        <v>2791.8583842010771</v>
      </c>
      <c r="L225" s="236">
        <f t="shared" si="48"/>
        <v>2675.5309515260324</v>
      </c>
      <c r="M225" s="236">
        <f t="shared" si="48"/>
        <v>2559.2035188509876</v>
      </c>
      <c r="N225" s="236">
        <f t="shared" si="48"/>
        <v>2442.8760861759429</v>
      </c>
      <c r="O225" s="236">
        <f t="shared" si="48"/>
        <v>2436.6674783660942</v>
      </c>
      <c r="P225" s="236">
        <f t="shared" si="48"/>
        <v>2346.8800087110785</v>
      </c>
      <c r="Q225" s="236">
        <f>P229</f>
        <v>2252.5790028816004</v>
      </c>
      <c r="R225" s="236">
        <f t="shared" si="48"/>
        <v>2167.808356175869</v>
      </c>
    </row>
    <row r="226" spans="1:18">
      <c r="A226" s="63" t="s">
        <v>85</v>
      </c>
      <c r="B226" s="272" t="s">
        <v>40</v>
      </c>
      <c r="C226" s="234" t="s">
        <v>218</v>
      </c>
      <c r="D226" s="236"/>
      <c r="E226" s="236"/>
      <c r="F226" s="236"/>
      <c r="G226" s="236"/>
      <c r="H226" s="236">
        <f t="shared" ref="H226:M226" si="49">H113</f>
        <v>0</v>
      </c>
      <c r="I226" s="236">
        <f t="shared" si="49"/>
        <v>1454.0929084380609</v>
      </c>
      <c r="J226" s="236">
        <f t="shared" si="49"/>
        <v>1454.0929084380609</v>
      </c>
      <c r="K226" s="236">
        <f t="shared" si="49"/>
        <v>0</v>
      </c>
      <c r="L226" s="236">
        <f t="shared" si="49"/>
        <v>0</v>
      </c>
      <c r="M226" s="236">
        <f t="shared" si="49"/>
        <v>0</v>
      </c>
      <c r="N226" s="236"/>
      <c r="O226" s="236"/>
      <c r="P226" s="236"/>
      <c r="Q226" s="236"/>
      <c r="R226" s="236"/>
    </row>
    <row r="227" spans="1:18">
      <c r="A227" s="63" t="s">
        <v>263</v>
      </c>
      <c r="B227" s="272" t="s">
        <v>40</v>
      </c>
      <c r="C227" s="234" t="s">
        <v>218</v>
      </c>
      <c r="D227" s="236"/>
      <c r="E227" s="236"/>
      <c r="F227" s="236"/>
      <c r="G227" s="236"/>
      <c r="H227" s="236"/>
      <c r="I227" s="236"/>
      <c r="J227" s="236"/>
      <c r="K227" s="236"/>
      <c r="L227" s="236"/>
      <c r="M227" s="236"/>
      <c r="N227" s="236">
        <f>D49</f>
        <v>95.863045141545527</v>
      </c>
      <c r="O227" s="236">
        <f>E49</f>
        <v>12.284183296378417</v>
      </c>
      <c r="P227" s="236">
        <f>F49</f>
        <v>7.7706471219163387</v>
      </c>
      <c r="Q227" s="236">
        <f>G49</f>
        <v>17.301006245662734</v>
      </c>
      <c r="R227" s="236">
        <f>H49</f>
        <v>137.63755980861242</v>
      </c>
    </row>
    <row r="228" spans="1:18">
      <c r="A228" s="300" t="s">
        <v>451</v>
      </c>
      <c r="B228" s="272" t="s">
        <v>40</v>
      </c>
      <c r="C228" s="234" t="s">
        <v>218</v>
      </c>
      <c r="D228" s="236">
        <f t="shared" ref="D228:M228" si="50">D148</f>
        <v>0</v>
      </c>
      <c r="E228" s="236">
        <f t="shared" si="50"/>
        <v>0</v>
      </c>
      <c r="F228" s="236">
        <f t="shared" si="50"/>
        <v>0</v>
      </c>
      <c r="G228" s="236">
        <f t="shared" si="50"/>
        <v>0</v>
      </c>
      <c r="H228" s="236">
        <f t="shared" si="50"/>
        <v>0</v>
      </c>
      <c r="I228" s="236">
        <f t="shared" si="50"/>
        <v>29.081858168761219</v>
      </c>
      <c r="J228" s="236">
        <f t="shared" si="50"/>
        <v>87.24557450628366</v>
      </c>
      <c r="K228" s="236">
        <f t="shared" si="50"/>
        <v>116.32743267504488</v>
      </c>
      <c r="L228" s="236">
        <f t="shared" si="50"/>
        <v>116.32743267504488</v>
      </c>
      <c r="M228" s="236">
        <f t="shared" si="50"/>
        <v>116.32743267504488</v>
      </c>
      <c r="N228" s="236">
        <f>D210</f>
        <v>102.07165295139427</v>
      </c>
      <c r="O228" s="236">
        <f>E210</f>
        <v>102.07165295139427</v>
      </c>
      <c r="P228" s="236">
        <f>F210</f>
        <v>102.07165295139427</v>
      </c>
      <c r="Q228" s="236">
        <f>G210</f>
        <v>102.07165295139427</v>
      </c>
      <c r="R228" s="236">
        <f>H210</f>
        <v>102.07165295139427</v>
      </c>
    </row>
    <row r="229" spans="1:18">
      <c r="A229" s="63" t="s">
        <v>45</v>
      </c>
      <c r="B229" s="272" t="s">
        <v>40</v>
      </c>
      <c r="C229" s="234" t="s">
        <v>218</v>
      </c>
      <c r="D229" s="236"/>
      <c r="E229" s="236"/>
      <c r="F229" s="236"/>
      <c r="G229" s="236"/>
      <c r="H229" s="236">
        <f>H225+H226+H227-H228</f>
        <v>0</v>
      </c>
      <c r="I229" s="236">
        <f t="shared" ref="I229:R229" si="51">I225+I226+I227-I228</f>
        <v>1425.0110502692996</v>
      </c>
      <c r="J229" s="236">
        <f t="shared" si="51"/>
        <v>2791.8583842010771</v>
      </c>
      <c r="K229" s="236">
        <f t="shared" si="51"/>
        <v>2675.5309515260324</v>
      </c>
      <c r="L229" s="236">
        <f t="shared" si="51"/>
        <v>2559.2035188509876</v>
      </c>
      <c r="M229" s="236">
        <f t="shared" si="51"/>
        <v>2442.8760861759429</v>
      </c>
      <c r="N229" s="236">
        <f t="shared" si="51"/>
        <v>2436.6674783660942</v>
      </c>
      <c r="O229" s="236">
        <f t="shared" si="51"/>
        <v>2346.8800087110785</v>
      </c>
      <c r="P229" s="236">
        <f t="shared" si="51"/>
        <v>2252.5790028816004</v>
      </c>
      <c r="Q229" s="236">
        <f t="shared" si="51"/>
        <v>2167.808356175869</v>
      </c>
      <c r="R229" s="236">
        <f t="shared" si="51"/>
        <v>2203.3742630330871</v>
      </c>
    </row>
    <row r="230" spans="1:18">
      <c r="A230" s="63" t="s">
        <v>46</v>
      </c>
      <c r="B230" s="272" t="s">
        <v>40</v>
      </c>
      <c r="C230" s="234" t="s">
        <v>218</v>
      </c>
      <c r="D230" s="236"/>
      <c r="E230" s="236"/>
      <c r="F230" s="236"/>
      <c r="G230" s="236"/>
      <c r="H230" s="236">
        <f t="shared" ref="H230:R230" si="52">(H225+H229)/2</f>
        <v>0</v>
      </c>
      <c r="I230" s="236">
        <f t="shared" si="52"/>
        <v>712.50552513464982</v>
      </c>
      <c r="J230" s="236">
        <f t="shared" si="52"/>
        <v>2108.4347172351881</v>
      </c>
      <c r="K230" s="236">
        <f t="shared" si="52"/>
        <v>2733.694667863555</v>
      </c>
      <c r="L230" s="236">
        <f t="shared" si="52"/>
        <v>2617.3672351885098</v>
      </c>
      <c r="M230" s="236">
        <f t="shared" si="52"/>
        <v>2501.0398025134655</v>
      </c>
      <c r="N230" s="236">
        <f t="shared" si="52"/>
        <v>2439.7717822710183</v>
      </c>
      <c r="O230" s="236">
        <f t="shared" si="52"/>
        <v>2391.7737435385861</v>
      </c>
      <c r="P230" s="236">
        <f t="shared" si="52"/>
        <v>2299.7295057963393</v>
      </c>
      <c r="Q230" s="236">
        <f t="shared" si="52"/>
        <v>2210.1936795287347</v>
      </c>
      <c r="R230" s="236">
        <f t="shared" si="52"/>
        <v>2185.5913096044778</v>
      </c>
    </row>
    <row r="232" spans="1:18" ht="18">
      <c r="A232" s="267" t="s">
        <v>453</v>
      </c>
      <c r="B232" s="268"/>
    </row>
    <row r="233" spans="1:18" ht="71.25">
      <c r="A233" s="65" t="s">
        <v>269</v>
      </c>
      <c r="B233" s="65" t="s">
        <v>10</v>
      </c>
      <c r="C233" s="65" t="s">
        <v>11</v>
      </c>
      <c r="D233" s="252" t="s">
        <v>454</v>
      </c>
      <c r="E233" s="252" t="s">
        <v>455</v>
      </c>
      <c r="F233" s="252" t="s">
        <v>268</v>
      </c>
      <c r="G233" s="227"/>
      <c r="H233" s="227"/>
      <c r="I233" s="227"/>
    </row>
    <row r="234" spans="1:18">
      <c r="A234" s="234" t="s">
        <v>87</v>
      </c>
      <c r="B234" s="272" t="s">
        <v>40</v>
      </c>
      <c r="C234" s="234" t="s">
        <v>218</v>
      </c>
      <c r="D234" s="236">
        <f>SUM(N173:R173)</f>
        <v>9055.6374686198033</v>
      </c>
      <c r="E234" s="236">
        <f>SUM(I209)</f>
        <v>8140.8701116333996</v>
      </c>
      <c r="F234" s="236">
        <f>D234-E234</f>
        <v>914.76735698640368</v>
      </c>
      <c r="G234" s="227"/>
      <c r="H234" s="227"/>
      <c r="I234" s="236"/>
    </row>
    <row r="235" spans="1:18">
      <c r="A235" s="234" t="s">
        <v>38</v>
      </c>
      <c r="B235" s="272" t="s">
        <v>40</v>
      </c>
      <c r="C235" s="234" t="s">
        <v>218</v>
      </c>
      <c r="D235" s="236">
        <f>SUM(N182:R182)</f>
        <v>605.18017344529915</v>
      </c>
      <c r="E235" s="236">
        <f>SUM(I210)</f>
        <v>510.35826475697138</v>
      </c>
      <c r="F235" s="236">
        <f>D235-E235</f>
        <v>94.821908688327767</v>
      </c>
      <c r="G235" s="227"/>
      <c r="H235" s="227"/>
      <c r="I235" s="236"/>
    </row>
    <row r="236" spans="1:18" s="300" customFormat="1">
      <c r="A236" s="234" t="s">
        <v>460</v>
      </c>
      <c r="B236" s="272" t="s">
        <v>40</v>
      </c>
      <c r="C236" s="234" t="s">
        <v>218</v>
      </c>
      <c r="D236" s="236">
        <f>SUM('RAB inputs'!D40:H40)</f>
        <v>1700</v>
      </c>
      <c r="E236" s="236">
        <f>I211</f>
        <v>1700</v>
      </c>
      <c r="F236" s="236">
        <f>D236-E236</f>
        <v>0</v>
      </c>
      <c r="G236" s="227"/>
      <c r="H236" s="227"/>
      <c r="I236" s="236"/>
    </row>
    <row r="238" spans="1:18">
      <c r="A238" s="65" t="s">
        <v>270</v>
      </c>
      <c r="B238" s="65" t="s">
        <v>10</v>
      </c>
      <c r="C238" s="65" t="s">
        <v>11</v>
      </c>
      <c r="D238" s="65"/>
      <c r="E238" s="65"/>
      <c r="F238" s="252" t="s">
        <v>268</v>
      </c>
    </row>
    <row r="239" spans="1:18">
      <c r="A239" s="234" t="s">
        <v>87</v>
      </c>
      <c r="B239" s="272" t="s">
        <v>40</v>
      </c>
      <c r="C239" s="63" t="s">
        <v>54</v>
      </c>
      <c r="F239" s="236">
        <f>F234*$K$18</f>
        <v>1037.5142766799756</v>
      </c>
    </row>
    <row r="240" spans="1:18">
      <c r="A240" s="234" t="s">
        <v>38</v>
      </c>
      <c r="B240" s="272" t="s">
        <v>40</v>
      </c>
      <c r="C240" s="63" t="s">
        <v>54</v>
      </c>
      <c r="F240" s="236">
        <f>F235*$K$18</f>
        <v>107.5454685334244</v>
      </c>
    </row>
    <row r="241" spans="1:8" s="300" customFormat="1">
      <c r="A241" s="234" t="s">
        <v>460</v>
      </c>
      <c r="B241" s="272" t="s">
        <v>40</v>
      </c>
      <c r="C241" s="234" t="s">
        <v>218</v>
      </c>
      <c r="F241" s="236">
        <f>F236*$K$18</f>
        <v>0</v>
      </c>
    </row>
    <row r="243" spans="1:8" ht="18">
      <c r="A243" s="267" t="s">
        <v>457</v>
      </c>
      <c r="B243" s="268"/>
    </row>
    <row r="244" spans="1:8">
      <c r="D244" s="238" t="s">
        <v>5</v>
      </c>
      <c r="E244" s="238" t="s">
        <v>6</v>
      </c>
      <c r="F244" s="238" t="s">
        <v>7</v>
      </c>
      <c r="G244" s="238" t="s">
        <v>8</v>
      </c>
      <c r="H244" s="238" t="s">
        <v>9</v>
      </c>
    </row>
    <row r="245" spans="1:8">
      <c r="A245" s="234" t="s">
        <v>271</v>
      </c>
      <c r="D245" s="244">
        <v>0.2</v>
      </c>
      <c r="E245" s="244">
        <v>0.2</v>
      </c>
      <c r="F245" s="244">
        <v>0.2</v>
      </c>
      <c r="G245" s="244">
        <v>0.2</v>
      </c>
      <c r="H245" s="244">
        <v>0.2</v>
      </c>
    </row>
    <row r="246" spans="1:8">
      <c r="A246" s="65" t="s">
        <v>272</v>
      </c>
      <c r="B246" s="65" t="s">
        <v>10</v>
      </c>
      <c r="C246" s="65" t="s">
        <v>11</v>
      </c>
      <c r="D246" s="236"/>
      <c r="E246" s="236"/>
      <c r="F246" s="236"/>
      <c r="G246" s="236"/>
      <c r="H246" s="236"/>
    </row>
    <row r="247" spans="1:8">
      <c r="A247" s="234" t="s">
        <v>87</v>
      </c>
      <c r="B247" s="272" t="s">
        <v>40</v>
      </c>
      <c r="C247" s="63" t="s">
        <v>54</v>
      </c>
      <c r="D247" s="236">
        <f t="shared" ref="D247:H248" si="53">$F239*D$245</f>
        <v>207.50285533599515</v>
      </c>
      <c r="E247" s="236">
        <f t="shared" si="53"/>
        <v>207.50285533599515</v>
      </c>
      <c r="F247" s="236">
        <f t="shared" si="53"/>
        <v>207.50285533599515</v>
      </c>
      <c r="G247" s="236">
        <f t="shared" si="53"/>
        <v>207.50285533599515</v>
      </c>
      <c r="H247" s="236">
        <f t="shared" si="53"/>
        <v>207.50285533599515</v>
      </c>
    </row>
    <row r="248" spans="1:8">
      <c r="A248" s="234" t="s">
        <v>38</v>
      </c>
      <c r="B248" s="272" t="s">
        <v>40</v>
      </c>
      <c r="C248" s="63" t="s">
        <v>54</v>
      </c>
      <c r="D248" s="236">
        <f t="shared" si="53"/>
        <v>21.50909370668488</v>
      </c>
      <c r="E248" s="236">
        <f t="shared" si="53"/>
        <v>21.50909370668488</v>
      </c>
      <c r="F248" s="236">
        <f t="shared" si="53"/>
        <v>21.50909370668488</v>
      </c>
      <c r="G248" s="236">
        <f t="shared" si="53"/>
        <v>21.50909370668488</v>
      </c>
      <c r="H248" s="236">
        <f t="shared" si="53"/>
        <v>21.50909370668488</v>
      </c>
    </row>
    <row r="250" spans="1:8" ht="18">
      <c r="A250" s="267" t="s">
        <v>342</v>
      </c>
      <c r="B250" s="268"/>
    </row>
    <row r="252" spans="1:8">
      <c r="A252" s="65" t="s">
        <v>339</v>
      </c>
      <c r="B252" s="65" t="s">
        <v>10</v>
      </c>
      <c r="C252" s="65" t="s">
        <v>11</v>
      </c>
      <c r="D252" s="238" t="s">
        <v>5</v>
      </c>
      <c r="E252" s="238" t="s">
        <v>6</v>
      </c>
      <c r="F252" s="238" t="s">
        <v>7</v>
      </c>
      <c r="G252" s="238" t="s">
        <v>8</v>
      </c>
      <c r="H252" s="238" t="s">
        <v>9</v>
      </c>
    </row>
    <row r="253" spans="1:8">
      <c r="A253" s="63" t="s">
        <v>39</v>
      </c>
      <c r="B253" s="272" t="s">
        <v>40</v>
      </c>
      <c r="C253" s="63" t="s">
        <v>54</v>
      </c>
      <c r="D253" s="236">
        <f>R221*K18</f>
        <v>4566.0370046723847</v>
      </c>
      <c r="E253" s="236">
        <f>D257</f>
        <v>6996.8549243958023</v>
      </c>
      <c r="F253" s="236">
        <f t="shared" ref="F253:H253" si="54">E257</f>
        <v>7639.6229937432017</v>
      </c>
      <c r="G253" s="236">
        <f t="shared" si="54"/>
        <v>7607.9716049926346</v>
      </c>
      <c r="H253" s="236">
        <f t="shared" si="54"/>
        <v>6993.9129023948472</v>
      </c>
    </row>
    <row r="254" spans="1:8">
      <c r="A254" s="63" t="s">
        <v>273</v>
      </c>
      <c r="B254" s="272" t="s">
        <v>40</v>
      </c>
      <c r="C254" s="63" t="s">
        <v>54</v>
      </c>
      <c r="D254" s="236">
        <f>S67</f>
        <v>4230.7503128243552</v>
      </c>
      <c r="E254" s="236">
        <f>T67</f>
        <v>2910.3331625002429</v>
      </c>
      <c r="F254" s="236">
        <f>U67</f>
        <v>2590.1365390713927</v>
      </c>
      <c r="G254" s="236">
        <f>V67</f>
        <v>2284.2184327649684</v>
      </c>
      <c r="H254" s="236">
        <f>W67</f>
        <v>2142.0615528390408</v>
      </c>
    </row>
    <row r="255" spans="1:8">
      <c r="A255" s="63" t="s">
        <v>274</v>
      </c>
      <c r="B255" s="272" t="s">
        <v>40</v>
      </c>
      <c r="C255" s="63" t="s">
        <v>54</v>
      </c>
      <c r="D255" s="236">
        <f>D106</f>
        <v>1592.4295377649419</v>
      </c>
      <c r="E255" s="236">
        <f>E106</f>
        <v>2060.0622378168487</v>
      </c>
      <c r="F255" s="236">
        <f>F106</f>
        <v>2414.2850724859645</v>
      </c>
      <c r="G255" s="236">
        <f>G106</f>
        <v>2690.7742800267597</v>
      </c>
      <c r="H255" s="236">
        <f>H106</f>
        <v>2810.4200498390715</v>
      </c>
    </row>
    <row r="256" spans="1:8">
      <c r="A256" s="63" t="s">
        <v>275</v>
      </c>
      <c r="B256" s="272" t="s">
        <v>40</v>
      </c>
      <c r="C256" s="63" t="s">
        <v>54</v>
      </c>
      <c r="D256" s="236">
        <f>D247</f>
        <v>207.50285533599515</v>
      </c>
      <c r="E256" s="236">
        <f>E247</f>
        <v>207.50285533599515</v>
      </c>
      <c r="F256" s="236">
        <f>F247</f>
        <v>207.50285533599515</v>
      </c>
      <c r="G256" s="236">
        <f>G247</f>
        <v>207.50285533599515</v>
      </c>
      <c r="H256" s="236">
        <f>H247</f>
        <v>207.50285533599515</v>
      </c>
    </row>
    <row r="257" spans="1:15">
      <c r="A257" s="63" t="s">
        <v>45</v>
      </c>
      <c r="B257" s="272" t="s">
        <v>40</v>
      </c>
      <c r="C257" s="63" t="s">
        <v>54</v>
      </c>
      <c r="D257" s="236">
        <f>D253+D254-D255-D256</f>
        <v>6996.8549243958023</v>
      </c>
      <c r="E257" s="236">
        <f t="shared" ref="E257:H257" si="55">E253+E254-E255-E256</f>
        <v>7639.6229937432017</v>
      </c>
      <c r="F257" s="236">
        <f t="shared" si="55"/>
        <v>7607.9716049926346</v>
      </c>
      <c r="G257" s="236">
        <f t="shared" si="55"/>
        <v>6993.9129023948472</v>
      </c>
      <c r="H257" s="236">
        <f t="shared" si="55"/>
        <v>6118.0515500588226</v>
      </c>
    </row>
    <row r="258" spans="1:15">
      <c r="A258" s="63" t="s">
        <v>46</v>
      </c>
      <c r="B258" s="272" t="s">
        <v>40</v>
      </c>
      <c r="C258" s="63" t="s">
        <v>54</v>
      </c>
      <c r="D258" s="236">
        <f>AVERAGE(D253,D257)</f>
        <v>5781.4459645340939</v>
      </c>
      <c r="E258" s="236">
        <f t="shared" ref="E258:H258" si="56">AVERAGE(E253,E257)</f>
        <v>7318.238959069502</v>
      </c>
      <c r="F258" s="236">
        <f t="shared" si="56"/>
        <v>7623.7972993679177</v>
      </c>
      <c r="G258" s="236">
        <f t="shared" si="56"/>
        <v>7300.9422536937409</v>
      </c>
      <c r="H258" s="236">
        <f t="shared" si="56"/>
        <v>6555.9822262268353</v>
      </c>
    </row>
    <row r="260" spans="1:15">
      <c r="A260" s="65" t="s">
        <v>340</v>
      </c>
      <c r="B260" s="65" t="s">
        <v>10</v>
      </c>
      <c r="C260" s="65" t="s">
        <v>11</v>
      </c>
      <c r="D260" s="238" t="s">
        <v>5</v>
      </c>
      <c r="E260" s="238" t="s">
        <v>6</v>
      </c>
      <c r="F260" s="238" t="s">
        <v>7</v>
      </c>
      <c r="G260" s="238" t="s">
        <v>8</v>
      </c>
      <c r="H260" s="238" t="s">
        <v>9</v>
      </c>
    </row>
    <row r="261" spans="1:15">
      <c r="A261" s="63" t="s">
        <v>39</v>
      </c>
      <c r="B261" s="272" t="s">
        <v>40</v>
      </c>
      <c r="C261" s="63" t="s">
        <v>54</v>
      </c>
      <c r="D261" s="236">
        <f>R229*K18</f>
        <v>2499.0312972001093</v>
      </c>
      <c r="E261" s="236">
        <f>D265</f>
        <v>2379.8474799432333</v>
      </c>
      <c r="F261" s="236">
        <f t="shared" ref="F261:H261" si="57">E265</f>
        <v>2258.7636626863573</v>
      </c>
      <c r="G261" s="236">
        <f t="shared" si="57"/>
        <v>2099.0298454294816</v>
      </c>
      <c r="H261" s="236">
        <f t="shared" si="57"/>
        <v>1938.8960281726058</v>
      </c>
    </row>
    <row r="262" spans="1:15">
      <c r="A262" s="63" t="s">
        <v>273</v>
      </c>
      <c r="B262" s="272" t="s">
        <v>40</v>
      </c>
      <c r="C262" s="63" t="s">
        <v>54</v>
      </c>
      <c r="D262" s="236">
        <f>S120</f>
        <v>47.5</v>
      </c>
      <c r="E262" s="236">
        <f>T120</f>
        <v>47.5</v>
      </c>
      <c r="F262" s="236">
        <f>U120</f>
        <v>10</v>
      </c>
      <c r="G262" s="236">
        <f>V120</f>
        <v>10</v>
      </c>
      <c r="H262" s="236">
        <f>W120</f>
        <v>10</v>
      </c>
    </row>
    <row r="263" spans="1:15">
      <c r="A263" s="63" t="s">
        <v>274</v>
      </c>
      <c r="B263" s="272" t="s">
        <v>40</v>
      </c>
      <c r="C263" s="63" t="s">
        <v>54</v>
      </c>
      <c r="D263" s="236">
        <f>D155</f>
        <v>145.17472355019103</v>
      </c>
      <c r="E263" s="236">
        <f>E155</f>
        <v>147.07472355019104</v>
      </c>
      <c r="F263" s="236">
        <f>F155</f>
        <v>148.22472355019104</v>
      </c>
      <c r="G263" s="236">
        <f>G155</f>
        <v>148.62472355019105</v>
      </c>
      <c r="H263" s="236">
        <f>H155</f>
        <v>149.02472355019106</v>
      </c>
    </row>
    <row r="264" spans="1:15">
      <c r="A264" s="63" t="s">
        <v>275</v>
      </c>
      <c r="B264" s="272" t="s">
        <v>40</v>
      </c>
      <c r="C264" s="63" t="s">
        <v>54</v>
      </c>
      <c r="D264" s="236">
        <f>D248</f>
        <v>21.50909370668488</v>
      </c>
      <c r="E264" s="236">
        <f>E248</f>
        <v>21.50909370668488</v>
      </c>
      <c r="F264" s="236">
        <f>F248</f>
        <v>21.50909370668488</v>
      </c>
      <c r="G264" s="236">
        <f>G248</f>
        <v>21.50909370668488</v>
      </c>
      <c r="H264" s="236">
        <f>H248</f>
        <v>21.50909370668488</v>
      </c>
    </row>
    <row r="265" spans="1:15">
      <c r="A265" s="63" t="s">
        <v>45</v>
      </c>
      <c r="B265" s="272" t="s">
        <v>40</v>
      </c>
      <c r="C265" s="63" t="s">
        <v>54</v>
      </c>
      <c r="D265" s="236">
        <f>D261+D262-D263-D264</f>
        <v>2379.8474799432333</v>
      </c>
      <c r="E265" s="236">
        <f t="shared" ref="E265:H265" si="58">E261+E262-E263-E264</f>
        <v>2258.7636626863573</v>
      </c>
      <c r="F265" s="236">
        <f t="shared" si="58"/>
        <v>2099.0298454294816</v>
      </c>
      <c r="G265" s="236">
        <f t="shared" si="58"/>
        <v>1938.8960281726058</v>
      </c>
      <c r="H265" s="236">
        <f t="shared" si="58"/>
        <v>1778.36221091573</v>
      </c>
    </row>
    <row r="266" spans="1:15">
      <c r="A266" s="63" t="s">
        <v>46</v>
      </c>
      <c r="B266" s="272" t="s">
        <v>40</v>
      </c>
      <c r="C266" s="63" t="s">
        <v>54</v>
      </c>
      <c r="D266" s="236">
        <f>AVERAGE(D261,D265)</f>
        <v>2439.4393885716713</v>
      </c>
      <c r="E266" s="236">
        <f t="shared" ref="E266:H266" si="59">AVERAGE(E261,E265)</f>
        <v>2319.3055713147951</v>
      </c>
      <c r="F266" s="236">
        <f t="shared" si="59"/>
        <v>2178.8967540579197</v>
      </c>
      <c r="G266" s="236">
        <f t="shared" si="59"/>
        <v>2018.9629368010437</v>
      </c>
      <c r="H266" s="236">
        <f t="shared" si="59"/>
        <v>1858.6291195441679</v>
      </c>
    </row>
    <row r="268" spans="1:15" ht="18">
      <c r="A268" s="267" t="s">
        <v>524</v>
      </c>
      <c r="B268" s="268"/>
    </row>
    <row r="269" spans="1:15">
      <c r="C269" s="269" t="s">
        <v>290</v>
      </c>
      <c r="D269" s="246">
        <v>41760</v>
      </c>
      <c r="E269" s="246">
        <v>41913</v>
      </c>
      <c r="F269" s="246">
        <v>42278</v>
      </c>
      <c r="G269" s="246">
        <v>42644</v>
      </c>
      <c r="H269" s="246">
        <v>43009</v>
      </c>
      <c r="I269" s="246">
        <v>43374</v>
      </c>
      <c r="J269" s="246">
        <v>43739</v>
      </c>
      <c r="K269" s="246">
        <v>44105</v>
      </c>
      <c r="L269" s="246">
        <v>44470</v>
      </c>
      <c r="M269" s="246">
        <v>44835</v>
      </c>
      <c r="N269" s="246">
        <v>45200</v>
      </c>
      <c r="O269" s="246">
        <v>45566</v>
      </c>
    </row>
    <row r="270" spans="1:15">
      <c r="C270" s="269" t="s">
        <v>291</v>
      </c>
      <c r="D270" s="246">
        <v>41912</v>
      </c>
      <c r="E270" s="246">
        <v>42277</v>
      </c>
      <c r="F270" s="246">
        <v>42643</v>
      </c>
      <c r="G270" s="246">
        <v>43008</v>
      </c>
      <c r="H270" s="246">
        <v>43373</v>
      </c>
      <c r="I270" s="246">
        <v>43738</v>
      </c>
      <c r="J270" s="246">
        <v>44104</v>
      </c>
      <c r="K270" s="246">
        <v>44469</v>
      </c>
      <c r="L270" s="246">
        <v>44834</v>
      </c>
      <c r="M270" s="246">
        <v>45199</v>
      </c>
      <c r="N270" s="246">
        <v>45565</v>
      </c>
      <c r="O270" s="246">
        <v>45930</v>
      </c>
    </row>
    <row r="271" spans="1:15">
      <c r="A271" s="65" t="s">
        <v>523</v>
      </c>
      <c r="B271" s="65" t="s">
        <v>10</v>
      </c>
      <c r="C271" s="65" t="s">
        <v>11</v>
      </c>
      <c r="D271" s="246"/>
      <c r="E271" s="246"/>
      <c r="F271" s="246"/>
      <c r="G271" s="246"/>
      <c r="H271" s="246"/>
      <c r="I271" s="246"/>
      <c r="J271" s="246"/>
      <c r="K271" s="246"/>
      <c r="L271" s="246"/>
      <c r="M271" s="246"/>
      <c r="N271" s="246"/>
      <c r="O271" s="246"/>
    </row>
    <row r="272" spans="1:15">
      <c r="A272" s="234" t="s">
        <v>258</v>
      </c>
      <c r="B272" s="272" t="s">
        <v>40</v>
      </c>
      <c r="C272" s="234" t="s">
        <v>218</v>
      </c>
      <c r="D272" s="236">
        <f>'RAB inputs'!D64</f>
        <v>0</v>
      </c>
      <c r="E272" s="236">
        <f>'RAB inputs'!E64</f>
        <v>1517</v>
      </c>
      <c r="F272" s="236">
        <f>'RAB inputs'!F64</f>
        <v>1556.1750526699661</v>
      </c>
      <c r="G272" s="236">
        <f>'RAB inputs'!G64</f>
        <v>2220.5283447475522</v>
      </c>
      <c r="H272" s="236">
        <f>'RAB inputs'!H64</f>
        <v>1636.3407930830576</v>
      </c>
      <c r="I272" s="236">
        <f>'RAB inputs'!I64</f>
        <v>2906.37616078265</v>
      </c>
      <c r="J272" s="236">
        <f>'RAB inputs'!J64</f>
        <v>2072.8119438060471</v>
      </c>
      <c r="K272" s="236"/>
      <c r="L272" s="236"/>
      <c r="M272" s="236"/>
      <c r="N272" s="236"/>
      <c r="O272" s="236"/>
    </row>
    <row r="273" spans="1:18">
      <c r="A273" s="234" t="s">
        <v>522</v>
      </c>
      <c r="B273" s="272" t="s">
        <v>40</v>
      </c>
      <c r="C273" s="234" t="s">
        <v>218</v>
      </c>
      <c r="D273" s="236"/>
      <c r="E273" s="236"/>
      <c r="F273" s="236">
        <f>'SONI BPDT RAB'!D72</f>
        <v>1720.4121261479311</v>
      </c>
      <c r="G273" s="236">
        <f>'SONI BPDT RAB'!E72</f>
        <v>2504.5757879105354</v>
      </c>
      <c r="H273" s="236">
        <f>'SONI BPDT RAB'!F72</f>
        <v>1667.9157934707182</v>
      </c>
      <c r="I273" s="236">
        <f>'SONI BPDT RAB'!G72</f>
        <v>1210.3637947359789</v>
      </c>
      <c r="J273" s="236">
        <f>'SONI BPDT RAB'!H72</f>
        <v>3066.8175288881807</v>
      </c>
      <c r="K273" s="236"/>
      <c r="L273" s="236"/>
      <c r="M273" s="236"/>
      <c r="N273" s="236"/>
      <c r="O273" s="236"/>
    </row>
    <row r="274" spans="1:18">
      <c r="A274" s="234" t="s">
        <v>798</v>
      </c>
      <c r="B274" s="272" t="s">
        <v>40</v>
      </c>
      <c r="C274" s="234" t="s">
        <v>218</v>
      </c>
      <c r="D274" s="236">
        <f>'RAB inputs'!D65</f>
        <v>0</v>
      </c>
      <c r="E274" s="236">
        <f>'RAB inputs'!E65</f>
        <v>0</v>
      </c>
      <c r="F274" s="236">
        <f>'RAB inputs'!F65</f>
        <v>0</v>
      </c>
      <c r="G274" s="236">
        <f>'RAB inputs'!G65</f>
        <v>0</v>
      </c>
      <c r="H274" s="236">
        <f>'RAB inputs'!H65</f>
        <v>0</v>
      </c>
      <c r="I274" s="236">
        <f>'RAB inputs'!I65</f>
        <v>0</v>
      </c>
      <c r="J274" s="236">
        <f>'RAB inputs'!J65</f>
        <v>724.25206176266488</v>
      </c>
      <c r="K274" s="236"/>
      <c r="L274" s="236"/>
      <c r="M274" s="236"/>
      <c r="N274" s="236"/>
      <c r="O274" s="236"/>
    </row>
    <row r="275" spans="1:18">
      <c r="A275" s="234" t="s">
        <v>797</v>
      </c>
      <c r="B275" s="272" t="s">
        <v>40</v>
      </c>
      <c r="C275" s="234" t="s">
        <v>218</v>
      </c>
      <c r="D275" s="236">
        <f>'RAB inputs'!D66</f>
        <v>0</v>
      </c>
      <c r="E275" s="236">
        <f>'RAB inputs'!E66</f>
        <v>0</v>
      </c>
      <c r="F275" s="236">
        <f>'RAB inputs'!F66</f>
        <v>0</v>
      </c>
      <c r="G275" s="236">
        <f>'RAB inputs'!G66</f>
        <v>0</v>
      </c>
      <c r="H275" s="236">
        <f>'RAB inputs'!H66</f>
        <v>0</v>
      </c>
      <c r="I275" s="236">
        <f>'RAB inputs'!I66</f>
        <v>0</v>
      </c>
      <c r="J275" s="236">
        <f>'RAB inputs'!J66</f>
        <v>281.1784630972445</v>
      </c>
      <c r="K275" s="236"/>
      <c r="L275" s="236"/>
      <c r="M275" s="236"/>
      <c r="N275" s="236"/>
      <c r="O275" s="236"/>
    </row>
    <row r="276" spans="1:18">
      <c r="A276" s="65" t="s">
        <v>525</v>
      </c>
      <c r="C276" s="234"/>
      <c r="E276" s="227"/>
      <c r="F276" s="227"/>
      <c r="G276" s="227"/>
      <c r="H276" s="227"/>
      <c r="I276" s="227"/>
      <c r="J276" s="227"/>
    </row>
    <row r="277" spans="1:18">
      <c r="A277" s="234" t="s">
        <v>519</v>
      </c>
      <c r="B277" s="272" t="s">
        <v>40</v>
      </c>
      <c r="C277" s="234" t="s">
        <v>54</v>
      </c>
      <c r="D277" s="236"/>
      <c r="E277" s="236"/>
      <c r="F277" s="236"/>
      <c r="G277" s="236"/>
      <c r="H277" s="236"/>
      <c r="I277" s="236"/>
      <c r="J277" s="236"/>
      <c r="K277" s="236">
        <f>'DD forecasts'!D40</f>
        <v>5074.2615384615383</v>
      </c>
      <c r="L277" s="236">
        <f>'DD forecasts'!E40</f>
        <v>3991.1461538461544</v>
      </c>
      <c r="M277" s="236">
        <f>'DD forecasts'!F40</f>
        <v>3299.6846153846159</v>
      </c>
      <c r="N277" s="236">
        <f>'DD forecasts'!G40</f>
        <v>2784.1153846153852</v>
      </c>
      <c r="O277" s="236">
        <f>'DD forecasts'!H40</f>
        <v>2149.7307692307691</v>
      </c>
    </row>
    <row r="278" spans="1:18">
      <c r="A278" s="234" t="s">
        <v>520</v>
      </c>
      <c r="B278" s="272" t="s">
        <v>40</v>
      </c>
      <c r="C278" s="234" t="s">
        <v>54</v>
      </c>
      <c r="D278" s="236"/>
      <c r="E278" s="236"/>
      <c r="F278" s="236"/>
      <c r="G278" s="236"/>
      <c r="H278" s="236"/>
      <c r="I278" s="236"/>
      <c r="J278" s="236"/>
      <c r="K278" s="236">
        <f>'DD forecasts'!D46</f>
        <v>919.23076923076917</v>
      </c>
      <c r="L278" s="236">
        <f>'DD forecasts'!E46</f>
        <v>992.92307692307702</v>
      </c>
      <c r="M278" s="236">
        <f>'DD forecasts'!F46</f>
        <v>1712.0615384615387</v>
      </c>
      <c r="N278" s="236">
        <f>'DD forecasts'!G46</f>
        <v>8611.3923076923093</v>
      </c>
      <c r="O278" s="236">
        <f>'DD forecasts'!H46</f>
        <v>9013.3538461538483</v>
      </c>
    </row>
    <row r="279" spans="1:18">
      <c r="A279" s="234" t="s">
        <v>521</v>
      </c>
      <c r="B279" s="272" t="s">
        <v>40</v>
      </c>
      <c r="C279" s="234" t="s">
        <v>54</v>
      </c>
      <c r="D279" s="236"/>
      <c r="E279" s="236"/>
      <c r="F279" s="236"/>
      <c r="G279" s="236"/>
      <c r="H279" s="236"/>
      <c r="I279" s="236"/>
      <c r="J279" s="236"/>
      <c r="K279" s="236">
        <f>'DD forecasts'!D47</f>
        <v>0</v>
      </c>
      <c r="L279" s="236">
        <f>'DD forecasts'!E47</f>
        <v>0</v>
      </c>
      <c r="M279" s="236">
        <f>'DD forecasts'!F47</f>
        <v>0</v>
      </c>
      <c r="N279" s="236">
        <f>'DD forecasts'!G47</f>
        <v>0</v>
      </c>
      <c r="O279" s="236">
        <f>'DD forecasts'!H47</f>
        <v>0</v>
      </c>
    </row>
    <row r="280" spans="1:18">
      <c r="A280" s="234"/>
      <c r="C280" s="234"/>
      <c r="F280" s="227"/>
      <c r="G280" s="227"/>
      <c r="H280" s="227"/>
      <c r="I280" s="227"/>
      <c r="J280" s="227"/>
    </row>
    <row r="281" spans="1:18">
      <c r="C281" s="269" t="s">
        <v>286</v>
      </c>
      <c r="D281" s="245">
        <v>39538</v>
      </c>
      <c r="E281" s="245">
        <v>39721</v>
      </c>
      <c r="F281" s="245">
        <v>40086</v>
      </c>
      <c r="G281" s="245">
        <v>40268</v>
      </c>
      <c r="H281" s="245">
        <v>40451</v>
      </c>
      <c r="I281" s="245">
        <v>40816</v>
      </c>
      <c r="J281" s="245">
        <v>41182</v>
      </c>
      <c r="K281" s="245">
        <v>41547</v>
      </c>
      <c r="L281" s="245">
        <v>41912</v>
      </c>
      <c r="M281" s="245">
        <v>42277</v>
      </c>
      <c r="N281" s="245">
        <v>42643</v>
      </c>
      <c r="O281" s="245">
        <v>43008</v>
      </c>
      <c r="P281" s="245">
        <v>43373</v>
      </c>
      <c r="Q281" s="245">
        <v>43738</v>
      </c>
      <c r="R281" s="245">
        <v>44104</v>
      </c>
    </row>
    <row r="282" spans="1:18">
      <c r="A282" s="65" t="s">
        <v>526</v>
      </c>
      <c r="B282" s="65" t="s">
        <v>10</v>
      </c>
      <c r="C282" s="65" t="s">
        <v>11</v>
      </c>
      <c r="D282" s="245"/>
      <c r="E282" s="245"/>
      <c r="F282" s="245"/>
      <c r="G282" s="245"/>
      <c r="H282" s="245"/>
      <c r="I282" s="245"/>
      <c r="J282" s="245"/>
      <c r="K282" s="245"/>
      <c r="L282" s="245"/>
      <c r="M282" s="245"/>
      <c r="N282" s="245"/>
      <c r="O282" s="245"/>
      <c r="P282" s="245"/>
      <c r="Q282" s="245"/>
      <c r="R282" s="245"/>
    </row>
    <row r="283" spans="1:18">
      <c r="A283" s="63" t="s">
        <v>39</v>
      </c>
      <c r="B283" s="272" t="s">
        <v>40</v>
      </c>
      <c r="C283" s="234" t="s">
        <v>218</v>
      </c>
      <c r="D283" s="236"/>
      <c r="E283" s="236"/>
      <c r="F283" s="236"/>
      <c r="G283" s="236"/>
      <c r="H283" s="236"/>
      <c r="I283" s="236"/>
      <c r="J283" s="236"/>
      <c r="K283" s="236"/>
      <c r="L283" s="236">
        <f>'RAB inputs'!D60</f>
        <v>0</v>
      </c>
      <c r="M283" s="236">
        <v>0</v>
      </c>
      <c r="N283" s="236">
        <f>M287</f>
        <v>1517</v>
      </c>
      <c r="O283" s="236">
        <f>N287</f>
        <v>3237.4121261479313</v>
      </c>
      <c r="P283" s="236">
        <f>O287</f>
        <v>5741.9879140584671</v>
      </c>
      <c r="Q283" s="236">
        <f>P287</f>
        <v>7409.9037075291853</v>
      </c>
      <c r="R283" s="236">
        <f>Q287</f>
        <v>8620.2675022651638</v>
      </c>
    </row>
    <row r="284" spans="1:18">
      <c r="A284" s="63" t="s">
        <v>60</v>
      </c>
      <c r="B284" s="272" t="s">
        <v>40</v>
      </c>
      <c r="C284" s="234" t="s">
        <v>218</v>
      </c>
      <c r="D284" s="236"/>
      <c r="E284" s="236"/>
      <c r="F284" s="236"/>
      <c r="G284" s="236"/>
      <c r="H284" s="236"/>
      <c r="I284" s="236"/>
      <c r="J284" s="236"/>
      <c r="K284" s="236"/>
      <c r="L284" s="236">
        <f>D272</f>
        <v>0</v>
      </c>
      <c r="M284" s="236">
        <f>E272</f>
        <v>1517</v>
      </c>
      <c r="N284" s="236">
        <f t="shared" ref="N284:R286" si="60">F273</f>
        <v>1720.4121261479311</v>
      </c>
      <c r="O284" s="236">
        <f t="shared" si="60"/>
        <v>2504.5757879105354</v>
      </c>
      <c r="P284" s="236">
        <f t="shared" si="60"/>
        <v>1667.9157934707182</v>
      </c>
      <c r="Q284" s="236">
        <f t="shared" si="60"/>
        <v>1210.3637947359789</v>
      </c>
      <c r="R284" s="236">
        <f t="shared" si="60"/>
        <v>3066.8175288881807</v>
      </c>
    </row>
    <row r="285" spans="1:18">
      <c r="A285" s="63" t="s">
        <v>86</v>
      </c>
      <c r="B285" s="272" t="s">
        <v>40</v>
      </c>
      <c r="C285" s="234" t="s">
        <v>218</v>
      </c>
      <c r="D285" s="236"/>
      <c r="E285" s="236"/>
      <c r="F285" s="236"/>
      <c r="G285" s="236"/>
      <c r="H285" s="236"/>
      <c r="I285" s="236"/>
      <c r="J285" s="236"/>
      <c r="K285" s="236"/>
      <c r="L285" s="236">
        <f>D274</f>
        <v>0</v>
      </c>
      <c r="M285" s="236">
        <f>E274</f>
        <v>0</v>
      </c>
      <c r="N285" s="236">
        <f t="shared" si="60"/>
        <v>0</v>
      </c>
      <c r="O285" s="236">
        <f t="shared" si="60"/>
        <v>0</v>
      </c>
      <c r="P285" s="236">
        <f t="shared" si="60"/>
        <v>0</v>
      </c>
      <c r="Q285" s="236">
        <f t="shared" si="60"/>
        <v>0</v>
      </c>
      <c r="R285" s="236">
        <f t="shared" si="60"/>
        <v>724.25206176266488</v>
      </c>
    </row>
    <row r="286" spans="1:18">
      <c r="A286" s="63" t="s">
        <v>49</v>
      </c>
      <c r="B286" s="272" t="s">
        <v>40</v>
      </c>
      <c r="C286" s="234" t="s">
        <v>218</v>
      </c>
      <c r="D286" s="236"/>
      <c r="E286" s="236"/>
      <c r="F286" s="236"/>
      <c r="G286" s="236"/>
      <c r="H286" s="236"/>
      <c r="I286" s="236"/>
      <c r="J286" s="236"/>
      <c r="K286" s="236"/>
      <c r="L286" s="236">
        <f>D275</f>
        <v>0</v>
      </c>
      <c r="M286" s="236">
        <f>E275</f>
        <v>0</v>
      </c>
      <c r="N286" s="236">
        <f t="shared" si="60"/>
        <v>0</v>
      </c>
      <c r="O286" s="236">
        <f t="shared" si="60"/>
        <v>0</v>
      </c>
      <c r="P286" s="236">
        <f t="shared" si="60"/>
        <v>0</v>
      </c>
      <c r="Q286" s="236">
        <f t="shared" si="60"/>
        <v>0</v>
      </c>
      <c r="R286" s="236">
        <f t="shared" si="60"/>
        <v>281.1784630972445</v>
      </c>
    </row>
    <row r="287" spans="1:18">
      <c r="A287" s="63" t="s">
        <v>45</v>
      </c>
      <c r="B287" s="272" t="s">
        <v>40</v>
      </c>
      <c r="C287" s="234" t="s">
        <v>218</v>
      </c>
      <c r="D287" s="236"/>
      <c r="E287" s="236"/>
      <c r="F287" s="236"/>
      <c r="G287" s="236"/>
      <c r="H287" s="236"/>
      <c r="I287" s="236"/>
      <c r="J287" s="236"/>
      <c r="K287" s="236"/>
      <c r="L287" s="236">
        <f t="shared" ref="L287:R287" si="61">L283+L284-L285-L286</f>
        <v>0</v>
      </c>
      <c r="M287" s="236">
        <f t="shared" si="61"/>
        <v>1517</v>
      </c>
      <c r="N287" s="236">
        <f t="shared" si="61"/>
        <v>3237.4121261479313</v>
      </c>
      <c r="O287" s="236">
        <f t="shared" si="61"/>
        <v>5741.9879140584671</v>
      </c>
      <c r="P287" s="236">
        <f t="shared" si="61"/>
        <v>7409.9037075291853</v>
      </c>
      <c r="Q287" s="236">
        <f t="shared" si="61"/>
        <v>8620.2675022651638</v>
      </c>
      <c r="R287" s="236">
        <f t="shared" si="61"/>
        <v>10681.654506293435</v>
      </c>
    </row>
    <row r="288" spans="1:18">
      <c r="A288" s="63" t="s">
        <v>46</v>
      </c>
      <c r="B288" s="272" t="s">
        <v>40</v>
      </c>
      <c r="C288" s="234" t="s">
        <v>218</v>
      </c>
      <c r="D288" s="236"/>
      <c r="E288" s="236"/>
      <c r="F288" s="236"/>
      <c r="G288" s="236"/>
      <c r="H288" s="236"/>
      <c r="I288" s="236"/>
      <c r="J288" s="236"/>
      <c r="K288" s="236"/>
      <c r="L288" s="236">
        <f t="shared" ref="L288:R288" si="62">AVERAGE(L283,L287)</f>
        <v>0</v>
      </c>
      <c r="M288" s="236">
        <f t="shared" si="62"/>
        <v>758.5</v>
      </c>
      <c r="N288" s="236">
        <f t="shared" si="62"/>
        <v>2377.2060630739657</v>
      </c>
      <c r="O288" s="236">
        <f t="shared" si="62"/>
        <v>4489.7000201031988</v>
      </c>
      <c r="P288" s="236">
        <f t="shared" si="62"/>
        <v>6575.9458107938262</v>
      </c>
      <c r="Q288" s="236">
        <f t="shared" si="62"/>
        <v>8015.0856048971746</v>
      </c>
      <c r="R288" s="236">
        <f t="shared" si="62"/>
        <v>9650.9610042792992</v>
      </c>
    </row>
    <row r="290" spans="1:15">
      <c r="C290" s="269" t="s">
        <v>286</v>
      </c>
      <c r="D290" s="245">
        <v>44469</v>
      </c>
      <c r="E290" s="245">
        <v>44834</v>
      </c>
      <c r="F290" s="245">
        <v>45199</v>
      </c>
      <c r="G290" s="245">
        <v>45565</v>
      </c>
      <c r="H290" s="245">
        <v>45930</v>
      </c>
    </row>
    <row r="291" spans="1:15">
      <c r="A291" s="65" t="s">
        <v>527</v>
      </c>
      <c r="B291" s="65" t="s">
        <v>10</v>
      </c>
      <c r="C291" s="65" t="s">
        <v>11</v>
      </c>
    </row>
    <row r="292" spans="1:15">
      <c r="A292" s="63" t="s">
        <v>39</v>
      </c>
      <c r="B292" s="272" t="s">
        <v>40</v>
      </c>
      <c r="C292" s="234" t="s">
        <v>54</v>
      </c>
      <c r="D292" s="236">
        <f>R287*K18</f>
        <v>12114.959026688524</v>
      </c>
      <c r="E292" s="236">
        <f>D296</f>
        <v>16269.989795919293</v>
      </c>
      <c r="F292" s="236">
        <f t="shared" ref="F292:H292" si="63">E296</f>
        <v>19268.21287284237</v>
      </c>
      <c r="G292" s="236">
        <f t="shared" si="63"/>
        <v>20855.835949765449</v>
      </c>
      <c r="H292" s="236">
        <f t="shared" si="63"/>
        <v>15028.559026688527</v>
      </c>
    </row>
    <row r="293" spans="1:15">
      <c r="A293" s="63" t="s">
        <v>60</v>
      </c>
      <c r="B293" s="272" t="s">
        <v>40</v>
      </c>
      <c r="C293" s="234" t="s">
        <v>54</v>
      </c>
      <c r="D293" s="236">
        <f t="shared" ref="D293:H295" si="64">K277</f>
        <v>5074.2615384615383</v>
      </c>
      <c r="E293" s="236">
        <f t="shared" si="64"/>
        <v>3991.1461538461544</v>
      </c>
      <c r="F293" s="236">
        <f t="shared" si="64"/>
        <v>3299.6846153846159</v>
      </c>
      <c r="G293" s="236">
        <f t="shared" si="64"/>
        <v>2784.1153846153852</v>
      </c>
      <c r="H293" s="236">
        <f t="shared" si="64"/>
        <v>2149.7307692307691</v>
      </c>
    </row>
    <row r="294" spans="1:15">
      <c r="A294" s="63" t="s">
        <v>86</v>
      </c>
      <c r="B294" s="272" t="s">
        <v>40</v>
      </c>
      <c r="C294" s="234" t="s">
        <v>54</v>
      </c>
      <c r="D294" s="236">
        <f t="shared" si="64"/>
        <v>919.23076923076917</v>
      </c>
      <c r="E294" s="236">
        <f t="shared" si="64"/>
        <v>992.92307692307702</v>
      </c>
      <c r="F294" s="236">
        <f t="shared" si="64"/>
        <v>1712.0615384615387</v>
      </c>
      <c r="G294" s="236">
        <f t="shared" si="64"/>
        <v>8611.3923076923093</v>
      </c>
      <c r="H294" s="236">
        <f t="shared" si="64"/>
        <v>9013.3538461538483</v>
      </c>
    </row>
    <row r="295" spans="1:15">
      <c r="A295" s="63" t="s">
        <v>49</v>
      </c>
      <c r="B295" s="272" t="s">
        <v>40</v>
      </c>
      <c r="C295" s="234" t="s">
        <v>54</v>
      </c>
      <c r="D295" s="236">
        <f t="shared" si="64"/>
        <v>0</v>
      </c>
      <c r="E295" s="236">
        <f t="shared" si="64"/>
        <v>0</v>
      </c>
      <c r="F295" s="236">
        <f t="shared" si="64"/>
        <v>0</v>
      </c>
      <c r="G295" s="236">
        <f t="shared" si="64"/>
        <v>0</v>
      </c>
      <c r="H295" s="236">
        <f t="shared" si="64"/>
        <v>0</v>
      </c>
    </row>
    <row r="296" spans="1:15">
      <c r="A296" s="63" t="s">
        <v>45</v>
      </c>
      <c r="B296" s="272" t="s">
        <v>40</v>
      </c>
      <c r="C296" s="234" t="s">
        <v>54</v>
      </c>
      <c r="D296" s="236">
        <f>D292+D293-D294-D295</f>
        <v>16269.989795919293</v>
      </c>
      <c r="E296" s="236">
        <f>E292+E293-E294-E295</f>
        <v>19268.21287284237</v>
      </c>
      <c r="F296" s="236">
        <f t="shared" ref="F296:H296" si="65">F292+F293-F294-F295</f>
        <v>20855.835949765449</v>
      </c>
      <c r="G296" s="236">
        <f t="shared" si="65"/>
        <v>15028.559026688527</v>
      </c>
      <c r="H296" s="236">
        <f t="shared" si="65"/>
        <v>8164.9359497654477</v>
      </c>
    </row>
    <row r="297" spans="1:15">
      <c r="A297" s="63" t="s">
        <v>46</v>
      </c>
      <c r="B297" s="272" t="s">
        <v>40</v>
      </c>
      <c r="C297" s="234" t="s">
        <v>54</v>
      </c>
      <c r="D297" s="236">
        <f>AVERAGE(D292,D296)</f>
        <v>14192.474411303909</v>
      </c>
      <c r="E297" s="236">
        <f>AVERAGE(E292,E296)</f>
        <v>17769.10133438083</v>
      </c>
      <c r="F297" s="236">
        <f t="shared" ref="F297:H297" si="66">AVERAGE(F292,F296)</f>
        <v>20062.024411303908</v>
      </c>
      <c r="G297" s="236">
        <f t="shared" si="66"/>
        <v>17942.197488226986</v>
      </c>
      <c r="H297" s="236">
        <f t="shared" si="66"/>
        <v>11596.747488226987</v>
      </c>
    </row>
    <row r="299" spans="1:15" ht="18">
      <c r="A299" s="267" t="s">
        <v>345</v>
      </c>
      <c r="B299" s="268"/>
    </row>
    <row r="300" spans="1:15">
      <c r="C300" s="269" t="s">
        <v>290</v>
      </c>
      <c r="D300" s="246">
        <v>41760</v>
      </c>
      <c r="E300" s="246">
        <v>41913</v>
      </c>
      <c r="F300" s="246">
        <v>42278</v>
      </c>
      <c r="G300" s="246">
        <v>42644</v>
      </c>
      <c r="H300" s="246">
        <v>43009</v>
      </c>
      <c r="I300" s="246">
        <v>43374</v>
      </c>
      <c r="J300" s="246">
        <v>43739</v>
      </c>
      <c r="K300" s="246">
        <v>44105</v>
      </c>
      <c r="L300" s="246">
        <v>44470</v>
      </c>
      <c r="M300" s="246">
        <v>44835</v>
      </c>
      <c r="N300" s="246">
        <v>45200</v>
      </c>
      <c r="O300" s="246">
        <v>45566</v>
      </c>
    </row>
    <row r="301" spans="1:15">
      <c r="C301" s="269" t="s">
        <v>291</v>
      </c>
      <c r="D301" s="246">
        <v>41912</v>
      </c>
      <c r="E301" s="246">
        <v>42277</v>
      </c>
      <c r="F301" s="246">
        <v>42643</v>
      </c>
      <c r="G301" s="246">
        <v>43008</v>
      </c>
      <c r="H301" s="246">
        <v>43373</v>
      </c>
      <c r="I301" s="246">
        <v>43738</v>
      </c>
      <c r="J301" s="246">
        <v>44104</v>
      </c>
      <c r="K301" s="246">
        <v>44469</v>
      </c>
      <c r="L301" s="246">
        <v>44834</v>
      </c>
      <c r="M301" s="246">
        <v>45199</v>
      </c>
      <c r="N301" s="246">
        <v>45565</v>
      </c>
      <c r="O301" s="246">
        <v>45930</v>
      </c>
    </row>
    <row r="302" spans="1:15">
      <c r="B302" s="65" t="s">
        <v>10</v>
      </c>
      <c r="C302" s="65" t="s">
        <v>11</v>
      </c>
      <c r="D302" s="246"/>
      <c r="E302" s="246"/>
      <c r="F302" s="246"/>
      <c r="G302" s="246"/>
      <c r="H302" s="246"/>
      <c r="I302" s="246"/>
      <c r="J302" s="246"/>
      <c r="K302" s="246"/>
      <c r="L302" s="246"/>
      <c r="M302" s="246"/>
      <c r="N302" s="246"/>
      <c r="O302" s="246"/>
    </row>
    <row r="303" spans="1:15">
      <c r="A303" s="234" t="s">
        <v>258</v>
      </c>
      <c r="B303" s="272" t="s">
        <v>40</v>
      </c>
      <c r="C303" s="234" t="s">
        <v>218</v>
      </c>
      <c r="D303" s="236">
        <f>'RAB inputs'!D75</f>
        <v>0</v>
      </c>
      <c r="E303" s="236">
        <f>'RAB inputs'!E75</f>
        <v>0</v>
      </c>
      <c r="F303" s="236">
        <f>'RAB inputs'!F75</f>
        <v>0</v>
      </c>
      <c r="G303" s="236">
        <f>'RAB inputs'!G75</f>
        <v>0</v>
      </c>
      <c r="H303" s="236">
        <f>'RAB inputs'!H75</f>
        <v>0</v>
      </c>
      <c r="I303" s="236">
        <f>'RAB inputs'!I75</f>
        <v>0</v>
      </c>
      <c r="J303" s="236">
        <f>'RAB inputs'!J75</f>
        <v>23410</v>
      </c>
      <c r="K303" s="236"/>
      <c r="L303" s="236"/>
      <c r="M303" s="236"/>
      <c r="N303" s="236"/>
      <c r="O303" s="236"/>
    </row>
    <row r="304" spans="1:15">
      <c r="A304" s="234" t="s">
        <v>528</v>
      </c>
      <c r="B304" s="272" t="s">
        <v>40</v>
      </c>
      <c r="C304" s="234" t="s">
        <v>218</v>
      </c>
      <c r="D304" s="236"/>
      <c r="E304" s="236"/>
      <c r="F304" s="236">
        <f>'RAB inputs'!F76</f>
        <v>0</v>
      </c>
      <c r="G304" s="236">
        <f>'RAB inputs'!G76</f>
        <v>0</v>
      </c>
      <c r="H304" s="236">
        <f>'RAB inputs'!H76</f>
        <v>0</v>
      </c>
      <c r="I304" s="236">
        <f>'RAB inputs'!I76</f>
        <v>0</v>
      </c>
      <c r="J304" s="236">
        <f>'RAB inputs'!J76</f>
        <v>22710.757543166063</v>
      </c>
      <c r="K304" s="236"/>
      <c r="L304" s="236"/>
      <c r="M304" s="236"/>
      <c r="N304" s="236"/>
      <c r="O304" s="236"/>
    </row>
    <row r="305" spans="1:24">
      <c r="A305" s="234" t="s">
        <v>519</v>
      </c>
      <c r="B305" s="272" t="s">
        <v>40</v>
      </c>
      <c r="C305" s="234" t="s">
        <v>54</v>
      </c>
      <c r="D305" s="236"/>
      <c r="E305" s="236"/>
      <c r="F305" s="236"/>
      <c r="G305" s="236"/>
      <c r="H305" s="236"/>
      <c r="I305" s="236"/>
      <c r="J305" s="236"/>
      <c r="K305" s="236">
        <f>'DD forecasts'!D41</f>
        <v>234.98474436479597</v>
      </c>
      <c r="L305" s="236">
        <f>'DD forecasts'!E41</f>
        <v>188.12217614478729</v>
      </c>
      <c r="M305" s="236">
        <f>'DD forecasts'!F41</f>
        <v>172.52751380190224</v>
      </c>
      <c r="N305" s="236">
        <f>'DD forecasts'!G41</f>
        <v>153.54778284425728</v>
      </c>
      <c r="O305" s="236">
        <f>'DD forecasts'!H41</f>
        <v>146.26778284425728</v>
      </c>
    </row>
    <row r="307" spans="1:24">
      <c r="A307" s="65"/>
      <c r="C307" s="269" t="s">
        <v>11</v>
      </c>
      <c r="D307" s="241" t="s">
        <v>341</v>
      </c>
      <c r="E307" s="234" t="s">
        <v>218</v>
      </c>
      <c r="F307" s="234" t="s">
        <v>218</v>
      </c>
      <c r="G307" s="234" t="s">
        <v>218</v>
      </c>
      <c r="H307" s="234" t="s">
        <v>218</v>
      </c>
      <c r="I307" s="234" t="s">
        <v>218</v>
      </c>
      <c r="J307" s="234" t="s">
        <v>218</v>
      </c>
      <c r="K307" s="234" t="s">
        <v>218</v>
      </c>
      <c r="L307" s="234" t="s">
        <v>218</v>
      </c>
      <c r="M307" s="234" t="s">
        <v>218</v>
      </c>
      <c r="N307" s="234" t="s">
        <v>218</v>
      </c>
      <c r="O307" s="234" t="s">
        <v>218</v>
      </c>
      <c r="P307" s="234" t="s">
        <v>218</v>
      </c>
      <c r="Q307" s="234" t="s">
        <v>218</v>
      </c>
      <c r="R307" s="234" t="s">
        <v>218</v>
      </c>
      <c r="S307" s="234" t="s">
        <v>218</v>
      </c>
      <c r="T307" s="234" t="s">
        <v>54</v>
      </c>
      <c r="U307" s="234" t="s">
        <v>54</v>
      </c>
      <c r="V307" s="234" t="s">
        <v>54</v>
      </c>
      <c r="W307" s="234" t="s">
        <v>54</v>
      </c>
      <c r="X307" s="234" t="s">
        <v>54</v>
      </c>
    </row>
    <row r="308" spans="1:24">
      <c r="C308" s="269" t="s">
        <v>346</v>
      </c>
      <c r="D308" s="245">
        <v>39386</v>
      </c>
      <c r="E308" s="245">
        <v>39538</v>
      </c>
      <c r="F308" s="245">
        <v>39721</v>
      </c>
      <c r="G308" s="245">
        <v>40086</v>
      </c>
      <c r="H308" s="245">
        <v>40268</v>
      </c>
      <c r="I308" s="245">
        <v>40451</v>
      </c>
      <c r="J308" s="245">
        <v>40816</v>
      </c>
      <c r="K308" s="245">
        <v>41182</v>
      </c>
      <c r="L308" s="245">
        <v>41547</v>
      </c>
      <c r="M308" s="245">
        <v>41912</v>
      </c>
      <c r="N308" s="245">
        <v>42277</v>
      </c>
      <c r="O308" s="245">
        <v>42643</v>
      </c>
      <c r="P308" s="245">
        <v>43008</v>
      </c>
      <c r="Q308" s="245">
        <v>43373</v>
      </c>
      <c r="R308" s="245">
        <v>43738</v>
      </c>
      <c r="S308" s="245">
        <v>44104</v>
      </c>
      <c r="T308" s="245">
        <v>44469</v>
      </c>
      <c r="U308" s="245">
        <v>44834</v>
      </c>
      <c r="V308" s="245">
        <v>45199</v>
      </c>
      <c r="W308" s="245">
        <v>45565</v>
      </c>
      <c r="X308" s="245">
        <v>45930</v>
      </c>
    </row>
    <row r="309" spans="1:24">
      <c r="A309" s="65" t="s">
        <v>347</v>
      </c>
      <c r="B309" s="65" t="s">
        <v>10</v>
      </c>
      <c r="C309" s="270" t="s">
        <v>81</v>
      </c>
      <c r="D309" s="271" t="s">
        <v>341</v>
      </c>
      <c r="E309" s="249">
        <f t="shared" ref="E309:X309" si="67">MAX(0,(YEAR(E308)-YEAR(D308))*12+(MONTH(E308)-MONTH(D308)))</f>
        <v>5</v>
      </c>
      <c r="F309" s="249">
        <f t="shared" si="67"/>
        <v>6</v>
      </c>
      <c r="G309" s="249">
        <f t="shared" si="67"/>
        <v>12</v>
      </c>
      <c r="H309" s="249">
        <f t="shared" si="67"/>
        <v>6</v>
      </c>
      <c r="I309" s="249">
        <f t="shared" si="67"/>
        <v>6</v>
      </c>
      <c r="J309" s="249">
        <f t="shared" si="67"/>
        <v>12</v>
      </c>
      <c r="K309" s="249">
        <f t="shared" si="67"/>
        <v>12</v>
      </c>
      <c r="L309" s="249">
        <f t="shared" si="67"/>
        <v>12</v>
      </c>
      <c r="M309" s="249">
        <f t="shared" si="67"/>
        <v>12</v>
      </c>
      <c r="N309" s="249">
        <f t="shared" si="67"/>
        <v>12</v>
      </c>
      <c r="O309" s="249">
        <f t="shared" si="67"/>
        <v>12</v>
      </c>
      <c r="P309" s="249">
        <f t="shared" si="67"/>
        <v>12</v>
      </c>
      <c r="Q309" s="249">
        <f t="shared" si="67"/>
        <v>12</v>
      </c>
      <c r="R309" s="249">
        <f t="shared" si="67"/>
        <v>12</v>
      </c>
      <c r="S309" s="249">
        <f t="shared" si="67"/>
        <v>12</v>
      </c>
      <c r="T309" s="249">
        <f t="shared" si="67"/>
        <v>12</v>
      </c>
      <c r="U309" s="249">
        <f t="shared" si="67"/>
        <v>12</v>
      </c>
      <c r="V309" s="249">
        <f t="shared" si="67"/>
        <v>12</v>
      </c>
      <c r="W309" s="249">
        <f t="shared" si="67"/>
        <v>12</v>
      </c>
      <c r="X309" s="249">
        <f t="shared" si="67"/>
        <v>12</v>
      </c>
    </row>
    <row r="310" spans="1:24">
      <c r="A310" s="240">
        <v>42643</v>
      </c>
      <c r="B310" s="272" t="s">
        <v>40</v>
      </c>
      <c r="C310" s="234"/>
      <c r="D310" s="257"/>
      <c r="E310" s="257"/>
      <c r="F310" s="257"/>
      <c r="G310" s="257"/>
      <c r="H310" s="257"/>
      <c r="I310" s="257"/>
      <c r="J310" s="257"/>
      <c r="K310" s="257"/>
      <c r="L310" s="257"/>
      <c r="M310" s="257"/>
      <c r="N310" s="257"/>
      <c r="O310" s="257">
        <f>$F$303/N$24</f>
        <v>0</v>
      </c>
      <c r="P310" s="257">
        <f>$F$303/O$24</f>
        <v>0</v>
      </c>
      <c r="Q310" s="257">
        <f>$F$303/P$24</f>
        <v>0</v>
      </c>
      <c r="R310" s="257">
        <f>$F$303/Q$24</f>
        <v>0</v>
      </c>
      <c r="S310" s="257">
        <f>$F$303/R$24</f>
        <v>0</v>
      </c>
      <c r="T310" s="257"/>
      <c r="U310" s="257"/>
      <c r="V310" s="257"/>
      <c r="W310" s="257"/>
      <c r="X310" s="257"/>
    </row>
    <row r="311" spans="1:24">
      <c r="A311" s="240">
        <v>43008</v>
      </c>
      <c r="B311" s="272" t="s">
        <v>40</v>
      </c>
      <c r="C311" s="234"/>
      <c r="D311" s="257"/>
      <c r="E311" s="257"/>
      <c r="F311" s="257"/>
      <c r="G311" s="257"/>
      <c r="H311" s="257"/>
      <c r="I311" s="257"/>
      <c r="J311" s="257"/>
      <c r="K311" s="257"/>
      <c r="L311" s="257"/>
      <c r="M311" s="257"/>
      <c r="N311" s="257"/>
      <c r="O311" s="257"/>
      <c r="P311" s="257">
        <f>$G$303/O$24</f>
        <v>0</v>
      </c>
      <c r="Q311" s="257">
        <f>$G$303/P$24</f>
        <v>0</v>
      </c>
      <c r="R311" s="257">
        <f>$G$303/Q$24</f>
        <v>0</v>
      </c>
      <c r="S311" s="257">
        <f>$G$303/R$24</f>
        <v>0</v>
      </c>
      <c r="T311" s="257">
        <f>S311*K18</f>
        <v>0</v>
      </c>
      <c r="U311" s="257"/>
      <c r="V311" s="257"/>
      <c r="W311" s="257"/>
      <c r="X311" s="257"/>
    </row>
    <row r="312" spans="1:24">
      <c r="A312" s="240">
        <v>43373</v>
      </c>
      <c r="B312" s="272" t="s">
        <v>40</v>
      </c>
      <c r="C312" s="234"/>
      <c r="D312" s="257"/>
      <c r="E312" s="257"/>
      <c r="F312" s="257"/>
      <c r="G312" s="257"/>
      <c r="H312" s="257"/>
      <c r="I312" s="257"/>
      <c r="J312" s="257"/>
      <c r="K312" s="257"/>
      <c r="L312" s="257"/>
      <c r="M312" s="257"/>
      <c r="N312" s="257"/>
      <c r="O312" s="257"/>
      <c r="P312" s="257"/>
      <c r="Q312" s="257">
        <f>$H$303/P$24</f>
        <v>0</v>
      </c>
      <c r="R312" s="257">
        <f>$H$303/Q$24</f>
        <v>0</v>
      </c>
      <c r="S312" s="257">
        <f>$H$303/R$24</f>
        <v>0</v>
      </c>
      <c r="T312" s="257">
        <f>S312*K18</f>
        <v>0</v>
      </c>
      <c r="U312" s="257">
        <f>T312</f>
        <v>0</v>
      </c>
      <c r="V312" s="257"/>
      <c r="W312" s="257"/>
      <c r="X312" s="257"/>
    </row>
    <row r="313" spans="1:24">
      <c r="A313" s="240">
        <v>43738</v>
      </c>
      <c r="B313" s="272" t="s">
        <v>40</v>
      </c>
      <c r="C313" s="234"/>
      <c r="D313" s="257"/>
      <c r="E313" s="257"/>
      <c r="F313" s="257"/>
      <c r="G313" s="257"/>
      <c r="H313" s="257"/>
      <c r="I313" s="257"/>
      <c r="J313" s="257"/>
      <c r="K313" s="257"/>
      <c r="L313" s="257"/>
      <c r="M313" s="257"/>
      <c r="N313" s="257"/>
      <c r="O313" s="257"/>
      <c r="P313" s="257"/>
      <c r="Q313" s="257"/>
      <c r="R313" s="257">
        <f>$I$303/Q$24</f>
        <v>0</v>
      </c>
      <c r="S313" s="257">
        <f>$I$303/R$24</f>
        <v>0</v>
      </c>
      <c r="T313" s="257">
        <f>S313*K18</f>
        <v>0</v>
      </c>
      <c r="U313" s="257">
        <f>T313</f>
        <v>0</v>
      </c>
      <c r="V313" s="257">
        <f>U313</f>
        <v>0</v>
      </c>
      <c r="W313" s="257"/>
      <c r="X313" s="257"/>
    </row>
    <row r="314" spans="1:24">
      <c r="A314" s="240">
        <v>44104</v>
      </c>
      <c r="B314" s="272" t="s">
        <v>40</v>
      </c>
      <c r="C314" s="234"/>
      <c r="D314" s="257"/>
      <c r="E314" s="257"/>
      <c r="F314" s="257"/>
      <c r="G314" s="257"/>
      <c r="H314" s="257"/>
      <c r="I314" s="257"/>
      <c r="J314" s="257"/>
      <c r="K314" s="257"/>
      <c r="L314" s="257"/>
      <c r="M314" s="257"/>
      <c r="N314" s="257"/>
      <c r="O314" s="257"/>
      <c r="P314" s="257"/>
      <c r="Q314" s="257"/>
      <c r="R314" s="257"/>
      <c r="S314" s="257">
        <f>$J$304/R$24</f>
        <v>4542.1515086332129</v>
      </c>
      <c r="T314" s="257">
        <f>S314*K18</f>
        <v>5151.6344577220098</v>
      </c>
      <c r="U314" s="257">
        <f>T314</f>
        <v>5151.6344577220098</v>
      </c>
      <c r="V314" s="257">
        <f t="shared" ref="V314:W314" si="68">U314</f>
        <v>5151.6344577220098</v>
      </c>
      <c r="W314" s="257">
        <f t="shared" si="68"/>
        <v>5151.6344577220098</v>
      </c>
      <c r="X314" s="257"/>
    </row>
    <row r="315" spans="1:24">
      <c r="A315" s="240">
        <v>44469</v>
      </c>
      <c r="B315" s="272" t="s">
        <v>40</v>
      </c>
      <c r="C315" s="234"/>
      <c r="D315" s="257"/>
      <c r="E315" s="257"/>
      <c r="F315" s="257"/>
      <c r="G315" s="257"/>
      <c r="H315" s="257"/>
      <c r="I315" s="257"/>
      <c r="J315" s="257"/>
      <c r="K315" s="257"/>
      <c r="L315" s="257"/>
      <c r="M315" s="257"/>
      <c r="N315" s="257"/>
      <c r="O315" s="257"/>
      <c r="P315" s="257"/>
      <c r="Q315" s="257"/>
      <c r="R315" s="257"/>
      <c r="S315" s="257"/>
      <c r="T315" s="257">
        <f>$K$305/S$24</f>
        <v>46.996948872959194</v>
      </c>
      <c r="U315" s="257">
        <f>$K$305/T$24</f>
        <v>46.996948872959194</v>
      </c>
      <c r="V315" s="257">
        <f>$K$305/U$24</f>
        <v>46.996948872959194</v>
      </c>
      <c r="W315" s="257">
        <f>$K$305/V$24</f>
        <v>46.996948872959194</v>
      </c>
      <c r="X315" s="257">
        <f>$K$305/W$24</f>
        <v>46.996948872959194</v>
      </c>
    </row>
    <row r="316" spans="1:24">
      <c r="A316" s="240">
        <v>44834</v>
      </c>
      <c r="B316" s="272" t="s">
        <v>40</v>
      </c>
      <c r="C316" s="234"/>
      <c r="D316" s="257"/>
      <c r="E316" s="257"/>
      <c r="F316" s="257"/>
      <c r="G316" s="257"/>
      <c r="H316" s="257"/>
      <c r="I316" s="257"/>
      <c r="J316" s="257"/>
      <c r="K316" s="257"/>
      <c r="L316" s="257"/>
      <c r="M316" s="257"/>
      <c r="N316" s="257"/>
      <c r="O316" s="257"/>
      <c r="P316" s="257"/>
      <c r="Q316" s="257"/>
      <c r="R316" s="257"/>
      <c r="S316" s="257"/>
      <c r="T316" s="257"/>
      <c r="U316" s="257">
        <f>$L$305/T$24</f>
        <v>37.624435228957459</v>
      </c>
      <c r="V316" s="257">
        <f>$L$305/U$24</f>
        <v>37.624435228957459</v>
      </c>
      <c r="W316" s="257">
        <f>$L$305/V$24</f>
        <v>37.624435228957459</v>
      </c>
      <c r="X316" s="257">
        <f>$L$305/W$24</f>
        <v>37.624435228957459</v>
      </c>
    </row>
    <row r="317" spans="1:24">
      <c r="A317" s="240">
        <v>45199</v>
      </c>
      <c r="B317" s="272" t="s">
        <v>40</v>
      </c>
      <c r="C317" s="234"/>
      <c r="D317" s="257"/>
      <c r="E317" s="257"/>
      <c r="F317" s="257"/>
      <c r="G317" s="257"/>
      <c r="H317" s="257"/>
      <c r="I317" s="257"/>
      <c r="J317" s="257"/>
      <c r="K317" s="257"/>
      <c r="L317" s="257"/>
      <c r="M317" s="257"/>
      <c r="N317" s="257"/>
      <c r="O317" s="257"/>
      <c r="P317" s="257"/>
      <c r="Q317" s="257"/>
      <c r="R317" s="257"/>
      <c r="S317" s="257"/>
      <c r="T317" s="257"/>
      <c r="U317" s="257"/>
      <c r="V317" s="257">
        <f>$M$305/U$24</f>
        <v>34.505502760380452</v>
      </c>
      <c r="W317" s="257">
        <f>$M$305/V$24</f>
        <v>34.505502760380452</v>
      </c>
      <c r="X317" s="257">
        <f>$M$305/W$24</f>
        <v>34.505502760380452</v>
      </c>
    </row>
    <row r="318" spans="1:24">
      <c r="A318" s="240">
        <v>45565</v>
      </c>
      <c r="B318" s="272" t="s">
        <v>40</v>
      </c>
      <c r="C318" s="234"/>
      <c r="D318" s="257"/>
      <c r="E318" s="257"/>
      <c r="F318" s="257"/>
      <c r="G318" s="257"/>
      <c r="H318" s="257"/>
      <c r="I318" s="257"/>
      <c r="J318" s="257"/>
      <c r="K318" s="257"/>
      <c r="L318" s="257"/>
      <c r="M318" s="257"/>
      <c r="N318" s="257"/>
      <c r="O318" s="257"/>
      <c r="P318" s="257"/>
      <c r="Q318" s="257"/>
      <c r="R318" s="257"/>
      <c r="S318" s="257"/>
      <c r="T318" s="257"/>
      <c r="U318" s="257"/>
      <c r="V318" s="257"/>
      <c r="W318" s="257">
        <f>$N$305/V$24</f>
        <v>30.709556568851458</v>
      </c>
      <c r="X318" s="257">
        <f>$N$305/W$24</f>
        <v>30.709556568851458</v>
      </c>
    </row>
    <row r="319" spans="1:24">
      <c r="A319" s="240">
        <v>45930</v>
      </c>
      <c r="B319" s="272" t="s">
        <v>40</v>
      </c>
      <c r="C319" s="234"/>
      <c r="D319" s="257"/>
      <c r="E319" s="257"/>
      <c r="F319" s="257"/>
      <c r="G319" s="257"/>
      <c r="H319" s="257"/>
      <c r="I319" s="257"/>
      <c r="J319" s="257"/>
      <c r="K319" s="257"/>
      <c r="L319" s="257"/>
      <c r="M319" s="257"/>
      <c r="N319" s="257"/>
      <c r="O319" s="257"/>
      <c r="P319" s="257"/>
      <c r="Q319" s="257"/>
      <c r="R319" s="257"/>
      <c r="S319" s="257"/>
      <c r="T319" s="257"/>
      <c r="U319" s="257"/>
      <c r="V319" s="257"/>
      <c r="W319" s="257"/>
      <c r="X319" s="257">
        <f>$O$305/W$24</f>
        <v>29.253556568851458</v>
      </c>
    </row>
    <row r="321" spans="1:18">
      <c r="A321" s="65" t="s">
        <v>526</v>
      </c>
      <c r="C321" s="269" t="s">
        <v>286</v>
      </c>
      <c r="D321" s="245">
        <v>39538</v>
      </c>
      <c r="E321" s="245">
        <v>39721</v>
      </c>
      <c r="F321" s="245">
        <v>40086</v>
      </c>
      <c r="G321" s="245">
        <v>40268</v>
      </c>
      <c r="H321" s="245">
        <v>40451</v>
      </c>
      <c r="I321" s="245">
        <v>40816</v>
      </c>
      <c r="J321" s="245">
        <v>41182</v>
      </c>
      <c r="K321" s="245">
        <v>41547</v>
      </c>
      <c r="L321" s="245">
        <v>41912</v>
      </c>
      <c r="M321" s="245">
        <v>42277</v>
      </c>
      <c r="N321" s="245">
        <v>42643</v>
      </c>
      <c r="O321" s="245">
        <v>43008</v>
      </c>
      <c r="P321" s="245">
        <v>43373</v>
      </c>
      <c r="Q321" s="245">
        <v>43738</v>
      </c>
      <c r="R321" s="245">
        <v>44104</v>
      </c>
    </row>
    <row r="322" spans="1:18">
      <c r="A322" s="65"/>
      <c r="B322" s="65" t="s">
        <v>10</v>
      </c>
      <c r="C322" s="65" t="s">
        <v>11</v>
      </c>
      <c r="D322" s="245"/>
      <c r="E322" s="245"/>
      <c r="F322" s="245"/>
      <c r="G322" s="245"/>
      <c r="H322" s="245"/>
      <c r="I322" s="245"/>
      <c r="J322" s="245"/>
      <c r="K322" s="245"/>
      <c r="L322" s="245"/>
      <c r="M322" s="245"/>
      <c r="N322" s="245"/>
      <c r="O322" s="245"/>
      <c r="P322" s="245"/>
      <c r="Q322" s="245"/>
      <c r="R322" s="245"/>
    </row>
    <row r="323" spans="1:18">
      <c r="A323" s="63" t="s">
        <v>39</v>
      </c>
      <c r="B323" s="272" t="s">
        <v>40</v>
      </c>
      <c r="C323" s="234" t="s">
        <v>218</v>
      </c>
      <c r="D323" s="236"/>
      <c r="E323" s="236"/>
      <c r="F323" s="236"/>
      <c r="G323" s="236"/>
      <c r="H323" s="236"/>
      <c r="I323" s="236"/>
      <c r="J323" s="236"/>
      <c r="K323" s="236"/>
      <c r="L323" s="236">
        <f>'RAB inputs'!D70</f>
        <v>0</v>
      </c>
      <c r="M323" s="236">
        <f t="shared" ref="M323:R323" si="69">L326</f>
        <v>0</v>
      </c>
      <c r="N323" s="236">
        <f t="shared" si="69"/>
        <v>0</v>
      </c>
      <c r="O323" s="236">
        <f t="shared" si="69"/>
        <v>0</v>
      </c>
      <c r="P323" s="236">
        <f t="shared" si="69"/>
        <v>0</v>
      </c>
      <c r="Q323" s="236">
        <f t="shared" si="69"/>
        <v>0</v>
      </c>
      <c r="R323" s="236">
        <f t="shared" si="69"/>
        <v>0</v>
      </c>
    </row>
    <row r="324" spans="1:18">
      <c r="A324" s="63" t="s">
        <v>60</v>
      </c>
      <c r="B324" s="272" t="s">
        <v>40</v>
      </c>
      <c r="C324" s="234" t="s">
        <v>218</v>
      </c>
      <c r="D324" s="236"/>
      <c r="E324" s="236"/>
      <c r="F324" s="236"/>
      <c r="G324" s="236"/>
      <c r="H324" s="236"/>
      <c r="I324" s="236"/>
      <c r="J324" s="236"/>
      <c r="K324" s="236"/>
      <c r="L324" s="236">
        <f t="shared" ref="L324:Q324" si="70">D303</f>
        <v>0</v>
      </c>
      <c r="M324" s="236">
        <f t="shared" si="70"/>
        <v>0</v>
      </c>
      <c r="N324" s="236">
        <f t="shared" si="70"/>
        <v>0</v>
      </c>
      <c r="O324" s="236">
        <f t="shared" si="70"/>
        <v>0</v>
      </c>
      <c r="P324" s="236">
        <f t="shared" si="70"/>
        <v>0</v>
      </c>
      <c r="Q324" s="236">
        <f t="shared" si="70"/>
        <v>0</v>
      </c>
      <c r="R324" s="236">
        <f>J304</f>
        <v>22710.757543166063</v>
      </c>
    </row>
    <row r="325" spans="1:18">
      <c r="A325" s="63" t="s">
        <v>61</v>
      </c>
      <c r="B325" s="272" t="s">
        <v>40</v>
      </c>
      <c r="C325" s="234" t="s">
        <v>218</v>
      </c>
      <c r="D325" s="236"/>
      <c r="E325" s="236"/>
      <c r="F325" s="236"/>
      <c r="G325" s="236"/>
      <c r="H325" s="236"/>
      <c r="I325" s="236"/>
      <c r="J325" s="236"/>
      <c r="K325" s="236"/>
      <c r="L325" s="236">
        <f t="shared" ref="L325:R325" si="71">SUM(M310:M314)</f>
        <v>0</v>
      </c>
      <c r="M325" s="236">
        <f t="shared" si="71"/>
        <v>0</v>
      </c>
      <c r="N325" s="236">
        <f t="shared" si="71"/>
        <v>0</v>
      </c>
      <c r="O325" s="236">
        <f t="shared" si="71"/>
        <v>0</v>
      </c>
      <c r="P325" s="236">
        <f t="shared" si="71"/>
        <v>0</v>
      </c>
      <c r="Q325" s="236">
        <f t="shared" si="71"/>
        <v>0</v>
      </c>
      <c r="R325" s="236">
        <f t="shared" si="71"/>
        <v>4542.1515086332129</v>
      </c>
    </row>
    <row r="326" spans="1:18">
      <c r="A326" s="63" t="s">
        <v>45</v>
      </c>
      <c r="B326" s="272" t="s">
        <v>40</v>
      </c>
      <c r="C326" s="234" t="s">
        <v>218</v>
      </c>
      <c r="D326" s="236"/>
      <c r="E326" s="236"/>
      <c r="F326" s="236"/>
      <c r="G326" s="236"/>
      <c r="H326" s="236"/>
      <c r="I326" s="236"/>
      <c r="J326" s="236"/>
      <c r="K326" s="236"/>
      <c r="L326" s="236">
        <f>L323+L324-L325</f>
        <v>0</v>
      </c>
      <c r="M326" s="236">
        <f t="shared" ref="M326:R326" si="72">M323+M324-M325</f>
        <v>0</v>
      </c>
      <c r="N326" s="236">
        <f t="shared" si="72"/>
        <v>0</v>
      </c>
      <c r="O326" s="236">
        <f t="shared" si="72"/>
        <v>0</v>
      </c>
      <c r="P326" s="236">
        <f t="shared" si="72"/>
        <v>0</v>
      </c>
      <c r="Q326" s="236">
        <f t="shared" si="72"/>
        <v>0</v>
      </c>
      <c r="R326" s="236">
        <f t="shared" si="72"/>
        <v>18168.606034532851</v>
      </c>
    </row>
    <row r="327" spans="1:18">
      <c r="A327" s="63" t="s">
        <v>46</v>
      </c>
      <c r="B327" s="272" t="s">
        <v>40</v>
      </c>
      <c r="C327" s="234" t="s">
        <v>218</v>
      </c>
      <c r="D327" s="236"/>
      <c r="E327" s="236"/>
      <c r="F327" s="236"/>
      <c r="G327" s="236"/>
      <c r="H327" s="236"/>
      <c r="I327" s="236"/>
      <c r="J327" s="236"/>
      <c r="K327" s="236"/>
      <c r="L327" s="236">
        <f t="shared" ref="L327:R327" si="73">AVERAGE(L323,L326)</f>
        <v>0</v>
      </c>
      <c r="M327" s="236">
        <f t="shared" si="73"/>
        <v>0</v>
      </c>
      <c r="N327" s="236">
        <f t="shared" si="73"/>
        <v>0</v>
      </c>
      <c r="O327" s="236">
        <f t="shared" si="73"/>
        <v>0</v>
      </c>
      <c r="P327" s="236">
        <f t="shared" si="73"/>
        <v>0</v>
      </c>
      <c r="Q327" s="236">
        <f t="shared" si="73"/>
        <v>0</v>
      </c>
      <c r="R327" s="236">
        <f t="shared" si="73"/>
        <v>9084.3030172664257</v>
      </c>
    </row>
    <row r="328" spans="1:18">
      <c r="D328" s="234"/>
      <c r="E328" s="234"/>
      <c r="F328" s="234"/>
      <c r="G328" s="234"/>
      <c r="H328" s="234"/>
    </row>
    <row r="329" spans="1:18">
      <c r="A329" s="65" t="s">
        <v>527</v>
      </c>
      <c r="C329" s="269" t="s">
        <v>286</v>
      </c>
      <c r="D329" s="245">
        <v>44469</v>
      </c>
      <c r="E329" s="245">
        <v>44834</v>
      </c>
      <c r="F329" s="245">
        <v>45199</v>
      </c>
      <c r="G329" s="245">
        <v>45565</v>
      </c>
      <c r="H329" s="245">
        <v>45930</v>
      </c>
    </row>
    <row r="330" spans="1:18">
      <c r="A330" s="65"/>
      <c r="B330" s="65" t="s">
        <v>10</v>
      </c>
      <c r="C330" s="65" t="s">
        <v>11</v>
      </c>
      <c r="D330" s="245"/>
      <c r="E330" s="245"/>
      <c r="F330" s="245"/>
      <c r="G330" s="245"/>
      <c r="H330" s="245"/>
    </row>
    <row r="331" spans="1:18">
      <c r="A331" s="63" t="s">
        <v>39</v>
      </c>
      <c r="B331" s="272" t="s">
        <v>40</v>
      </c>
      <c r="C331" s="234" t="s">
        <v>54</v>
      </c>
      <c r="D331" s="236">
        <f>R326*K18</f>
        <v>20606.537830888039</v>
      </c>
      <c r="E331" s="236">
        <f t="shared" ref="E331" si="74">D334</f>
        <v>15642.891168657865</v>
      </c>
      <c r="F331" s="236">
        <f t="shared" ref="F331" si="75">E334</f>
        <v>10594.757502978726</v>
      </c>
      <c r="G331" s="236">
        <f t="shared" ref="G331:H331" si="76">F334</f>
        <v>5496.5236721963211</v>
      </c>
      <c r="H331" s="236">
        <f t="shared" si="76"/>
        <v>348.60055388741966</v>
      </c>
    </row>
    <row r="332" spans="1:18">
      <c r="A332" s="63" t="s">
        <v>60</v>
      </c>
      <c r="B332" s="272" t="s">
        <v>40</v>
      </c>
      <c r="C332" s="234" t="s">
        <v>54</v>
      </c>
      <c r="D332" s="236">
        <f>K305</f>
        <v>234.98474436479597</v>
      </c>
      <c r="E332" s="236">
        <f>L305</f>
        <v>188.12217614478729</v>
      </c>
      <c r="F332" s="236">
        <f>M305</f>
        <v>172.52751380190224</v>
      </c>
      <c r="G332" s="236">
        <f>N305</f>
        <v>153.54778284425728</v>
      </c>
      <c r="H332" s="236">
        <f>O305</f>
        <v>146.26778284425728</v>
      </c>
    </row>
    <row r="333" spans="1:18">
      <c r="A333" s="63" t="s">
        <v>61</v>
      </c>
      <c r="B333" s="272" t="s">
        <v>40</v>
      </c>
      <c r="C333" s="234" t="s">
        <v>54</v>
      </c>
      <c r="D333" s="236">
        <f>SUM(T310:T319)</f>
        <v>5198.6314065949691</v>
      </c>
      <c r="E333" s="236">
        <f>SUM(U310:U319)</f>
        <v>5236.2558418239269</v>
      </c>
      <c r="F333" s="236">
        <f>SUM(V310:V319)</f>
        <v>5270.7613445843072</v>
      </c>
      <c r="G333" s="236">
        <f>SUM(W310:W319)</f>
        <v>5301.4709011531586</v>
      </c>
      <c r="H333" s="236">
        <f>SUM(X310:X319)</f>
        <v>179.09</v>
      </c>
    </row>
    <row r="334" spans="1:18">
      <c r="A334" s="63" t="s">
        <v>45</v>
      </c>
      <c r="B334" s="272" t="s">
        <v>40</v>
      </c>
      <c r="C334" s="234" t="s">
        <v>54</v>
      </c>
      <c r="D334" s="236">
        <f t="shared" ref="D334:H334" si="77">D331+D332-D333</f>
        <v>15642.891168657865</v>
      </c>
      <c r="E334" s="236">
        <f t="shared" si="77"/>
        <v>10594.757502978726</v>
      </c>
      <c r="F334" s="236">
        <f t="shared" si="77"/>
        <v>5496.5236721963211</v>
      </c>
      <c r="G334" s="236">
        <f t="shared" si="77"/>
        <v>348.60055388741966</v>
      </c>
      <c r="H334" s="236">
        <f t="shared" si="77"/>
        <v>315.77833673167697</v>
      </c>
    </row>
    <row r="335" spans="1:18">
      <c r="A335" s="63" t="s">
        <v>46</v>
      </c>
      <c r="B335" s="272" t="s">
        <v>40</v>
      </c>
      <c r="C335" s="234" t="s">
        <v>54</v>
      </c>
      <c r="D335" s="236">
        <f t="shared" ref="D335:H335" si="78">AVERAGE(D331,D334)</f>
        <v>18124.714499772952</v>
      </c>
      <c r="E335" s="236">
        <f t="shared" si="78"/>
        <v>13118.824335818295</v>
      </c>
      <c r="F335" s="236">
        <f t="shared" si="78"/>
        <v>8045.6405875875234</v>
      </c>
      <c r="G335" s="236">
        <f t="shared" si="78"/>
        <v>2922.5621130418704</v>
      </c>
      <c r="H335" s="236">
        <f t="shared" si="78"/>
        <v>332.18944530954832</v>
      </c>
    </row>
    <row r="337" spans="1:18" ht="18">
      <c r="A337" s="267" t="s">
        <v>331</v>
      </c>
      <c r="B337" s="268"/>
      <c r="C337"/>
      <c r="D337"/>
      <c r="E337"/>
      <c r="F337"/>
      <c r="G337"/>
      <c r="H337"/>
      <c r="I337"/>
      <c r="J337"/>
      <c r="K337"/>
      <c r="L337"/>
      <c r="M337"/>
      <c r="N337"/>
      <c r="O337"/>
      <c r="P337"/>
      <c r="Q337"/>
      <c r="R337"/>
    </row>
    <row r="338" spans="1:18">
      <c r="C338" s="270" t="s">
        <v>11</v>
      </c>
      <c r="D338" s="234" t="s">
        <v>218</v>
      </c>
      <c r="E338" s="234" t="s">
        <v>218</v>
      </c>
      <c r="F338" s="234" t="s">
        <v>218</v>
      </c>
      <c r="G338" s="234" t="s">
        <v>218</v>
      </c>
      <c r="H338" s="234" t="s">
        <v>218</v>
      </c>
      <c r="I338" s="234" t="s">
        <v>218</v>
      </c>
      <c r="J338" s="234" t="s">
        <v>218</v>
      </c>
      <c r="K338" s="234" t="s">
        <v>218</v>
      </c>
      <c r="L338" s="234" t="s">
        <v>218</v>
      </c>
      <c r="M338" s="234" t="s">
        <v>218</v>
      </c>
      <c r="N338" s="234" t="s">
        <v>54</v>
      </c>
      <c r="O338" s="234" t="s">
        <v>54</v>
      </c>
      <c r="P338" s="234" t="s">
        <v>54</v>
      </c>
      <c r="Q338" s="234" t="s">
        <v>54</v>
      </c>
      <c r="R338" s="234" t="s">
        <v>54</v>
      </c>
    </row>
    <row r="339" spans="1:18">
      <c r="A339" s="65" t="s">
        <v>339</v>
      </c>
      <c r="B339" s="1" t="s">
        <v>10</v>
      </c>
      <c r="C339" s="1"/>
      <c r="D339" s="238" t="s">
        <v>35</v>
      </c>
      <c r="E339" s="238" t="s">
        <v>36</v>
      </c>
      <c r="F339" s="238" t="s">
        <v>37</v>
      </c>
      <c r="G339" s="238" t="s">
        <v>15</v>
      </c>
      <c r="H339" s="238" t="s">
        <v>16</v>
      </c>
      <c r="I339" s="238" t="s">
        <v>0</v>
      </c>
      <c r="J339" s="238" t="s">
        <v>1</v>
      </c>
      <c r="K339" s="238" t="s">
        <v>2</v>
      </c>
      <c r="L339" s="238" t="s">
        <v>3</v>
      </c>
      <c r="M339" s="238" t="s">
        <v>4</v>
      </c>
      <c r="N339" s="238" t="s">
        <v>5</v>
      </c>
      <c r="O339" s="238" t="s">
        <v>6</v>
      </c>
      <c r="P339" s="238" t="s">
        <v>7</v>
      </c>
      <c r="Q339" s="238" t="s">
        <v>8</v>
      </c>
      <c r="R339" s="238" t="s">
        <v>9</v>
      </c>
    </row>
    <row r="340" spans="1:18">
      <c r="A340" s="234" t="s">
        <v>332</v>
      </c>
      <c r="B340" s="272" t="s">
        <v>40</v>
      </c>
      <c r="C340"/>
      <c r="D340" s="236">
        <f>RAB!I217</f>
        <v>20635.531193930885</v>
      </c>
      <c r="E340" s="236">
        <f>RAB!J217</f>
        <v>18126.835687343329</v>
      </c>
      <c r="F340" s="236">
        <f>RAB!K217</f>
        <v>15821.779178736026</v>
      </c>
      <c r="G340" s="236">
        <f>RAB!L217</f>
        <v>12329.246935164629</v>
      </c>
      <c r="H340" s="236">
        <f>RAB!M217</f>
        <v>10028.13552866684</v>
      </c>
      <c r="I340" s="236">
        <f>RAB!N217</f>
        <v>6430.878756370128</v>
      </c>
      <c r="J340" s="236">
        <f>RAB!O217</f>
        <v>4935.7856501899369</v>
      </c>
      <c r="K340" s="236">
        <f>RAB!P217</f>
        <v>4408.8797609515914</v>
      </c>
      <c r="L340" s="236">
        <f>RAB!Q217</f>
        <v>3784.8920806128053</v>
      </c>
      <c r="M340" s="236">
        <f>RAB!R217</f>
        <v>3616.4101462321428</v>
      </c>
      <c r="N340" s="236">
        <f>RAB!D253</f>
        <v>4566.0370046723847</v>
      </c>
      <c r="O340" s="236">
        <f>RAB!E253</f>
        <v>6996.8549243958023</v>
      </c>
      <c r="P340" s="236">
        <f>RAB!F253</f>
        <v>7639.6229937432017</v>
      </c>
      <c r="Q340" s="236">
        <f>RAB!G253</f>
        <v>7607.9716049926346</v>
      </c>
      <c r="R340" s="236">
        <f>RAB!H253</f>
        <v>6993.9129023948472</v>
      </c>
    </row>
    <row r="341" spans="1:18">
      <c r="A341" s="234" t="s">
        <v>60</v>
      </c>
      <c r="B341" s="272" t="s">
        <v>40</v>
      </c>
      <c r="C341"/>
      <c r="D341" s="236">
        <f>RAB!I218+RAB!I219</f>
        <v>1013.3891382405744</v>
      </c>
      <c r="E341" s="236">
        <f>RAB!J218+RAB!J219</f>
        <v>1365.722621184919</v>
      </c>
      <c r="F341" s="236">
        <f>RAB!K218+RAB!K219</f>
        <v>281.17818671454216</v>
      </c>
      <c r="G341" s="236">
        <f>RAB!L218+RAB!L219</f>
        <v>1589.5175044883301</v>
      </c>
      <c r="H341" s="236">
        <f>RAB!M218+RAB!M219</f>
        <v>418.89811490125669</v>
      </c>
      <c r="I341" s="236">
        <f>RAB!N218+RAB!N219</f>
        <v>1161.5558530986993</v>
      </c>
      <c r="J341" s="236">
        <f>RAB!O218+RAB!O219</f>
        <v>1011.59859571323</v>
      </c>
      <c r="K341" s="236">
        <f>RAB!P218+RAB!P219</f>
        <v>714.96585627457989</v>
      </c>
      <c r="L341" s="236">
        <f>RAB!Q218+RAB!Q219</f>
        <v>1144.9293199167246</v>
      </c>
      <c r="M341" s="236">
        <f>RAB!R218+RAB!R219</f>
        <v>1702.7770334928227</v>
      </c>
      <c r="N341" s="236">
        <f>RAB!D254</f>
        <v>4230.7503128243552</v>
      </c>
      <c r="O341" s="236">
        <f>RAB!E254</f>
        <v>2910.3331625002429</v>
      </c>
      <c r="P341" s="236">
        <f>RAB!F254</f>
        <v>2590.1365390713927</v>
      </c>
      <c r="Q341" s="236">
        <f>RAB!G254</f>
        <v>2284.2184327649684</v>
      </c>
      <c r="R341" s="236">
        <f>RAB!H254</f>
        <v>2142.0615528390408</v>
      </c>
    </row>
    <row r="342" spans="1:18">
      <c r="A342" s="234" t="s">
        <v>61</v>
      </c>
      <c r="B342" s="272" t="s">
        <v>40</v>
      </c>
      <c r="C342"/>
      <c r="D342" s="236">
        <f>RAB!I220</f>
        <v>3522.08464482813</v>
      </c>
      <c r="E342" s="236">
        <f>RAB!J220</f>
        <v>3670.7791297922236</v>
      </c>
      <c r="F342" s="236">
        <f>RAB!K220</f>
        <v>3773.7104302859398</v>
      </c>
      <c r="G342" s="236">
        <f>RAB!L220</f>
        <v>3890.6289109861195</v>
      </c>
      <c r="H342" s="236">
        <f>RAB!M220</f>
        <v>4016.1548871979685</v>
      </c>
      <c r="I342" s="236">
        <f>RAB!N220</f>
        <v>2656.6489592788898</v>
      </c>
      <c r="J342" s="236">
        <f>RAB!O220</f>
        <v>1538.5044849515753</v>
      </c>
      <c r="K342" s="236">
        <f>RAB!P220</f>
        <v>1338.9535366133662</v>
      </c>
      <c r="L342" s="236">
        <f>RAB!Q220</f>
        <v>1313.4112542973876</v>
      </c>
      <c r="M342" s="236">
        <f>RAB!R220</f>
        <v>1293.3518764921814</v>
      </c>
      <c r="N342" s="236">
        <f>RAB!D255+RAB!D256</f>
        <v>1799.9323931009371</v>
      </c>
      <c r="O342" s="236">
        <f>RAB!E255+RAB!E256</f>
        <v>2267.5650931528439</v>
      </c>
      <c r="P342" s="236">
        <f>RAB!F255+RAB!F256</f>
        <v>2621.7879278219598</v>
      </c>
      <c r="Q342" s="236">
        <f>RAB!G255+RAB!G256</f>
        <v>2898.277135362755</v>
      </c>
      <c r="R342" s="236">
        <f>RAB!H255+RAB!H256</f>
        <v>3017.9229051750667</v>
      </c>
    </row>
    <row r="343" spans="1:18">
      <c r="A343" s="234" t="s">
        <v>333</v>
      </c>
      <c r="B343" s="272" t="s">
        <v>40</v>
      </c>
      <c r="C343"/>
      <c r="D343" s="236">
        <f>RAB!I221</f>
        <v>18126.835687343329</v>
      </c>
      <c r="E343" s="236">
        <f>RAB!J221</f>
        <v>15821.779178736026</v>
      </c>
      <c r="F343" s="236">
        <f>RAB!K221</f>
        <v>12329.246935164629</v>
      </c>
      <c r="G343" s="236">
        <f>RAB!L221</f>
        <v>10028.13552866684</v>
      </c>
      <c r="H343" s="236">
        <f>RAB!M221</f>
        <v>6430.878756370128</v>
      </c>
      <c r="I343" s="236">
        <f>RAB!N221</f>
        <v>4935.7856501899369</v>
      </c>
      <c r="J343" s="236">
        <f>RAB!O221</f>
        <v>4408.8797609515914</v>
      </c>
      <c r="K343" s="236">
        <f>RAB!P221</f>
        <v>3784.8920806128053</v>
      </c>
      <c r="L343" s="236">
        <f>RAB!Q221</f>
        <v>3616.4101462321428</v>
      </c>
      <c r="M343" s="236">
        <f>RAB!R221</f>
        <v>4025.8353032327846</v>
      </c>
      <c r="N343" s="236">
        <f>RAB!D257</f>
        <v>6996.8549243958023</v>
      </c>
      <c r="O343" s="236">
        <f>RAB!E257</f>
        <v>7639.6229937432017</v>
      </c>
      <c r="P343" s="236">
        <f>RAB!F257</f>
        <v>7607.9716049926346</v>
      </c>
      <c r="Q343" s="236">
        <f>RAB!G257</f>
        <v>6993.9129023948472</v>
      </c>
      <c r="R343" s="236">
        <f>RAB!H257</f>
        <v>6118.0515500588226</v>
      </c>
    </row>
    <row r="344" spans="1:18">
      <c r="A344" s="234" t="s">
        <v>237</v>
      </c>
      <c r="B344" s="272" t="s">
        <v>40</v>
      </c>
      <c r="C344"/>
      <c r="D344" s="236">
        <f>RAB!I222</f>
        <v>19381.183440637105</v>
      </c>
      <c r="E344" s="236">
        <f>RAB!J222</f>
        <v>16974.307433039678</v>
      </c>
      <c r="F344" s="236">
        <f>RAB!K222</f>
        <v>14075.513056950327</v>
      </c>
      <c r="G344" s="236">
        <f>RAB!L222</f>
        <v>11178.691231915735</v>
      </c>
      <c r="H344" s="236">
        <f>RAB!M222</f>
        <v>8229.5071425184833</v>
      </c>
      <c r="I344" s="236">
        <f>RAB!N222</f>
        <v>5683.3322032800324</v>
      </c>
      <c r="J344" s="236">
        <f>RAB!O222</f>
        <v>4672.3327055707641</v>
      </c>
      <c r="K344" s="236">
        <f>RAB!P222</f>
        <v>4096.8859207821988</v>
      </c>
      <c r="L344" s="236">
        <f>RAB!Q222</f>
        <v>3700.6511134224738</v>
      </c>
      <c r="M344" s="236">
        <f>RAB!R222</f>
        <v>3821.1227247324637</v>
      </c>
      <c r="N344" s="236">
        <f>RAB!D258</f>
        <v>5781.4459645340939</v>
      </c>
      <c r="O344" s="236">
        <f>RAB!E258</f>
        <v>7318.238959069502</v>
      </c>
      <c r="P344" s="236">
        <f>RAB!F258</f>
        <v>7623.7972993679177</v>
      </c>
      <c r="Q344" s="236">
        <f>RAB!G258</f>
        <v>7300.9422536937409</v>
      </c>
      <c r="R344" s="236">
        <f>RAB!H258</f>
        <v>6555.9822262268353</v>
      </c>
    </row>
    <row r="346" spans="1:18">
      <c r="C346" s="270" t="s">
        <v>11</v>
      </c>
      <c r="D346" s="234" t="s">
        <v>218</v>
      </c>
      <c r="E346" s="234" t="s">
        <v>218</v>
      </c>
      <c r="F346" s="234" t="s">
        <v>218</v>
      </c>
      <c r="G346" s="234" t="s">
        <v>218</v>
      </c>
      <c r="H346" s="234" t="s">
        <v>218</v>
      </c>
      <c r="I346" s="234" t="s">
        <v>218</v>
      </c>
      <c r="J346" s="234" t="s">
        <v>218</v>
      </c>
      <c r="K346" s="234" t="s">
        <v>218</v>
      </c>
      <c r="L346" s="234" t="s">
        <v>218</v>
      </c>
      <c r="M346" s="234" t="s">
        <v>218</v>
      </c>
      <c r="N346" s="234" t="s">
        <v>54</v>
      </c>
      <c r="O346" s="234" t="s">
        <v>54</v>
      </c>
      <c r="P346" s="234" t="s">
        <v>54</v>
      </c>
      <c r="Q346" s="234" t="s">
        <v>54</v>
      </c>
      <c r="R346" s="234" t="s">
        <v>54</v>
      </c>
    </row>
    <row r="347" spans="1:18">
      <c r="A347" s="65" t="s">
        <v>340</v>
      </c>
      <c r="B347" s="1" t="s">
        <v>10</v>
      </c>
      <c r="C347" s="1"/>
      <c r="D347" s="238" t="s">
        <v>35</v>
      </c>
      <c r="E347" s="238" t="s">
        <v>36</v>
      </c>
      <c r="F347" s="238" t="s">
        <v>37</v>
      </c>
      <c r="G347" s="238" t="s">
        <v>15</v>
      </c>
      <c r="H347" s="238" t="s">
        <v>16</v>
      </c>
      <c r="I347" s="238" t="s">
        <v>0</v>
      </c>
      <c r="J347" s="238" t="s">
        <v>1</v>
      </c>
      <c r="K347" s="238" t="s">
        <v>2</v>
      </c>
      <c r="L347" s="238" t="s">
        <v>3</v>
      </c>
      <c r="M347" s="238" t="s">
        <v>4</v>
      </c>
      <c r="N347" s="238" t="s">
        <v>5</v>
      </c>
      <c r="O347" s="238" t="s">
        <v>6</v>
      </c>
      <c r="P347" s="238" t="s">
        <v>7</v>
      </c>
      <c r="Q347" s="238" t="s">
        <v>8</v>
      </c>
      <c r="R347" s="238" t="s">
        <v>9</v>
      </c>
    </row>
    <row r="348" spans="1:18">
      <c r="A348" s="234" t="s">
        <v>332</v>
      </c>
      <c r="B348" s="272" t="s">
        <v>40</v>
      </c>
      <c r="C348"/>
      <c r="D348" s="236">
        <f>RAB!I225</f>
        <v>0</v>
      </c>
      <c r="E348" s="236">
        <f>RAB!J225</f>
        <v>1425.0110502692996</v>
      </c>
      <c r="F348" s="236">
        <f>RAB!K225</f>
        <v>2791.8583842010771</v>
      </c>
      <c r="G348" s="236">
        <f>RAB!L225</f>
        <v>2675.5309515260324</v>
      </c>
      <c r="H348" s="236">
        <f>RAB!M225</f>
        <v>2559.2035188509876</v>
      </c>
      <c r="I348" s="236">
        <f>RAB!N225</f>
        <v>2442.8760861759429</v>
      </c>
      <c r="J348" s="236">
        <f>RAB!O225</f>
        <v>2436.6674783660942</v>
      </c>
      <c r="K348" s="236">
        <f>RAB!P225</f>
        <v>2346.8800087110785</v>
      </c>
      <c r="L348" s="236">
        <f>RAB!Q225</f>
        <v>2252.5790028816004</v>
      </c>
      <c r="M348" s="236">
        <f>RAB!R225</f>
        <v>2167.808356175869</v>
      </c>
      <c r="N348" s="236">
        <f>RAB!D261</f>
        <v>2499.0312972001093</v>
      </c>
      <c r="O348" s="236">
        <f>RAB!E261</f>
        <v>2379.8474799432333</v>
      </c>
      <c r="P348" s="236">
        <f>RAB!F261</f>
        <v>2258.7636626863573</v>
      </c>
      <c r="Q348" s="236">
        <f>RAB!G261</f>
        <v>2099.0298454294816</v>
      </c>
      <c r="R348" s="236">
        <f>RAB!H261</f>
        <v>1938.8960281726058</v>
      </c>
    </row>
    <row r="349" spans="1:18">
      <c r="A349" s="234" t="s">
        <v>60</v>
      </c>
      <c r="B349" s="272" t="s">
        <v>40</v>
      </c>
      <c r="C349"/>
      <c r="D349" s="236">
        <f>RAB!I226+RAB!I227</f>
        <v>1454.0929084380609</v>
      </c>
      <c r="E349" s="236">
        <f>RAB!J226+RAB!J227</f>
        <v>1454.0929084380609</v>
      </c>
      <c r="F349" s="236">
        <f>RAB!K226+RAB!K227</f>
        <v>0</v>
      </c>
      <c r="G349" s="236">
        <f>RAB!L226+RAB!L227</f>
        <v>0</v>
      </c>
      <c r="H349" s="236">
        <f>RAB!M226+RAB!M227</f>
        <v>0</v>
      </c>
      <c r="I349" s="236">
        <f>RAB!N226+RAB!N227</f>
        <v>95.863045141545527</v>
      </c>
      <c r="J349" s="236">
        <f>RAB!O226+RAB!O227</f>
        <v>12.284183296378417</v>
      </c>
      <c r="K349" s="236">
        <f>RAB!P226+RAB!P227</f>
        <v>7.7706471219163387</v>
      </c>
      <c r="L349" s="236">
        <f>RAB!Q226+RAB!Q227</f>
        <v>17.301006245662734</v>
      </c>
      <c r="M349" s="236">
        <f>RAB!R226+RAB!R227</f>
        <v>137.63755980861242</v>
      </c>
      <c r="N349" s="236">
        <f>RAB!D262</f>
        <v>47.5</v>
      </c>
      <c r="O349" s="236">
        <f>RAB!E262</f>
        <v>47.5</v>
      </c>
      <c r="P349" s="236">
        <f>RAB!F262</f>
        <v>10</v>
      </c>
      <c r="Q349" s="236">
        <f>RAB!G262</f>
        <v>10</v>
      </c>
      <c r="R349" s="236">
        <f>RAB!H262</f>
        <v>10</v>
      </c>
    </row>
    <row r="350" spans="1:18">
      <c r="A350" s="234" t="s">
        <v>61</v>
      </c>
      <c r="B350" s="272" t="s">
        <v>40</v>
      </c>
      <c r="C350"/>
      <c r="D350" s="236">
        <f>RAB!I228</f>
        <v>29.081858168761219</v>
      </c>
      <c r="E350" s="236">
        <f>RAB!J228</f>
        <v>87.24557450628366</v>
      </c>
      <c r="F350" s="236">
        <f>RAB!K228</f>
        <v>116.32743267504488</v>
      </c>
      <c r="G350" s="236">
        <f>RAB!L228</f>
        <v>116.32743267504488</v>
      </c>
      <c r="H350" s="236">
        <f>RAB!M228</f>
        <v>116.32743267504488</v>
      </c>
      <c r="I350" s="236">
        <f>RAB!N228</f>
        <v>102.07165295139427</v>
      </c>
      <c r="J350" s="236">
        <f>RAB!O228</f>
        <v>102.07165295139427</v>
      </c>
      <c r="K350" s="236">
        <f>RAB!P228</f>
        <v>102.07165295139427</v>
      </c>
      <c r="L350" s="236">
        <f>RAB!Q228</f>
        <v>102.07165295139427</v>
      </c>
      <c r="M350" s="236">
        <f>RAB!R228</f>
        <v>102.07165295139427</v>
      </c>
      <c r="N350" s="236">
        <f>RAB!D263+RAB!D264</f>
        <v>166.6838172568759</v>
      </c>
      <c r="O350" s="236">
        <f>RAB!E263+RAB!E264</f>
        <v>168.58381725687593</v>
      </c>
      <c r="P350" s="236">
        <f>RAB!F263+RAB!F264</f>
        <v>169.73381725687591</v>
      </c>
      <c r="Q350" s="236">
        <f>RAB!G263+RAB!G264</f>
        <v>170.13381725687594</v>
      </c>
      <c r="R350" s="236">
        <f>RAB!H263+RAB!H264</f>
        <v>170.53381725687592</v>
      </c>
    </row>
    <row r="351" spans="1:18">
      <c r="A351" s="234" t="s">
        <v>333</v>
      </c>
      <c r="B351" s="272" t="s">
        <v>40</v>
      </c>
      <c r="C351"/>
      <c r="D351" s="236">
        <f>RAB!I229</f>
        <v>1425.0110502692996</v>
      </c>
      <c r="E351" s="236">
        <f>RAB!J229</f>
        <v>2791.8583842010771</v>
      </c>
      <c r="F351" s="236">
        <f>RAB!K229</f>
        <v>2675.5309515260324</v>
      </c>
      <c r="G351" s="236">
        <f>RAB!L229</f>
        <v>2559.2035188509876</v>
      </c>
      <c r="H351" s="236">
        <f>RAB!M229</f>
        <v>2442.8760861759429</v>
      </c>
      <c r="I351" s="236">
        <f>RAB!N229</f>
        <v>2436.6674783660942</v>
      </c>
      <c r="J351" s="236">
        <f>RAB!O229</f>
        <v>2346.8800087110785</v>
      </c>
      <c r="K351" s="236">
        <f>RAB!P229</f>
        <v>2252.5790028816004</v>
      </c>
      <c r="L351" s="236">
        <f>RAB!Q229</f>
        <v>2167.808356175869</v>
      </c>
      <c r="M351" s="236">
        <f>RAB!R229</f>
        <v>2203.3742630330871</v>
      </c>
      <c r="N351" s="236">
        <f>RAB!D265</f>
        <v>2379.8474799432333</v>
      </c>
      <c r="O351" s="236">
        <f>RAB!E265</f>
        <v>2258.7636626863573</v>
      </c>
      <c r="P351" s="236">
        <f>RAB!F265</f>
        <v>2099.0298454294816</v>
      </c>
      <c r="Q351" s="236">
        <f>RAB!G265</f>
        <v>1938.8960281726058</v>
      </c>
      <c r="R351" s="236">
        <f>RAB!H265</f>
        <v>1778.36221091573</v>
      </c>
    </row>
    <row r="352" spans="1:18">
      <c r="A352" s="234" t="s">
        <v>237</v>
      </c>
      <c r="B352" s="272" t="s">
        <v>40</v>
      </c>
      <c r="C352"/>
      <c r="D352" s="236">
        <f>RAB!I230</f>
        <v>712.50552513464982</v>
      </c>
      <c r="E352" s="236">
        <f>RAB!J230</f>
        <v>2108.4347172351881</v>
      </c>
      <c r="F352" s="236">
        <f>RAB!K230</f>
        <v>2733.694667863555</v>
      </c>
      <c r="G352" s="236">
        <f>RAB!L230</f>
        <v>2617.3672351885098</v>
      </c>
      <c r="H352" s="236">
        <f>RAB!M230</f>
        <v>2501.0398025134655</v>
      </c>
      <c r="I352" s="236">
        <f>RAB!N230</f>
        <v>2439.7717822710183</v>
      </c>
      <c r="J352" s="236">
        <f>RAB!O230</f>
        <v>2391.7737435385861</v>
      </c>
      <c r="K352" s="236">
        <f>RAB!P230</f>
        <v>2299.7295057963393</v>
      </c>
      <c r="L352" s="236">
        <f>RAB!Q230</f>
        <v>2210.1936795287347</v>
      </c>
      <c r="M352" s="236">
        <f>RAB!R230</f>
        <v>2185.5913096044778</v>
      </c>
      <c r="N352" s="236">
        <f>RAB!D266</f>
        <v>2439.4393885716713</v>
      </c>
      <c r="O352" s="236">
        <f>RAB!E266</f>
        <v>2319.3055713147951</v>
      </c>
      <c r="P352" s="236">
        <f>RAB!F266</f>
        <v>2178.8967540579197</v>
      </c>
      <c r="Q352" s="236">
        <f>RAB!G266</f>
        <v>2018.9629368010437</v>
      </c>
      <c r="R352" s="236">
        <f>RAB!H266</f>
        <v>1858.6291195441679</v>
      </c>
    </row>
    <row r="354" spans="1:18">
      <c r="C354" s="270" t="s">
        <v>11</v>
      </c>
      <c r="D354" s="234" t="s">
        <v>218</v>
      </c>
      <c r="E354" s="234" t="s">
        <v>218</v>
      </c>
      <c r="F354" s="234" t="s">
        <v>218</v>
      </c>
      <c r="G354" s="234" t="s">
        <v>218</v>
      </c>
      <c r="H354" s="234" t="s">
        <v>218</v>
      </c>
      <c r="I354" s="234" t="s">
        <v>218</v>
      </c>
      <c r="J354" s="234" t="s">
        <v>218</v>
      </c>
      <c r="K354" s="234" t="s">
        <v>218</v>
      </c>
      <c r="L354" s="234" t="s">
        <v>218</v>
      </c>
      <c r="M354" s="234" t="s">
        <v>218</v>
      </c>
      <c r="N354" s="234" t="s">
        <v>54</v>
      </c>
      <c r="O354" s="234" t="s">
        <v>54</v>
      </c>
      <c r="P354" s="234" t="s">
        <v>54</v>
      </c>
      <c r="Q354" s="234" t="s">
        <v>54</v>
      </c>
      <c r="R354" s="234" t="s">
        <v>54</v>
      </c>
    </row>
    <row r="355" spans="1:18">
      <c r="A355" s="65" t="s">
        <v>348</v>
      </c>
      <c r="B355" s="1" t="s">
        <v>10</v>
      </c>
      <c r="C355" s="1"/>
      <c r="D355" s="238" t="s">
        <v>35</v>
      </c>
      <c r="E355" s="238" t="s">
        <v>36</v>
      </c>
      <c r="F355" s="238" t="s">
        <v>37</v>
      </c>
      <c r="G355" s="238" t="s">
        <v>15</v>
      </c>
      <c r="H355" s="238" t="s">
        <v>16</v>
      </c>
      <c r="I355" s="238" t="s">
        <v>0</v>
      </c>
      <c r="J355" s="238" t="s">
        <v>1</v>
      </c>
      <c r="K355" s="238" t="s">
        <v>2</v>
      </c>
      <c r="L355" s="238" t="s">
        <v>3</v>
      </c>
      <c r="M355" s="238" t="s">
        <v>4</v>
      </c>
      <c r="N355" s="238" t="s">
        <v>5</v>
      </c>
      <c r="O355" s="238" t="s">
        <v>6</v>
      </c>
      <c r="P355" s="238" t="s">
        <v>7</v>
      </c>
      <c r="Q355" s="238" t="s">
        <v>8</v>
      </c>
      <c r="R355" s="238" t="s">
        <v>9</v>
      </c>
    </row>
    <row r="356" spans="1:18">
      <c r="A356" s="234" t="s">
        <v>332</v>
      </c>
      <c r="B356" s="272" t="s">
        <v>40</v>
      </c>
      <c r="C356"/>
      <c r="D356" s="236">
        <f t="shared" ref="D356:M361" si="79">I283</f>
        <v>0</v>
      </c>
      <c r="E356" s="236">
        <f t="shared" si="79"/>
        <v>0</v>
      </c>
      <c r="F356" s="236">
        <f t="shared" si="79"/>
        <v>0</v>
      </c>
      <c r="G356" s="236">
        <f t="shared" si="79"/>
        <v>0</v>
      </c>
      <c r="H356" s="236">
        <f t="shared" si="79"/>
        <v>0</v>
      </c>
      <c r="I356" s="236">
        <f t="shared" si="79"/>
        <v>1517</v>
      </c>
      <c r="J356" s="236">
        <f t="shared" si="79"/>
        <v>3237.4121261479313</v>
      </c>
      <c r="K356" s="236">
        <f t="shared" si="79"/>
        <v>5741.9879140584671</v>
      </c>
      <c r="L356" s="236">
        <f t="shared" si="79"/>
        <v>7409.9037075291853</v>
      </c>
      <c r="M356" s="236">
        <f t="shared" si="79"/>
        <v>8620.2675022651638</v>
      </c>
      <c r="N356" s="236">
        <f t="shared" ref="N356:R361" si="80">D292</f>
        <v>12114.959026688524</v>
      </c>
      <c r="O356" s="236">
        <f t="shared" si="80"/>
        <v>16269.989795919293</v>
      </c>
      <c r="P356" s="236">
        <f t="shared" si="80"/>
        <v>19268.21287284237</v>
      </c>
      <c r="Q356" s="236">
        <f t="shared" si="80"/>
        <v>20855.835949765449</v>
      </c>
      <c r="R356" s="236">
        <f t="shared" si="80"/>
        <v>15028.559026688527</v>
      </c>
    </row>
    <row r="357" spans="1:18">
      <c r="A357" s="234" t="s">
        <v>60</v>
      </c>
      <c r="B357" s="272" t="s">
        <v>40</v>
      </c>
      <c r="C357"/>
      <c r="D357" s="236">
        <f t="shared" si="79"/>
        <v>0</v>
      </c>
      <c r="E357" s="236">
        <f t="shared" si="79"/>
        <v>0</v>
      </c>
      <c r="F357" s="236">
        <f t="shared" si="79"/>
        <v>0</v>
      </c>
      <c r="G357" s="236">
        <f t="shared" si="79"/>
        <v>0</v>
      </c>
      <c r="H357" s="236">
        <f t="shared" si="79"/>
        <v>1517</v>
      </c>
      <c r="I357" s="236">
        <f t="shared" si="79"/>
        <v>1720.4121261479311</v>
      </c>
      <c r="J357" s="236">
        <f t="shared" si="79"/>
        <v>2504.5757879105354</v>
      </c>
      <c r="K357" s="236">
        <f t="shared" si="79"/>
        <v>1667.9157934707182</v>
      </c>
      <c r="L357" s="236">
        <f t="shared" si="79"/>
        <v>1210.3637947359789</v>
      </c>
      <c r="M357" s="236">
        <f t="shared" si="79"/>
        <v>3066.8175288881807</v>
      </c>
      <c r="N357" s="236">
        <f t="shared" si="80"/>
        <v>5074.2615384615383</v>
      </c>
      <c r="O357" s="236">
        <f t="shared" si="80"/>
        <v>3991.1461538461544</v>
      </c>
      <c r="P357" s="236">
        <f t="shared" si="80"/>
        <v>3299.6846153846159</v>
      </c>
      <c r="Q357" s="236">
        <f t="shared" si="80"/>
        <v>2784.1153846153852</v>
      </c>
      <c r="R357" s="236">
        <f t="shared" si="80"/>
        <v>2149.7307692307691</v>
      </c>
    </row>
    <row r="358" spans="1:18">
      <c r="A358" s="234" t="s">
        <v>64</v>
      </c>
      <c r="B358" s="272" t="s">
        <v>40</v>
      </c>
      <c r="C358"/>
      <c r="D358" s="236">
        <f t="shared" si="79"/>
        <v>0</v>
      </c>
      <c r="E358" s="236">
        <f t="shared" si="79"/>
        <v>0</v>
      </c>
      <c r="F358" s="236">
        <f t="shared" si="79"/>
        <v>0</v>
      </c>
      <c r="G358" s="236">
        <f t="shared" si="79"/>
        <v>0</v>
      </c>
      <c r="H358" s="236">
        <f t="shared" si="79"/>
        <v>0</v>
      </c>
      <c r="I358" s="236">
        <f t="shared" si="79"/>
        <v>0</v>
      </c>
      <c r="J358" s="236">
        <f t="shared" si="79"/>
        <v>0</v>
      </c>
      <c r="K358" s="236">
        <f t="shared" si="79"/>
        <v>0</v>
      </c>
      <c r="L358" s="236">
        <f t="shared" si="79"/>
        <v>0</v>
      </c>
      <c r="M358" s="236">
        <f t="shared" si="79"/>
        <v>724.25206176266488</v>
      </c>
      <c r="N358" s="236">
        <f t="shared" si="80"/>
        <v>919.23076923076917</v>
      </c>
      <c r="O358" s="236">
        <f t="shared" si="80"/>
        <v>992.92307692307702</v>
      </c>
      <c r="P358" s="236">
        <f t="shared" si="80"/>
        <v>1712.0615384615387</v>
      </c>
      <c r="Q358" s="236">
        <f t="shared" si="80"/>
        <v>8611.3923076923093</v>
      </c>
      <c r="R358" s="236">
        <f t="shared" si="80"/>
        <v>9013.3538461538483</v>
      </c>
    </row>
    <row r="359" spans="1:18">
      <c r="A359" s="234" t="s">
        <v>246</v>
      </c>
      <c r="B359" s="272" t="s">
        <v>40</v>
      </c>
      <c r="C359"/>
      <c r="D359" s="236">
        <f t="shared" si="79"/>
        <v>0</v>
      </c>
      <c r="E359" s="236">
        <f t="shared" si="79"/>
        <v>0</v>
      </c>
      <c r="F359" s="236">
        <f t="shared" si="79"/>
        <v>0</v>
      </c>
      <c r="G359" s="236">
        <f t="shared" si="79"/>
        <v>0</v>
      </c>
      <c r="H359" s="236">
        <f t="shared" si="79"/>
        <v>0</v>
      </c>
      <c r="I359" s="236">
        <f t="shared" si="79"/>
        <v>0</v>
      </c>
      <c r="J359" s="236">
        <f t="shared" si="79"/>
        <v>0</v>
      </c>
      <c r="K359" s="236">
        <f t="shared" si="79"/>
        <v>0</v>
      </c>
      <c r="L359" s="236">
        <f t="shared" si="79"/>
        <v>0</v>
      </c>
      <c r="M359" s="236">
        <f t="shared" si="79"/>
        <v>281.1784630972445</v>
      </c>
      <c r="N359" s="236">
        <f t="shared" si="80"/>
        <v>0</v>
      </c>
      <c r="O359" s="236">
        <f t="shared" si="80"/>
        <v>0</v>
      </c>
      <c r="P359" s="236">
        <f t="shared" si="80"/>
        <v>0</v>
      </c>
      <c r="Q359" s="236">
        <f t="shared" si="80"/>
        <v>0</v>
      </c>
      <c r="R359" s="236">
        <f t="shared" si="80"/>
        <v>0</v>
      </c>
    </row>
    <row r="360" spans="1:18">
      <c r="A360" s="234" t="s">
        <v>333</v>
      </c>
      <c r="B360" s="272" t="s">
        <v>40</v>
      </c>
      <c r="C360"/>
      <c r="D360" s="236">
        <f t="shared" si="79"/>
        <v>0</v>
      </c>
      <c r="E360" s="236">
        <f t="shared" si="79"/>
        <v>0</v>
      </c>
      <c r="F360" s="236">
        <f t="shared" si="79"/>
        <v>0</v>
      </c>
      <c r="G360" s="236">
        <f t="shared" si="79"/>
        <v>0</v>
      </c>
      <c r="H360" s="236">
        <f t="shared" si="79"/>
        <v>1517</v>
      </c>
      <c r="I360" s="236">
        <f t="shared" si="79"/>
        <v>3237.4121261479313</v>
      </c>
      <c r="J360" s="236">
        <f t="shared" si="79"/>
        <v>5741.9879140584671</v>
      </c>
      <c r="K360" s="236">
        <f t="shared" si="79"/>
        <v>7409.9037075291853</v>
      </c>
      <c r="L360" s="236">
        <f t="shared" si="79"/>
        <v>8620.2675022651638</v>
      </c>
      <c r="M360" s="236">
        <f t="shared" si="79"/>
        <v>10681.654506293435</v>
      </c>
      <c r="N360" s="236">
        <f t="shared" si="80"/>
        <v>16269.989795919293</v>
      </c>
      <c r="O360" s="236">
        <f t="shared" si="80"/>
        <v>19268.21287284237</v>
      </c>
      <c r="P360" s="236">
        <f t="shared" si="80"/>
        <v>20855.835949765449</v>
      </c>
      <c r="Q360" s="236">
        <f t="shared" si="80"/>
        <v>15028.559026688527</v>
      </c>
      <c r="R360" s="236">
        <f t="shared" si="80"/>
        <v>8164.9359497654477</v>
      </c>
    </row>
    <row r="361" spans="1:18">
      <c r="A361" s="234" t="s">
        <v>237</v>
      </c>
      <c r="B361" s="272" t="s">
        <v>40</v>
      </c>
      <c r="C361"/>
      <c r="D361" s="236">
        <f t="shared" si="79"/>
        <v>0</v>
      </c>
      <c r="E361" s="236">
        <f t="shared" si="79"/>
        <v>0</v>
      </c>
      <c r="F361" s="236">
        <f t="shared" si="79"/>
        <v>0</v>
      </c>
      <c r="G361" s="236">
        <f t="shared" si="79"/>
        <v>0</v>
      </c>
      <c r="H361" s="236">
        <f t="shared" si="79"/>
        <v>758.5</v>
      </c>
      <c r="I361" s="236">
        <f t="shared" si="79"/>
        <v>2377.2060630739657</v>
      </c>
      <c r="J361" s="236">
        <f t="shared" si="79"/>
        <v>4489.7000201031988</v>
      </c>
      <c r="K361" s="236">
        <f t="shared" si="79"/>
        <v>6575.9458107938262</v>
      </c>
      <c r="L361" s="236">
        <f t="shared" si="79"/>
        <v>8015.0856048971746</v>
      </c>
      <c r="M361" s="236">
        <f t="shared" si="79"/>
        <v>9650.9610042792992</v>
      </c>
      <c r="N361" s="236">
        <f t="shared" si="80"/>
        <v>14192.474411303909</v>
      </c>
      <c r="O361" s="236">
        <f t="shared" si="80"/>
        <v>17769.10133438083</v>
      </c>
      <c r="P361" s="236">
        <f t="shared" si="80"/>
        <v>20062.024411303908</v>
      </c>
      <c r="Q361" s="236">
        <f t="shared" si="80"/>
        <v>17942.197488226986</v>
      </c>
      <c r="R361" s="236">
        <f t="shared" si="80"/>
        <v>11596.747488226987</v>
      </c>
    </row>
    <row r="363" spans="1:18">
      <c r="C363" s="270" t="s">
        <v>11</v>
      </c>
      <c r="D363" s="234" t="s">
        <v>218</v>
      </c>
      <c r="E363" s="234" t="s">
        <v>218</v>
      </c>
      <c r="F363" s="234" t="s">
        <v>218</v>
      </c>
      <c r="G363" s="234" t="s">
        <v>218</v>
      </c>
      <c r="H363" s="234" t="s">
        <v>218</v>
      </c>
      <c r="I363" s="234" t="s">
        <v>218</v>
      </c>
      <c r="J363" s="234" t="s">
        <v>218</v>
      </c>
      <c r="K363" s="234" t="s">
        <v>218</v>
      </c>
      <c r="L363" s="234" t="s">
        <v>218</v>
      </c>
      <c r="M363" s="234" t="s">
        <v>218</v>
      </c>
      <c r="N363" s="234" t="s">
        <v>54</v>
      </c>
      <c r="O363" s="234" t="s">
        <v>54</v>
      </c>
      <c r="P363" s="234" t="s">
        <v>54</v>
      </c>
      <c r="Q363" s="234" t="s">
        <v>54</v>
      </c>
      <c r="R363" s="234" t="s">
        <v>54</v>
      </c>
    </row>
    <row r="364" spans="1:18">
      <c r="A364" s="65" t="s">
        <v>345</v>
      </c>
      <c r="B364" s="1" t="s">
        <v>10</v>
      </c>
      <c r="C364" s="1"/>
      <c r="D364" s="238" t="s">
        <v>35</v>
      </c>
      <c r="E364" s="238" t="s">
        <v>36</v>
      </c>
      <c r="F364" s="238" t="s">
        <v>37</v>
      </c>
      <c r="G364" s="238" t="s">
        <v>15</v>
      </c>
      <c r="H364" s="238" t="s">
        <v>16</v>
      </c>
      <c r="I364" s="238" t="s">
        <v>0</v>
      </c>
      <c r="J364" s="238" t="s">
        <v>1</v>
      </c>
      <c r="K364" s="238" t="s">
        <v>2</v>
      </c>
      <c r="L364" s="238" t="s">
        <v>3</v>
      </c>
      <c r="M364" s="238" t="s">
        <v>4</v>
      </c>
      <c r="N364" s="238" t="s">
        <v>5</v>
      </c>
      <c r="O364" s="238" t="s">
        <v>6</v>
      </c>
      <c r="P364" s="238" t="s">
        <v>7</v>
      </c>
      <c r="Q364" s="238" t="s">
        <v>8</v>
      </c>
      <c r="R364" s="238" t="s">
        <v>9</v>
      </c>
    </row>
    <row r="365" spans="1:18">
      <c r="A365" s="234" t="s">
        <v>332</v>
      </c>
      <c r="B365" s="272" t="s">
        <v>40</v>
      </c>
      <c r="C365"/>
      <c r="D365" s="236">
        <f t="shared" ref="D365:M369" si="81">I323</f>
        <v>0</v>
      </c>
      <c r="E365" s="236">
        <f t="shared" si="81"/>
        <v>0</v>
      </c>
      <c r="F365" s="236">
        <f t="shared" si="81"/>
        <v>0</v>
      </c>
      <c r="G365" s="236">
        <f t="shared" si="81"/>
        <v>0</v>
      </c>
      <c r="H365" s="236">
        <f t="shared" si="81"/>
        <v>0</v>
      </c>
      <c r="I365" s="236">
        <f t="shared" si="81"/>
        <v>0</v>
      </c>
      <c r="J365" s="236">
        <f t="shared" si="81"/>
        <v>0</v>
      </c>
      <c r="K365" s="236">
        <f t="shared" si="81"/>
        <v>0</v>
      </c>
      <c r="L365" s="236">
        <f t="shared" si="81"/>
        <v>0</v>
      </c>
      <c r="M365" s="236">
        <f t="shared" si="81"/>
        <v>0</v>
      </c>
      <c r="N365" s="236">
        <f t="shared" ref="N365:R369" si="82">D331</f>
        <v>20606.537830888039</v>
      </c>
      <c r="O365" s="236">
        <f t="shared" si="82"/>
        <v>15642.891168657865</v>
      </c>
      <c r="P365" s="236">
        <f t="shared" si="82"/>
        <v>10594.757502978726</v>
      </c>
      <c r="Q365" s="236">
        <f t="shared" si="82"/>
        <v>5496.5236721963211</v>
      </c>
      <c r="R365" s="236">
        <f t="shared" si="82"/>
        <v>348.60055388741966</v>
      </c>
    </row>
    <row r="366" spans="1:18">
      <c r="A366" s="234" t="s">
        <v>60</v>
      </c>
      <c r="B366" s="272" t="s">
        <v>40</v>
      </c>
      <c r="C366"/>
      <c r="D366" s="236">
        <f t="shared" si="81"/>
        <v>0</v>
      </c>
      <c r="E366" s="236">
        <f t="shared" si="81"/>
        <v>0</v>
      </c>
      <c r="F366" s="236">
        <f t="shared" si="81"/>
        <v>0</v>
      </c>
      <c r="G366" s="236">
        <f t="shared" si="81"/>
        <v>0</v>
      </c>
      <c r="H366" s="236">
        <f t="shared" si="81"/>
        <v>0</v>
      </c>
      <c r="I366" s="236">
        <f t="shared" si="81"/>
        <v>0</v>
      </c>
      <c r="J366" s="236">
        <f t="shared" si="81"/>
        <v>0</v>
      </c>
      <c r="K366" s="236">
        <f t="shared" si="81"/>
        <v>0</v>
      </c>
      <c r="L366" s="236">
        <f t="shared" si="81"/>
        <v>0</v>
      </c>
      <c r="M366" s="236">
        <f t="shared" si="81"/>
        <v>22710.757543166063</v>
      </c>
      <c r="N366" s="236">
        <f t="shared" si="82"/>
        <v>234.98474436479597</v>
      </c>
      <c r="O366" s="236">
        <f t="shared" si="82"/>
        <v>188.12217614478729</v>
      </c>
      <c r="P366" s="236">
        <f t="shared" si="82"/>
        <v>172.52751380190224</v>
      </c>
      <c r="Q366" s="236">
        <f t="shared" si="82"/>
        <v>153.54778284425728</v>
      </c>
      <c r="R366" s="236">
        <f t="shared" si="82"/>
        <v>146.26778284425728</v>
      </c>
    </row>
    <row r="367" spans="1:18">
      <c r="A367" s="234" t="s">
        <v>61</v>
      </c>
      <c r="B367" s="272" t="s">
        <v>40</v>
      </c>
      <c r="C367"/>
      <c r="D367" s="236">
        <f t="shared" si="81"/>
        <v>0</v>
      </c>
      <c r="E367" s="236">
        <f t="shared" si="81"/>
        <v>0</v>
      </c>
      <c r="F367" s="236">
        <f t="shared" si="81"/>
        <v>0</v>
      </c>
      <c r="G367" s="236">
        <f t="shared" si="81"/>
        <v>0</v>
      </c>
      <c r="H367" s="236">
        <f t="shared" si="81"/>
        <v>0</v>
      </c>
      <c r="I367" s="236">
        <f t="shared" si="81"/>
        <v>0</v>
      </c>
      <c r="J367" s="236">
        <f t="shared" si="81"/>
        <v>0</v>
      </c>
      <c r="K367" s="236">
        <f t="shared" si="81"/>
        <v>0</v>
      </c>
      <c r="L367" s="236">
        <f t="shared" si="81"/>
        <v>0</v>
      </c>
      <c r="M367" s="236">
        <f t="shared" si="81"/>
        <v>4542.1515086332129</v>
      </c>
      <c r="N367" s="236">
        <f t="shared" si="82"/>
        <v>5198.6314065949691</v>
      </c>
      <c r="O367" s="236">
        <f t="shared" si="82"/>
        <v>5236.2558418239269</v>
      </c>
      <c r="P367" s="236">
        <f t="shared" si="82"/>
        <v>5270.7613445843072</v>
      </c>
      <c r="Q367" s="236">
        <f t="shared" si="82"/>
        <v>5301.4709011531586</v>
      </c>
      <c r="R367" s="236">
        <f t="shared" si="82"/>
        <v>179.09</v>
      </c>
    </row>
    <row r="368" spans="1:18">
      <c r="A368" s="234" t="s">
        <v>333</v>
      </c>
      <c r="B368" s="272" t="s">
        <v>40</v>
      </c>
      <c r="C368"/>
      <c r="D368" s="236">
        <f t="shared" si="81"/>
        <v>0</v>
      </c>
      <c r="E368" s="236">
        <f t="shared" si="81"/>
        <v>0</v>
      </c>
      <c r="F368" s="236">
        <f t="shared" si="81"/>
        <v>0</v>
      </c>
      <c r="G368" s="236">
        <f t="shared" si="81"/>
        <v>0</v>
      </c>
      <c r="H368" s="236">
        <f t="shared" si="81"/>
        <v>0</v>
      </c>
      <c r="I368" s="236">
        <f t="shared" si="81"/>
        <v>0</v>
      </c>
      <c r="J368" s="236">
        <f t="shared" si="81"/>
        <v>0</v>
      </c>
      <c r="K368" s="236">
        <f t="shared" si="81"/>
        <v>0</v>
      </c>
      <c r="L368" s="236">
        <f t="shared" si="81"/>
        <v>0</v>
      </c>
      <c r="M368" s="236">
        <f t="shared" si="81"/>
        <v>18168.606034532851</v>
      </c>
      <c r="N368" s="236">
        <f t="shared" si="82"/>
        <v>15642.891168657865</v>
      </c>
      <c r="O368" s="236">
        <f t="shared" si="82"/>
        <v>10594.757502978726</v>
      </c>
      <c r="P368" s="236">
        <f t="shared" si="82"/>
        <v>5496.5236721963211</v>
      </c>
      <c r="Q368" s="236">
        <f t="shared" si="82"/>
        <v>348.60055388741966</v>
      </c>
      <c r="R368" s="236">
        <f t="shared" si="82"/>
        <v>315.77833673167697</v>
      </c>
    </row>
    <row r="369" spans="1:18">
      <c r="A369" s="234" t="s">
        <v>237</v>
      </c>
      <c r="B369" s="272" t="s">
        <v>40</v>
      </c>
      <c r="C369"/>
      <c r="D369" s="236">
        <f t="shared" si="81"/>
        <v>0</v>
      </c>
      <c r="E369" s="236">
        <f t="shared" si="81"/>
        <v>0</v>
      </c>
      <c r="F369" s="236">
        <f t="shared" si="81"/>
        <v>0</v>
      </c>
      <c r="G369" s="236">
        <f t="shared" si="81"/>
        <v>0</v>
      </c>
      <c r="H369" s="236">
        <f t="shared" si="81"/>
        <v>0</v>
      </c>
      <c r="I369" s="236">
        <f t="shared" si="81"/>
        <v>0</v>
      </c>
      <c r="J369" s="236">
        <f t="shared" si="81"/>
        <v>0</v>
      </c>
      <c r="K369" s="236">
        <f t="shared" si="81"/>
        <v>0</v>
      </c>
      <c r="L369" s="236">
        <f t="shared" si="81"/>
        <v>0</v>
      </c>
      <c r="M369" s="236">
        <f t="shared" si="81"/>
        <v>9084.3030172664257</v>
      </c>
      <c r="N369" s="236">
        <f t="shared" si="82"/>
        <v>18124.714499772952</v>
      </c>
      <c r="O369" s="236">
        <f t="shared" si="82"/>
        <v>13118.824335818295</v>
      </c>
      <c r="P369" s="236">
        <f t="shared" si="82"/>
        <v>8045.6405875875234</v>
      </c>
      <c r="Q369" s="236">
        <f t="shared" si="82"/>
        <v>2922.5621130418704</v>
      </c>
      <c r="R369" s="236">
        <f t="shared" si="82"/>
        <v>332.18944530954832</v>
      </c>
    </row>
    <row r="370" spans="1:18" s="300" customFormat="1"/>
    <row r="371" spans="1:18" s="300" customFormat="1">
      <c r="A371" s="234"/>
      <c r="B371" s="272"/>
      <c r="C371" s="270" t="s">
        <v>11</v>
      </c>
      <c r="D371" s="234" t="s">
        <v>218</v>
      </c>
      <c r="E371" s="234" t="s">
        <v>218</v>
      </c>
      <c r="F371" s="234" t="s">
        <v>218</v>
      </c>
      <c r="G371" s="234" t="s">
        <v>218</v>
      </c>
      <c r="H371" s="234" t="s">
        <v>218</v>
      </c>
      <c r="I371" s="234" t="s">
        <v>218</v>
      </c>
      <c r="J371" s="234" t="s">
        <v>218</v>
      </c>
      <c r="K371" s="234" t="s">
        <v>218</v>
      </c>
      <c r="L371" s="234" t="s">
        <v>218</v>
      </c>
      <c r="M371" s="234" t="s">
        <v>218</v>
      </c>
      <c r="N371" s="234" t="s">
        <v>54</v>
      </c>
      <c r="O371" s="234" t="s">
        <v>54</v>
      </c>
      <c r="P371" s="234" t="s">
        <v>54</v>
      </c>
      <c r="Q371" s="234" t="s">
        <v>54</v>
      </c>
      <c r="R371" s="234" t="s">
        <v>54</v>
      </c>
    </row>
    <row r="372" spans="1:18" s="300" customFormat="1">
      <c r="A372" s="65" t="s">
        <v>639</v>
      </c>
      <c r="B372" s="1" t="s">
        <v>10</v>
      </c>
      <c r="C372" s="1"/>
      <c r="D372" s="238" t="s">
        <v>35</v>
      </c>
      <c r="E372" s="238" t="s">
        <v>36</v>
      </c>
      <c r="F372" s="238" t="s">
        <v>37</v>
      </c>
      <c r="G372" s="238" t="s">
        <v>15</v>
      </c>
      <c r="H372" s="238" t="s">
        <v>16</v>
      </c>
      <c r="I372" s="238" t="s">
        <v>0</v>
      </c>
      <c r="J372" s="238" t="s">
        <v>1</v>
      </c>
      <c r="K372" s="238" t="s">
        <v>2</v>
      </c>
      <c r="L372" s="238" t="s">
        <v>3</v>
      </c>
      <c r="M372" s="238" t="s">
        <v>4</v>
      </c>
      <c r="N372" s="238" t="s">
        <v>5</v>
      </c>
      <c r="O372" s="238" t="s">
        <v>6</v>
      </c>
      <c r="P372" s="238" t="s">
        <v>7</v>
      </c>
      <c r="Q372" s="238" t="s">
        <v>8</v>
      </c>
      <c r="R372" s="238" t="s">
        <v>9</v>
      </c>
    </row>
    <row r="373" spans="1:18" s="300" customFormat="1">
      <c r="A373" s="234" t="s">
        <v>332</v>
      </c>
      <c r="B373" s="272" t="s">
        <v>40</v>
      </c>
      <c r="C373" s="299"/>
      <c r="D373" s="236"/>
      <c r="E373" s="236"/>
      <c r="F373" s="236"/>
      <c r="G373" s="236"/>
      <c r="H373" s="236"/>
      <c r="I373" s="236"/>
      <c r="J373" s="236"/>
      <c r="K373" s="236"/>
      <c r="L373" s="236">
        <f>Q161</f>
        <v>1700</v>
      </c>
      <c r="M373" s="236">
        <f>R161</f>
        <v>850</v>
      </c>
      <c r="N373" s="236"/>
      <c r="O373" s="236"/>
      <c r="P373" s="236"/>
      <c r="Q373" s="236"/>
      <c r="R373" s="236"/>
    </row>
    <row r="374" spans="1:18" s="300" customFormat="1">
      <c r="A374" s="234" t="s">
        <v>60</v>
      </c>
      <c r="B374" s="272" t="s">
        <v>40</v>
      </c>
      <c r="C374" s="299"/>
      <c r="D374" s="236"/>
      <c r="E374" s="236"/>
      <c r="F374" s="236"/>
      <c r="G374" s="236"/>
      <c r="H374" s="236"/>
      <c r="I374" s="236"/>
      <c r="J374" s="236"/>
      <c r="K374" s="236"/>
      <c r="L374" s="236">
        <v>0</v>
      </c>
      <c r="M374" s="236">
        <v>0</v>
      </c>
      <c r="N374" s="236"/>
      <c r="O374" s="236"/>
      <c r="P374" s="236"/>
      <c r="Q374" s="236"/>
      <c r="R374" s="236"/>
    </row>
    <row r="375" spans="1:18" s="300" customFormat="1">
      <c r="A375" s="234" t="s">
        <v>61</v>
      </c>
      <c r="B375" s="272" t="s">
        <v>40</v>
      </c>
      <c r="C375" s="299"/>
      <c r="D375" s="236"/>
      <c r="E375" s="236"/>
      <c r="F375" s="236"/>
      <c r="G375" s="236"/>
      <c r="H375" s="236"/>
      <c r="I375" s="236"/>
      <c r="J375" s="236"/>
      <c r="K375" s="236"/>
      <c r="L375" s="236">
        <f t="shared" ref="L375:M377" si="83">Q162</f>
        <v>850</v>
      </c>
      <c r="M375" s="236">
        <f t="shared" si="83"/>
        <v>850</v>
      </c>
      <c r="N375" s="236"/>
      <c r="O375" s="236"/>
      <c r="P375" s="236"/>
      <c r="Q375" s="236"/>
      <c r="R375" s="236"/>
    </row>
    <row r="376" spans="1:18" s="300" customFormat="1">
      <c r="A376" s="234" t="s">
        <v>333</v>
      </c>
      <c r="B376" s="272" t="s">
        <v>40</v>
      </c>
      <c r="C376" s="299"/>
      <c r="D376" s="236"/>
      <c r="E376" s="236"/>
      <c r="F376" s="236"/>
      <c r="G376" s="236"/>
      <c r="H376" s="236"/>
      <c r="I376" s="236"/>
      <c r="J376" s="236"/>
      <c r="K376" s="236"/>
      <c r="L376" s="236">
        <f t="shared" si="83"/>
        <v>850</v>
      </c>
      <c r="M376" s="236">
        <f t="shared" si="83"/>
        <v>0</v>
      </c>
      <c r="N376" s="236"/>
      <c r="O376" s="236"/>
      <c r="P376" s="236"/>
      <c r="Q376" s="236"/>
      <c r="R376" s="236"/>
    </row>
    <row r="377" spans="1:18" s="300" customFormat="1">
      <c r="A377" s="234" t="s">
        <v>237</v>
      </c>
      <c r="B377" s="272" t="s">
        <v>40</v>
      </c>
      <c r="C377" s="299"/>
      <c r="D377" s="236"/>
      <c r="E377" s="236"/>
      <c r="F377" s="236"/>
      <c r="G377" s="236"/>
      <c r="H377" s="236"/>
      <c r="I377" s="236"/>
      <c r="J377" s="236"/>
      <c r="K377" s="236"/>
      <c r="L377" s="236">
        <f t="shared" si="83"/>
        <v>1275</v>
      </c>
      <c r="M377" s="236">
        <f t="shared" si="83"/>
        <v>425</v>
      </c>
      <c r="N377" s="236"/>
      <c r="O377" s="236"/>
      <c r="P377" s="236"/>
      <c r="Q377" s="236"/>
      <c r="R377" s="236"/>
    </row>
    <row r="379" spans="1:18" ht="18">
      <c r="A379" s="267" t="s">
        <v>355</v>
      </c>
      <c r="B379" s="268"/>
      <c r="C379"/>
      <c r="D379"/>
      <c r="E379"/>
      <c r="F379"/>
      <c r="G379"/>
      <c r="H379"/>
      <c r="I379"/>
      <c r="J379"/>
      <c r="K379"/>
      <c r="L379"/>
      <c r="M379"/>
      <c r="N379"/>
      <c r="O379"/>
      <c r="P379"/>
      <c r="Q379"/>
      <c r="R379"/>
    </row>
    <row r="380" spans="1:18" ht="17" customHeight="1">
      <c r="A380" s="62"/>
      <c r="B380"/>
      <c r="C380"/>
      <c r="D380" s="238" t="s">
        <v>35</v>
      </c>
      <c r="E380" s="238" t="s">
        <v>36</v>
      </c>
      <c r="F380" s="238" t="s">
        <v>37</v>
      </c>
      <c r="G380" s="238" t="s">
        <v>15</v>
      </c>
      <c r="H380" s="238" t="s">
        <v>16</v>
      </c>
      <c r="I380" s="238" t="s">
        <v>0</v>
      </c>
      <c r="J380" s="238" t="s">
        <v>1</v>
      </c>
      <c r="K380" s="238" t="s">
        <v>2</v>
      </c>
      <c r="L380" s="238" t="s">
        <v>3</v>
      </c>
      <c r="M380" s="238" t="s">
        <v>4</v>
      </c>
      <c r="N380" s="238" t="s">
        <v>5</v>
      </c>
      <c r="O380" s="238" t="s">
        <v>6</v>
      </c>
      <c r="P380" s="238" t="s">
        <v>7</v>
      </c>
      <c r="Q380" s="238" t="s">
        <v>8</v>
      </c>
      <c r="R380" s="238" t="s">
        <v>9</v>
      </c>
    </row>
    <row r="381" spans="1:18">
      <c r="A381" s="234" t="s">
        <v>334</v>
      </c>
      <c r="B381"/>
      <c r="C381"/>
      <c r="D381" s="4">
        <f t="shared" ref="D381:M381" si="84">D15</f>
        <v>0.9166992569417286</v>
      </c>
      <c r="E381" s="4">
        <f t="shared" si="84"/>
        <v>0.9483770043019164</v>
      </c>
      <c r="F381" s="4">
        <f t="shared" si="84"/>
        <v>0.97575283535393043</v>
      </c>
      <c r="G381" s="4">
        <f t="shared" si="84"/>
        <v>1</v>
      </c>
      <c r="H381" s="4">
        <f t="shared" si="84"/>
        <v>1.0089949159170903</v>
      </c>
      <c r="I381" s="285">
        <f t="shared" si="84"/>
        <v>1.0222917481423544</v>
      </c>
      <c r="J381" s="4">
        <f t="shared" si="84"/>
        <v>1.0582714118107157</v>
      </c>
      <c r="K381" s="4">
        <f t="shared" si="84"/>
        <v>1.0938599921783341</v>
      </c>
      <c r="L381" s="4">
        <f t="shared" si="84"/>
        <v>1.127102072741494</v>
      </c>
      <c r="M381" s="4">
        <f t="shared" si="84"/>
        <v>1.1443097379741887</v>
      </c>
      <c r="N381" s="4">
        <f>K9</f>
        <v>1.0291065505996897</v>
      </c>
      <c r="O381" s="4">
        <f>L9</f>
        <v>1.0496886816116835</v>
      </c>
      <c r="P381" s="4">
        <f>M9</f>
        <v>1.0706824552439171</v>
      </c>
      <c r="Q381" s="4">
        <f>N9</f>
        <v>1.0920961043487953</v>
      </c>
      <c r="R381" s="4">
        <f>O9</f>
        <v>1.1139380264357714</v>
      </c>
    </row>
    <row r="382" spans="1:18">
      <c r="C382" s="234"/>
      <c r="D382" s="234"/>
      <c r="E382" s="234"/>
      <c r="F382" s="234"/>
      <c r="G382" s="234"/>
      <c r="H382" s="234"/>
      <c r="I382" s="234"/>
      <c r="J382" s="234"/>
      <c r="K382" s="234"/>
      <c r="L382" s="234"/>
      <c r="M382" s="234"/>
      <c r="N382" s="234"/>
      <c r="O382" s="234"/>
      <c r="P382" s="234"/>
      <c r="Q382" s="234"/>
      <c r="R382" s="234"/>
    </row>
    <row r="383" spans="1:18">
      <c r="A383" s="65" t="s">
        <v>339</v>
      </c>
      <c r="B383" s="1" t="s">
        <v>10</v>
      </c>
      <c r="C383" s="1" t="s">
        <v>11</v>
      </c>
      <c r="D383" s="238" t="s">
        <v>35</v>
      </c>
      <c r="E383" s="238" t="s">
        <v>36</v>
      </c>
      <c r="F383" s="238" t="s">
        <v>37</v>
      </c>
      <c r="G383" s="238" t="s">
        <v>15</v>
      </c>
      <c r="H383" s="238" t="s">
        <v>16</v>
      </c>
      <c r="I383" s="238" t="s">
        <v>0</v>
      </c>
      <c r="J383" s="238" t="s">
        <v>1</v>
      </c>
      <c r="K383" s="238" t="s">
        <v>2</v>
      </c>
      <c r="L383" s="238" t="s">
        <v>3</v>
      </c>
      <c r="M383" s="238" t="s">
        <v>4</v>
      </c>
      <c r="N383" s="238" t="s">
        <v>5</v>
      </c>
      <c r="O383" s="238" t="s">
        <v>6</v>
      </c>
      <c r="P383" s="238" t="s">
        <v>7</v>
      </c>
      <c r="Q383" s="238" t="s">
        <v>8</v>
      </c>
      <c r="R383" s="238" t="s">
        <v>9</v>
      </c>
    </row>
    <row r="384" spans="1:18">
      <c r="A384" s="234" t="s">
        <v>332</v>
      </c>
      <c r="B384" s="272" t="s">
        <v>40</v>
      </c>
      <c r="C384" t="s">
        <v>52</v>
      </c>
      <c r="D384" s="236">
        <f t="shared" ref="D384:R384" si="85">D340*D$381</f>
        <v>18916.576112074305</v>
      </c>
      <c r="E384" s="236">
        <f t="shared" si="85"/>
        <v>17191.074126635736</v>
      </c>
      <c r="F384" s="236">
        <f t="shared" si="85"/>
        <v>15438.145893995457</v>
      </c>
      <c r="G384" s="236">
        <f t="shared" si="85"/>
        <v>12329.246935164629</v>
      </c>
      <c r="H384" s="236">
        <f t="shared" si="85"/>
        <v>10118.337764552385</v>
      </c>
      <c r="I384" s="236">
        <f t="shared" si="85"/>
        <v>6574.2342859411483</v>
      </c>
      <c r="J384" s="236">
        <f t="shared" si="85"/>
        <v>5223.4008484215756</v>
      </c>
      <c r="K384" s="236">
        <f t="shared" si="85"/>
        <v>4822.697180829723</v>
      </c>
      <c r="L384" s="236">
        <f t="shared" si="85"/>
        <v>4265.9597091615587</v>
      </c>
      <c r="M384" s="236">
        <f t="shared" si="85"/>
        <v>4138.2933468421006</v>
      </c>
      <c r="N384" s="236">
        <f t="shared" si="85"/>
        <v>4698.9385917889367</v>
      </c>
      <c r="O384" s="236">
        <f t="shared" si="85"/>
        <v>7344.5194210172449</v>
      </c>
      <c r="P384" s="236">
        <f t="shared" si="85"/>
        <v>8179.6103040788557</v>
      </c>
      <c r="Q384" s="236">
        <f t="shared" si="85"/>
        <v>8308.6361518087087</v>
      </c>
      <c r="R384" s="236">
        <f t="shared" si="85"/>
        <v>7790.7855355573938</v>
      </c>
    </row>
    <row r="385" spans="1:18">
      <c r="A385" s="234" t="s">
        <v>60</v>
      </c>
      <c r="B385" s="272" t="s">
        <v>40</v>
      </c>
      <c r="C385" t="s">
        <v>52</v>
      </c>
      <c r="D385" s="236">
        <f t="shared" ref="D385:R385" si="86">D341*D$381</f>
        <v>928.97307001795321</v>
      </c>
      <c r="E385" s="236">
        <f t="shared" si="86"/>
        <v>1295.2199281867145</v>
      </c>
      <c r="F385" s="236">
        <f t="shared" si="86"/>
        <v>274.36041292639135</v>
      </c>
      <c r="G385" s="236">
        <f t="shared" si="86"/>
        <v>1589.5175044883301</v>
      </c>
      <c r="H385" s="236">
        <f t="shared" si="86"/>
        <v>422.66606822262116</v>
      </c>
      <c r="I385" s="236">
        <f t="shared" si="86"/>
        <v>1187.4489636292531</v>
      </c>
      <c r="J385" s="236">
        <f t="shared" si="86"/>
        <v>1070.5458740711774</v>
      </c>
      <c r="K385" s="236">
        <f t="shared" si="86"/>
        <v>782.0725459522879</v>
      </c>
      <c r="L385" s="236">
        <f t="shared" si="86"/>
        <v>1290.4522096206495</v>
      </c>
      <c r="M385" s="236">
        <f t="shared" si="86"/>
        <v>1948.5043410246383</v>
      </c>
      <c r="N385" s="236">
        <f t="shared" si="86"/>
        <v>4353.8928608792303</v>
      </c>
      <c r="O385" s="236">
        <f t="shared" si="86"/>
        <v>3054.9437803956412</v>
      </c>
      <c r="P385" s="236">
        <f t="shared" si="86"/>
        <v>2773.2137490699411</v>
      </c>
      <c r="Q385" s="236">
        <f t="shared" si="86"/>
        <v>2494.5860519043326</v>
      </c>
      <c r="R385" s="236">
        <f t="shared" si="86"/>
        <v>2386.1238186734649</v>
      </c>
    </row>
    <row r="386" spans="1:18">
      <c r="A386" s="234" t="s">
        <v>61</v>
      </c>
      <c r="B386" s="272" t="s">
        <v>40</v>
      </c>
      <c r="C386" t="s">
        <v>52</v>
      </c>
      <c r="D386" s="236">
        <f t="shared" ref="D386:R386" si="87">D342*D$381</f>
        <v>3228.6923767998187</v>
      </c>
      <c r="E386" s="236">
        <f t="shared" si="87"/>
        <v>3481.2825145663446</v>
      </c>
      <c r="F386" s="236">
        <f t="shared" si="87"/>
        <v>3682.2086521562064</v>
      </c>
      <c r="G386" s="236">
        <f t="shared" si="87"/>
        <v>3890.6289109861195</v>
      </c>
      <c r="H386" s="236">
        <f t="shared" si="87"/>
        <v>4052.2798627183256</v>
      </c>
      <c r="I386" s="236">
        <f t="shared" si="87"/>
        <v>2715.8703087817826</v>
      </c>
      <c r="J386" s="236">
        <f t="shared" si="87"/>
        <v>1628.1553133668215</v>
      </c>
      <c r="K386" s="236">
        <f t="shared" si="87"/>
        <v>1464.6277050870494</v>
      </c>
      <c r="L386" s="236">
        <f t="shared" si="87"/>
        <v>1480.3485470805911</v>
      </c>
      <c r="M386" s="236">
        <f t="shared" si="87"/>
        <v>1479.9951468971933</v>
      </c>
      <c r="N386" s="236">
        <f t="shared" si="87"/>
        <v>1852.32221637675</v>
      </c>
      <c r="O386" s="236">
        <f t="shared" si="87"/>
        <v>2380.237413100283</v>
      </c>
      <c r="P386" s="236">
        <f t="shared" si="87"/>
        <v>2807.1023356892779</v>
      </c>
      <c r="Q386" s="236">
        <f t="shared" si="87"/>
        <v>3165.1971688528511</v>
      </c>
      <c r="R386" s="236">
        <f t="shared" si="87"/>
        <v>3361.7790849260236</v>
      </c>
    </row>
    <row r="387" spans="1:18">
      <c r="A387" s="234" t="s">
        <v>333</v>
      </c>
      <c r="B387" s="272" t="s">
        <v>40</v>
      </c>
      <c r="C387" t="s">
        <v>52</v>
      </c>
      <c r="D387" s="236">
        <f t="shared" ref="D387:R387" si="88">D343*D$381</f>
        <v>16616.856805292438</v>
      </c>
      <c r="E387" s="236">
        <f t="shared" si="88"/>
        <v>15005.011540256108</v>
      </c>
      <c r="F387" s="236">
        <f t="shared" si="88"/>
        <v>12030.297654765644</v>
      </c>
      <c r="G387" s="236">
        <f t="shared" si="88"/>
        <v>10028.13552866684</v>
      </c>
      <c r="H387" s="236">
        <f t="shared" si="88"/>
        <v>6488.7239700566797</v>
      </c>
      <c r="I387" s="236">
        <f t="shared" si="88"/>
        <v>5045.8129407886172</v>
      </c>
      <c r="J387" s="236">
        <f t="shared" si="88"/>
        <v>4665.7914091259318</v>
      </c>
      <c r="K387" s="236">
        <f t="shared" si="88"/>
        <v>4140.1420216949618</v>
      </c>
      <c r="L387" s="236">
        <f t="shared" si="88"/>
        <v>4076.0633717016176</v>
      </c>
      <c r="M387" s="236">
        <f t="shared" si="88"/>
        <v>4606.8025409695465</v>
      </c>
      <c r="N387" s="236">
        <f t="shared" si="88"/>
        <v>7200.5092362914165</v>
      </c>
      <c r="O387" s="236">
        <f t="shared" si="88"/>
        <v>8019.225788312604</v>
      </c>
      <c r="P387" s="236">
        <f t="shared" si="88"/>
        <v>8145.7217174595189</v>
      </c>
      <c r="Q387" s="236">
        <f t="shared" si="88"/>
        <v>7638.0250348601894</v>
      </c>
      <c r="R387" s="236">
        <f t="shared" si="88"/>
        <v>6815.1302693048374</v>
      </c>
    </row>
    <row r="388" spans="1:18">
      <c r="A388" s="234" t="s">
        <v>237</v>
      </c>
      <c r="B388" s="272" t="s">
        <v>40</v>
      </c>
      <c r="C388" t="s">
        <v>52</v>
      </c>
      <c r="D388" s="236">
        <f t="shared" ref="D388:R388" si="89">D344*D$381</f>
        <v>17766.716458683368</v>
      </c>
      <c r="E388" s="236">
        <f t="shared" si="89"/>
        <v>16098.042833445921</v>
      </c>
      <c r="F388" s="236">
        <f t="shared" si="89"/>
        <v>13734.22177438055</v>
      </c>
      <c r="G388" s="236">
        <f t="shared" si="89"/>
        <v>11178.691231915735</v>
      </c>
      <c r="H388" s="236">
        <f t="shared" si="89"/>
        <v>8303.5308673045311</v>
      </c>
      <c r="I388" s="236">
        <f t="shared" si="89"/>
        <v>5810.0236133648832</v>
      </c>
      <c r="J388" s="236">
        <f t="shared" si="89"/>
        <v>4944.5961287737537</v>
      </c>
      <c r="K388" s="236">
        <f t="shared" si="89"/>
        <v>4481.4196012623433</v>
      </c>
      <c r="L388" s="236">
        <f t="shared" si="89"/>
        <v>4171.0115404315875</v>
      </c>
      <c r="M388" s="236">
        <f t="shared" si="89"/>
        <v>4372.5479439058236</v>
      </c>
      <c r="N388" s="236">
        <f t="shared" si="89"/>
        <v>5949.7239140401771</v>
      </c>
      <c r="O388" s="236">
        <f t="shared" si="89"/>
        <v>7681.8726046649244</v>
      </c>
      <c r="P388" s="236">
        <f t="shared" si="89"/>
        <v>8162.6660107691869</v>
      </c>
      <c r="Q388" s="236">
        <f t="shared" si="89"/>
        <v>7973.3305933344491</v>
      </c>
      <c r="R388" s="236">
        <f t="shared" si="89"/>
        <v>7302.9579024311161</v>
      </c>
    </row>
    <row r="390" spans="1:18">
      <c r="A390" s="65" t="s">
        <v>340</v>
      </c>
      <c r="B390" s="1" t="s">
        <v>10</v>
      </c>
      <c r="C390" s="1" t="s">
        <v>11</v>
      </c>
      <c r="D390" s="238" t="s">
        <v>35</v>
      </c>
      <c r="E390" s="238" t="s">
        <v>36</v>
      </c>
      <c r="F390" s="238" t="s">
        <v>37</v>
      </c>
      <c r="G390" s="238" t="s">
        <v>15</v>
      </c>
      <c r="H390" s="238" t="s">
        <v>16</v>
      </c>
      <c r="I390" s="238" t="s">
        <v>0</v>
      </c>
      <c r="J390" s="238" t="s">
        <v>1</v>
      </c>
      <c r="K390" s="238" t="s">
        <v>2</v>
      </c>
      <c r="L390" s="238" t="s">
        <v>3</v>
      </c>
      <c r="M390" s="238" t="s">
        <v>4</v>
      </c>
      <c r="N390" s="238" t="s">
        <v>5</v>
      </c>
      <c r="O390" s="238" t="s">
        <v>6</v>
      </c>
      <c r="P390" s="238" t="s">
        <v>7</v>
      </c>
      <c r="Q390" s="238" t="s">
        <v>8</v>
      </c>
      <c r="R390" s="238" t="s">
        <v>9</v>
      </c>
    </row>
    <row r="391" spans="1:18">
      <c r="A391" s="234" t="s">
        <v>332</v>
      </c>
      <c r="B391" s="272" t="s">
        <v>40</v>
      </c>
      <c r="C391" t="s">
        <v>52</v>
      </c>
      <c r="D391" s="236">
        <f t="shared" ref="D391:R391" si="90">D348*D$381</f>
        <v>0</v>
      </c>
      <c r="E391" s="236">
        <f t="shared" si="90"/>
        <v>1351.447710951526</v>
      </c>
      <c r="F391" s="236">
        <f t="shared" si="90"/>
        <v>2724.1637342908439</v>
      </c>
      <c r="G391" s="236">
        <f t="shared" si="90"/>
        <v>2675.5309515260324</v>
      </c>
      <c r="H391" s="236">
        <f t="shared" si="90"/>
        <v>2582.2233393177739</v>
      </c>
      <c r="I391" s="236">
        <f t="shared" si="90"/>
        <v>2497.3320646319571</v>
      </c>
      <c r="J391" s="236">
        <f t="shared" si="90"/>
        <v>2578.6555324437431</v>
      </c>
      <c r="K391" s="236">
        <f t="shared" si="90"/>
        <v>2567.158147972189</v>
      </c>
      <c r="L391" s="236">
        <f t="shared" si="90"/>
        <v>2538.8864631618198</v>
      </c>
      <c r="M391" s="236">
        <f t="shared" si="90"/>
        <v>2480.6442120338652</v>
      </c>
      <c r="N391" s="236">
        <f t="shared" si="90"/>
        <v>2571.7694781022724</v>
      </c>
      <c r="O391" s="236">
        <f t="shared" si="90"/>
        <v>2498.0989636585</v>
      </c>
      <c r="P391" s="236">
        <f t="shared" si="90"/>
        <v>2418.418624180772</v>
      </c>
      <c r="Q391" s="236">
        <f t="shared" si="90"/>
        <v>2292.342317105391</v>
      </c>
      <c r="R391" s="236">
        <f t="shared" si="90"/>
        <v>2159.8100150867485</v>
      </c>
    </row>
    <row r="392" spans="1:18">
      <c r="A392" s="234" t="s">
        <v>60</v>
      </c>
      <c r="B392" s="272" t="s">
        <v>40</v>
      </c>
      <c r="C392" t="s">
        <v>52</v>
      </c>
      <c r="D392" s="236">
        <f t="shared" ref="D392:R392" si="91">D349*D$381</f>
        <v>1332.9658886894074</v>
      </c>
      <c r="E392" s="236">
        <f t="shared" si="91"/>
        <v>1379.0282764811491</v>
      </c>
      <c r="F392" s="236">
        <f t="shared" si="91"/>
        <v>0</v>
      </c>
      <c r="G392" s="236">
        <f t="shared" si="91"/>
        <v>0</v>
      </c>
      <c r="H392" s="236">
        <f t="shared" si="91"/>
        <v>0</v>
      </c>
      <c r="I392" s="236">
        <f t="shared" si="91"/>
        <v>98</v>
      </c>
      <c r="J392" s="236">
        <f t="shared" si="91"/>
        <v>13</v>
      </c>
      <c r="K392" s="236">
        <f t="shared" si="91"/>
        <v>8.5</v>
      </c>
      <c r="L392" s="236">
        <f t="shared" si="91"/>
        <v>19.5</v>
      </c>
      <c r="M392" s="236">
        <f t="shared" si="91"/>
        <v>157.5</v>
      </c>
      <c r="N392" s="236">
        <f t="shared" si="91"/>
        <v>48.882561153485263</v>
      </c>
      <c r="O392" s="236">
        <f t="shared" si="91"/>
        <v>49.860212376554969</v>
      </c>
      <c r="P392" s="236">
        <f t="shared" si="91"/>
        <v>10.706824552439171</v>
      </c>
      <c r="Q392" s="236">
        <f t="shared" si="91"/>
        <v>10.920961043487953</v>
      </c>
      <c r="R392" s="236">
        <f t="shared" si="91"/>
        <v>11.139380264357715</v>
      </c>
    </row>
    <row r="393" spans="1:18">
      <c r="A393" s="234" t="s">
        <v>61</v>
      </c>
      <c r="B393" s="272" t="s">
        <v>40</v>
      </c>
      <c r="C393" t="s">
        <v>52</v>
      </c>
      <c r="D393" s="236">
        <f t="shared" ref="D393:R393" si="92">D350*D$381</f>
        <v>26.65931777378815</v>
      </c>
      <c r="E393" s="236">
        <f t="shared" si="92"/>
        <v>82.741696588868948</v>
      </c>
      <c r="F393" s="236">
        <f t="shared" si="92"/>
        <v>113.50682226211849</v>
      </c>
      <c r="G393" s="236">
        <f t="shared" si="92"/>
        <v>116.32743267504488</v>
      </c>
      <c r="H393" s="236">
        <f t="shared" si="92"/>
        <v>117.3737881508079</v>
      </c>
      <c r="I393" s="236">
        <f t="shared" si="92"/>
        <v>104.34700853146055</v>
      </c>
      <c r="J393" s="236">
        <f t="shared" si="92"/>
        <v>108.01951227472541</v>
      </c>
      <c r="K393" s="236">
        <f t="shared" si="92"/>
        <v>111.65209749904177</v>
      </c>
      <c r="L393" s="236">
        <f t="shared" si="92"/>
        <v>115.04517160966691</v>
      </c>
      <c r="M393" s="236">
        <f t="shared" si="92"/>
        <v>116.8015864434023</v>
      </c>
      <c r="N393" s="236">
        <f t="shared" si="92"/>
        <v>171.53540821801258</v>
      </c>
      <c r="O393" s="236">
        <f t="shared" si="92"/>
        <v>176.96052487743506</v>
      </c>
      <c r="P393" s="236">
        <f t="shared" si="92"/>
        <v>181.73102019851424</v>
      </c>
      <c r="Q393" s="236">
        <f t="shared" si="92"/>
        <v>185.80247904422407</v>
      </c>
      <c r="R393" s="236">
        <f t="shared" si="92"/>
        <v>189.96410383568286</v>
      </c>
    </row>
    <row r="394" spans="1:18">
      <c r="A394" s="234" t="s">
        <v>333</v>
      </c>
      <c r="B394" s="272" t="s">
        <v>40</v>
      </c>
      <c r="C394" t="s">
        <v>52</v>
      </c>
      <c r="D394" s="236">
        <f t="shared" ref="D394:R394" si="93">D351*D$381</f>
        <v>1306.3065709156192</v>
      </c>
      <c r="E394" s="236">
        <f t="shared" si="93"/>
        <v>2647.7342908438063</v>
      </c>
      <c r="F394" s="236">
        <f t="shared" si="93"/>
        <v>2610.6569120287254</v>
      </c>
      <c r="G394" s="236">
        <f t="shared" si="93"/>
        <v>2559.2035188509876</v>
      </c>
      <c r="H394" s="236">
        <f t="shared" si="93"/>
        <v>2464.8495511669662</v>
      </c>
      <c r="I394" s="236">
        <f t="shared" si="93"/>
        <v>2490.9850561004969</v>
      </c>
      <c r="J394" s="236">
        <f t="shared" si="93"/>
        <v>2483.6360201690177</v>
      </c>
      <c r="K394" s="236">
        <f t="shared" si="93"/>
        <v>2464.0060504731468</v>
      </c>
      <c r="L394" s="236">
        <f t="shared" si="93"/>
        <v>2443.3412915521526</v>
      </c>
      <c r="M394" s="236">
        <f t="shared" si="93"/>
        <v>2521.3426255904628</v>
      </c>
      <c r="N394" s="236">
        <f t="shared" si="93"/>
        <v>2449.1166310377453</v>
      </c>
      <c r="O394" s="236">
        <f t="shared" si="93"/>
        <v>2370.9986511576199</v>
      </c>
      <c r="P394" s="236">
        <f t="shared" si="93"/>
        <v>2247.3944285346975</v>
      </c>
      <c r="Q394" s="236">
        <f t="shared" si="93"/>
        <v>2117.4607991046551</v>
      </c>
      <c r="R394" s="236">
        <f t="shared" si="93"/>
        <v>1980.9852915154233</v>
      </c>
    </row>
    <row r="395" spans="1:18">
      <c r="A395" s="234" t="s">
        <v>237</v>
      </c>
      <c r="B395" s="272" t="s">
        <v>40</v>
      </c>
      <c r="C395" t="s">
        <v>52</v>
      </c>
      <c r="D395" s="236">
        <f t="shared" ref="D395:R395" si="94">D352*D$381</f>
        <v>653.1532854578096</v>
      </c>
      <c r="E395" s="236">
        <f t="shared" si="94"/>
        <v>1999.5910008976659</v>
      </c>
      <c r="F395" s="236">
        <f t="shared" si="94"/>
        <v>2667.4103231597851</v>
      </c>
      <c r="G395" s="236">
        <f t="shared" si="94"/>
        <v>2617.3672351885098</v>
      </c>
      <c r="H395" s="236">
        <f t="shared" si="94"/>
        <v>2523.5364452423705</v>
      </c>
      <c r="I395" s="236">
        <f t="shared" si="94"/>
        <v>2494.158560366227</v>
      </c>
      <c r="J395" s="236">
        <f t="shared" si="94"/>
        <v>2531.1457763063804</v>
      </c>
      <c r="K395" s="236">
        <f t="shared" si="94"/>
        <v>2515.5820992226677</v>
      </c>
      <c r="L395" s="236">
        <f t="shared" si="94"/>
        <v>2491.113877356986</v>
      </c>
      <c r="M395" s="236">
        <f t="shared" si="94"/>
        <v>2500.9934188121638</v>
      </c>
      <c r="N395" s="236">
        <f t="shared" si="94"/>
        <v>2510.4430545700088</v>
      </c>
      <c r="O395" s="236">
        <f t="shared" si="94"/>
        <v>2434.5488074080595</v>
      </c>
      <c r="P395" s="236">
        <f t="shared" si="94"/>
        <v>2332.9065263577349</v>
      </c>
      <c r="Q395" s="236">
        <f t="shared" si="94"/>
        <v>2204.901558105023</v>
      </c>
      <c r="R395" s="236">
        <f t="shared" si="94"/>
        <v>2070.3976533010859</v>
      </c>
    </row>
    <row r="397" spans="1:18">
      <c r="A397" s="65" t="s">
        <v>348</v>
      </c>
      <c r="B397" s="1" t="s">
        <v>10</v>
      </c>
      <c r="C397" s="1" t="s">
        <v>11</v>
      </c>
      <c r="D397" s="238" t="s">
        <v>35</v>
      </c>
      <c r="E397" s="238" t="s">
        <v>36</v>
      </c>
      <c r="F397" s="238" t="s">
        <v>37</v>
      </c>
      <c r="G397" s="238" t="s">
        <v>15</v>
      </c>
      <c r="H397" s="238" t="s">
        <v>16</v>
      </c>
      <c r="I397" s="238" t="s">
        <v>0</v>
      </c>
      <c r="J397" s="238" t="s">
        <v>1</v>
      </c>
      <c r="K397" s="238" t="s">
        <v>2</v>
      </c>
      <c r="L397" s="238" t="s">
        <v>3</v>
      </c>
      <c r="M397" s="238" t="s">
        <v>4</v>
      </c>
      <c r="N397" s="238" t="s">
        <v>5</v>
      </c>
      <c r="O397" s="238" t="s">
        <v>6</v>
      </c>
      <c r="P397" s="238" t="s">
        <v>7</v>
      </c>
      <c r="Q397" s="238" t="s">
        <v>8</v>
      </c>
      <c r="R397" s="238" t="s">
        <v>9</v>
      </c>
    </row>
    <row r="398" spans="1:18">
      <c r="A398" s="234" t="s">
        <v>332</v>
      </c>
      <c r="B398" s="272" t="s">
        <v>40</v>
      </c>
      <c r="C398" t="s">
        <v>52</v>
      </c>
      <c r="D398" s="236">
        <f t="shared" ref="D398:R398" si="95">D356*D$381</f>
        <v>0</v>
      </c>
      <c r="E398" s="236">
        <f t="shared" si="95"/>
        <v>0</v>
      </c>
      <c r="F398" s="236">
        <f t="shared" si="95"/>
        <v>0</v>
      </c>
      <c r="G398" s="236">
        <f t="shared" si="95"/>
        <v>0</v>
      </c>
      <c r="H398" s="236">
        <f t="shared" si="95"/>
        <v>0</v>
      </c>
      <c r="I398" s="236">
        <f t="shared" si="95"/>
        <v>1550.8165819319515</v>
      </c>
      <c r="J398" s="236">
        <f t="shared" si="95"/>
        <v>3426.0607013517019</v>
      </c>
      <c r="K398" s="236">
        <f t="shared" si="95"/>
        <v>6280.930854760084</v>
      </c>
      <c r="L398" s="236">
        <f t="shared" si="95"/>
        <v>8351.7178275710266</v>
      </c>
      <c r="M398" s="236">
        <f t="shared" si="95"/>
        <v>9864.2560467844633</v>
      </c>
      <c r="N398" s="236">
        <f t="shared" si="95"/>
        <v>12467.583694612002</v>
      </c>
      <c r="O398" s="236">
        <f t="shared" si="95"/>
        <v>17078.424138714065</v>
      </c>
      <c r="P398" s="236">
        <f t="shared" si="95"/>
        <v>20630.137466857319</v>
      </c>
      <c r="Q398" s="236">
        <f t="shared" si="95"/>
        <v>22776.577193676407</v>
      </c>
      <c r="R398" s="236">
        <f t="shared" si="95"/>
        <v>16740.883382362914</v>
      </c>
    </row>
    <row r="399" spans="1:18">
      <c r="A399" s="234" t="s">
        <v>60</v>
      </c>
      <c r="B399" s="272" t="s">
        <v>40</v>
      </c>
      <c r="C399" t="s">
        <v>52</v>
      </c>
      <c r="D399" s="236">
        <f t="shared" ref="D399:R399" si="96">D357*D$381</f>
        <v>0</v>
      </c>
      <c r="E399" s="236">
        <f t="shared" si="96"/>
        <v>0</v>
      </c>
      <c r="F399" s="236">
        <f t="shared" si="96"/>
        <v>0</v>
      </c>
      <c r="G399" s="236">
        <f t="shared" si="96"/>
        <v>0</v>
      </c>
      <c r="H399" s="236">
        <f t="shared" si="96"/>
        <v>1530.6452874462261</v>
      </c>
      <c r="I399" s="236">
        <f t="shared" si="96"/>
        <v>1758.7631199650732</v>
      </c>
      <c r="J399" s="236">
        <f t="shared" si="96"/>
        <v>2650.520955059018</v>
      </c>
      <c r="K399" s="236">
        <f t="shared" si="96"/>
        <v>1824.4663567999996</v>
      </c>
      <c r="L399" s="236">
        <f t="shared" si="96"/>
        <v>1364.203541818182</v>
      </c>
      <c r="M399" s="236">
        <f t="shared" si="96"/>
        <v>3509.389162896683</v>
      </c>
      <c r="N399" s="236">
        <f t="shared" si="96"/>
        <v>5221.9557886868288</v>
      </c>
      <c r="O399" s="236">
        <f t="shared" si="96"/>
        <v>4189.4609443503114</v>
      </c>
      <c r="P399" s="236">
        <f t="shared" si="96"/>
        <v>3532.914425530581</v>
      </c>
      <c r="Q399" s="236">
        <f t="shared" si="96"/>
        <v>3040.5215655960101</v>
      </c>
      <c r="R399" s="236">
        <f t="shared" si="96"/>
        <v>2394.6668504451759</v>
      </c>
    </row>
    <row r="400" spans="1:18">
      <c r="A400" s="234" t="s">
        <v>64</v>
      </c>
      <c r="B400" s="272" t="s">
        <v>40</v>
      </c>
      <c r="C400" t="s">
        <v>52</v>
      </c>
      <c r="D400" s="236">
        <f t="shared" ref="D400:R400" si="97">D358*D$381</f>
        <v>0</v>
      </c>
      <c r="E400" s="236">
        <f t="shared" si="97"/>
        <v>0</v>
      </c>
      <c r="F400" s="236">
        <f t="shared" si="97"/>
        <v>0</v>
      </c>
      <c r="G400" s="236">
        <f t="shared" si="97"/>
        <v>0</v>
      </c>
      <c r="H400" s="236">
        <f t="shared" si="97"/>
        <v>0</v>
      </c>
      <c r="I400" s="236">
        <f t="shared" si="97"/>
        <v>0</v>
      </c>
      <c r="J400" s="236">
        <f t="shared" si="97"/>
        <v>0</v>
      </c>
      <c r="K400" s="236">
        <f t="shared" si="97"/>
        <v>0</v>
      </c>
      <c r="L400" s="236">
        <f t="shared" si="97"/>
        <v>0</v>
      </c>
      <c r="M400" s="236">
        <f t="shared" si="97"/>
        <v>828.76868702290096</v>
      </c>
      <c r="N400" s="236">
        <f t="shared" si="97"/>
        <v>945.98640612817621</v>
      </c>
      <c r="O400" s="236">
        <f t="shared" si="97"/>
        <v>1042.2601155572008</v>
      </c>
      <c r="P400" s="236">
        <f t="shared" si="97"/>
        <v>1833.0742515286784</v>
      </c>
      <c r="Q400" s="236">
        <f t="shared" si="97"/>
        <v>9404.4679922499545</v>
      </c>
      <c r="R400" s="236">
        <f t="shared" si="97"/>
        <v>10040.317594951888</v>
      </c>
    </row>
    <row r="401" spans="1:18">
      <c r="A401" s="234" t="s">
        <v>246</v>
      </c>
      <c r="B401" s="272" t="s">
        <v>40</v>
      </c>
      <c r="C401" t="s">
        <v>52</v>
      </c>
      <c r="D401" s="236">
        <f t="shared" ref="D401:R401" si="98">D359*D$381</f>
        <v>0</v>
      </c>
      <c r="E401" s="236">
        <f t="shared" si="98"/>
        <v>0</v>
      </c>
      <c r="F401" s="236">
        <f t="shared" si="98"/>
        <v>0</v>
      </c>
      <c r="G401" s="236">
        <f t="shared" si="98"/>
        <v>0</v>
      </c>
      <c r="H401" s="236">
        <f t="shared" si="98"/>
        <v>0</v>
      </c>
      <c r="I401" s="236">
        <f t="shared" si="98"/>
        <v>0</v>
      </c>
      <c r="J401" s="236">
        <f t="shared" si="98"/>
        <v>0</v>
      </c>
      <c r="K401" s="236">
        <f t="shared" si="98"/>
        <v>0</v>
      </c>
      <c r="L401" s="236">
        <f t="shared" si="98"/>
        <v>0</v>
      </c>
      <c r="M401" s="236">
        <f t="shared" si="98"/>
        <v>321.75525343079295</v>
      </c>
      <c r="N401" s="236">
        <f t="shared" si="98"/>
        <v>0</v>
      </c>
      <c r="O401" s="236">
        <f t="shared" si="98"/>
        <v>0</v>
      </c>
      <c r="P401" s="236">
        <f t="shared" si="98"/>
        <v>0</v>
      </c>
      <c r="Q401" s="236">
        <f t="shared" si="98"/>
        <v>0</v>
      </c>
      <c r="R401" s="236">
        <f t="shared" si="98"/>
        <v>0</v>
      </c>
    </row>
    <row r="402" spans="1:18">
      <c r="A402" s="234" t="s">
        <v>333</v>
      </c>
      <c r="B402" s="272" t="s">
        <v>40</v>
      </c>
      <c r="C402" t="s">
        <v>52</v>
      </c>
      <c r="D402" s="236">
        <f t="shared" ref="D402:R402" si="99">D360*D$381</f>
        <v>0</v>
      </c>
      <c r="E402" s="236">
        <f t="shared" si="99"/>
        <v>0</v>
      </c>
      <c r="F402" s="236">
        <f t="shared" si="99"/>
        <v>0</v>
      </c>
      <c r="G402" s="236">
        <f t="shared" si="99"/>
        <v>0</v>
      </c>
      <c r="H402" s="236">
        <f t="shared" si="99"/>
        <v>1530.6452874462261</v>
      </c>
      <c r="I402" s="236">
        <f t="shared" si="99"/>
        <v>3309.5797018970247</v>
      </c>
      <c r="J402" s="236">
        <f t="shared" si="99"/>
        <v>6076.5816564107208</v>
      </c>
      <c r="K402" s="236">
        <f t="shared" si="99"/>
        <v>8105.3972115600836</v>
      </c>
      <c r="L402" s="236">
        <f t="shared" si="99"/>
        <v>9715.921369389207</v>
      </c>
      <c r="M402" s="236">
        <f t="shared" si="99"/>
        <v>12223.121269227451</v>
      </c>
      <c r="N402" s="236">
        <f t="shared" si="99"/>
        <v>16743.553077170654</v>
      </c>
      <c r="O402" s="236">
        <f t="shared" si="99"/>
        <v>20225.624967507178</v>
      </c>
      <c r="P402" s="236">
        <f t="shared" si="99"/>
        <v>22329.977640859222</v>
      </c>
      <c r="Q402" s="236">
        <f t="shared" si="99"/>
        <v>16412.630767022463</v>
      </c>
      <c r="R402" s="236">
        <f t="shared" si="99"/>
        <v>9095.2326378562047</v>
      </c>
    </row>
    <row r="403" spans="1:18">
      <c r="A403" s="234" t="s">
        <v>237</v>
      </c>
      <c r="B403" s="272" t="s">
        <v>40</v>
      </c>
      <c r="C403" t="s">
        <v>52</v>
      </c>
      <c r="D403" s="236">
        <f t="shared" ref="D403:R403" si="100">D361*D$381</f>
        <v>0</v>
      </c>
      <c r="E403" s="236">
        <f t="shared" si="100"/>
        <v>0</v>
      </c>
      <c r="F403" s="236">
        <f t="shared" si="100"/>
        <v>0</v>
      </c>
      <c r="G403" s="236">
        <f t="shared" si="100"/>
        <v>0</v>
      </c>
      <c r="H403" s="236">
        <f t="shared" si="100"/>
        <v>765.32264372311306</v>
      </c>
      <c r="I403" s="236">
        <f t="shared" si="100"/>
        <v>2430.1981419144881</v>
      </c>
      <c r="J403" s="236">
        <f t="shared" si="100"/>
        <v>4751.3211788812105</v>
      </c>
      <c r="K403" s="236">
        <f t="shared" si="100"/>
        <v>7193.1640331600838</v>
      </c>
      <c r="L403" s="236">
        <f t="shared" si="100"/>
        <v>9033.8195984801168</v>
      </c>
      <c r="M403" s="236">
        <f t="shared" si="100"/>
        <v>11043.688658005958</v>
      </c>
      <c r="N403" s="236">
        <f t="shared" si="100"/>
        <v>14605.568385891327</v>
      </c>
      <c r="O403" s="236">
        <f t="shared" si="100"/>
        <v>18652.024553110619</v>
      </c>
      <c r="P403" s="236">
        <f t="shared" si="100"/>
        <v>21480.057553858271</v>
      </c>
      <c r="Q403" s="236">
        <f t="shared" si="100"/>
        <v>19594.603980349431</v>
      </c>
      <c r="R403" s="236">
        <f t="shared" si="100"/>
        <v>12918.05801010956</v>
      </c>
    </row>
    <row r="405" spans="1:18">
      <c r="A405" s="65" t="s">
        <v>345</v>
      </c>
      <c r="B405" s="1" t="s">
        <v>10</v>
      </c>
      <c r="C405" s="1" t="s">
        <v>11</v>
      </c>
      <c r="D405" s="238" t="s">
        <v>35</v>
      </c>
      <c r="E405" s="238" t="s">
        <v>36</v>
      </c>
      <c r="F405" s="238" t="s">
        <v>37</v>
      </c>
      <c r="G405" s="238" t="s">
        <v>15</v>
      </c>
      <c r="H405" s="238" t="s">
        <v>16</v>
      </c>
      <c r="I405" s="238" t="s">
        <v>0</v>
      </c>
      <c r="J405" s="238" t="s">
        <v>1</v>
      </c>
      <c r="K405" s="238" t="s">
        <v>2</v>
      </c>
      <c r="L405" s="238" t="s">
        <v>3</v>
      </c>
      <c r="M405" s="238" t="s">
        <v>4</v>
      </c>
      <c r="N405" s="238" t="s">
        <v>5</v>
      </c>
      <c r="O405" s="238" t="s">
        <v>6</v>
      </c>
      <c r="P405" s="238" t="s">
        <v>7</v>
      </c>
      <c r="Q405" s="238" t="s">
        <v>8</v>
      </c>
      <c r="R405" s="238" t="s">
        <v>9</v>
      </c>
    </row>
    <row r="406" spans="1:18">
      <c r="A406" s="234" t="s">
        <v>332</v>
      </c>
      <c r="B406" s="272" t="s">
        <v>40</v>
      </c>
      <c r="C406" t="s">
        <v>52</v>
      </c>
      <c r="D406" s="236">
        <f t="shared" ref="D406:R406" si="101">D365*D$381</f>
        <v>0</v>
      </c>
      <c r="E406" s="236">
        <f t="shared" si="101"/>
        <v>0</v>
      </c>
      <c r="F406" s="236">
        <f t="shared" si="101"/>
        <v>0</v>
      </c>
      <c r="G406" s="236">
        <f t="shared" si="101"/>
        <v>0</v>
      </c>
      <c r="H406" s="236">
        <f t="shared" si="101"/>
        <v>0</v>
      </c>
      <c r="I406" s="236">
        <f t="shared" si="101"/>
        <v>0</v>
      </c>
      <c r="J406" s="236">
        <f t="shared" si="101"/>
        <v>0</v>
      </c>
      <c r="K406" s="236">
        <f t="shared" si="101"/>
        <v>0</v>
      </c>
      <c r="L406" s="236">
        <f t="shared" si="101"/>
        <v>0</v>
      </c>
      <c r="M406" s="236">
        <f t="shared" si="101"/>
        <v>0</v>
      </c>
      <c r="N406" s="236">
        <f t="shared" si="101"/>
        <v>21206.323066947203</v>
      </c>
      <c r="O406" s="236">
        <f t="shared" si="101"/>
        <v>16420.16580742352</v>
      </c>
      <c r="P406" s="236">
        <f t="shared" si="101"/>
        <v>11343.620976003174</v>
      </c>
      <c r="Q406" s="236">
        <f t="shared" si="101"/>
        <v>6002.7320898665375</v>
      </c>
      <c r="R406" s="236">
        <f t="shared" si="101"/>
        <v>388.31941301176903</v>
      </c>
    </row>
    <row r="407" spans="1:18">
      <c r="A407" s="234" t="s">
        <v>60</v>
      </c>
      <c r="B407" s="272" t="s">
        <v>40</v>
      </c>
      <c r="C407" t="s">
        <v>52</v>
      </c>
      <c r="D407" s="236">
        <f t="shared" ref="D407:R407" si="102">D366*D$381</f>
        <v>0</v>
      </c>
      <c r="E407" s="236">
        <f t="shared" si="102"/>
        <v>0</v>
      </c>
      <c r="F407" s="236">
        <f t="shared" si="102"/>
        <v>0</v>
      </c>
      <c r="G407" s="236">
        <f t="shared" si="102"/>
        <v>0</v>
      </c>
      <c r="H407" s="236">
        <f t="shared" si="102"/>
        <v>0</v>
      </c>
      <c r="I407" s="236">
        <f t="shared" si="102"/>
        <v>0</v>
      </c>
      <c r="J407" s="236">
        <f t="shared" si="102"/>
        <v>0</v>
      </c>
      <c r="K407" s="236">
        <f t="shared" si="102"/>
        <v>0</v>
      </c>
      <c r="L407" s="236">
        <f t="shared" si="102"/>
        <v>0</v>
      </c>
      <c r="M407" s="236">
        <f t="shared" si="102"/>
        <v>25988.141013415687</v>
      </c>
      <c r="N407" s="236">
        <f t="shared" si="102"/>
        <v>241.82433971680504</v>
      </c>
      <c r="O407" s="236">
        <f t="shared" si="102"/>
        <v>197.46971905934265</v>
      </c>
      <c r="P407" s="236">
        <f t="shared" si="102"/>
        <v>184.72218207454949</v>
      </c>
      <c r="Q407" s="236">
        <f t="shared" si="102"/>
        <v>167.68893547560816</v>
      </c>
      <c r="R407" s="236">
        <f t="shared" si="102"/>
        <v>162.93324535266794</v>
      </c>
    </row>
    <row r="408" spans="1:18">
      <c r="A408" s="234" t="s">
        <v>61</v>
      </c>
      <c r="B408" s="272" t="s">
        <v>40</v>
      </c>
      <c r="C408" t="s">
        <v>52</v>
      </c>
      <c r="D408" s="236">
        <f t="shared" ref="D408:R408" si="103">D367*D$381</f>
        <v>0</v>
      </c>
      <c r="E408" s="236">
        <f t="shared" si="103"/>
        <v>0</v>
      </c>
      <c r="F408" s="236">
        <f t="shared" si="103"/>
        <v>0</v>
      </c>
      <c r="G408" s="236">
        <f t="shared" si="103"/>
        <v>0</v>
      </c>
      <c r="H408" s="236">
        <f t="shared" si="103"/>
        <v>0</v>
      </c>
      <c r="I408" s="236">
        <f t="shared" si="103"/>
        <v>0</v>
      </c>
      <c r="J408" s="236">
        <f t="shared" si="103"/>
        <v>0</v>
      </c>
      <c r="K408" s="236">
        <f t="shared" si="103"/>
        <v>0</v>
      </c>
      <c r="L408" s="236">
        <f t="shared" si="103"/>
        <v>0</v>
      </c>
      <c r="M408" s="236">
        <f t="shared" si="103"/>
        <v>5197.6282026831377</v>
      </c>
      <c r="N408" s="236">
        <f t="shared" si="103"/>
        <v>5349.9456346801617</v>
      </c>
      <c r="O408" s="236">
        <f t="shared" si="103"/>
        <v>5496.4384911856341</v>
      </c>
      <c r="P408" s="236">
        <f t="shared" si="103"/>
        <v>5643.3116974242557</v>
      </c>
      <c r="Q408" s="236">
        <f t="shared" si="103"/>
        <v>5789.7157184678617</v>
      </c>
      <c r="R408" s="236">
        <f t="shared" si="103"/>
        <v>199.49516115438232</v>
      </c>
    </row>
    <row r="409" spans="1:18">
      <c r="A409" s="234" t="s">
        <v>333</v>
      </c>
      <c r="B409" s="272" t="s">
        <v>40</v>
      </c>
      <c r="C409" t="s">
        <v>52</v>
      </c>
      <c r="D409" s="236">
        <f t="shared" ref="D409:R409" si="104">D368*D$381</f>
        <v>0</v>
      </c>
      <c r="E409" s="236">
        <f t="shared" si="104"/>
        <v>0</v>
      </c>
      <c r="F409" s="236">
        <f t="shared" si="104"/>
        <v>0</v>
      </c>
      <c r="G409" s="236">
        <f t="shared" si="104"/>
        <v>0</v>
      </c>
      <c r="H409" s="236">
        <f t="shared" si="104"/>
        <v>0</v>
      </c>
      <c r="I409" s="236">
        <f t="shared" si="104"/>
        <v>0</v>
      </c>
      <c r="J409" s="236">
        <f t="shared" si="104"/>
        <v>0</v>
      </c>
      <c r="K409" s="236">
        <f t="shared" si="104"/>
        <v>0</v>
      </c>
      <c r="L409" s="236">
        <f t="shared" si="104"/>
        <v>0</v>
      </c>
      <c r="M409" s="236">
        <f t="shared" si="104"/>
        <v>20790.512810732551</v>
      </c>
      <c r="N409" s="236">
        <f t="shared" si="104"/>
        <v>16098.201771983844</v>
      </c>
      <c r="O409" s="236">
        <f t="shared" si="104"/>
        <v>11121.197035297231</v>
      </c>
      <c r="P409" s="236">
        <f t="shared" si="104"/>
        <v>5885.0314606534685</v>
      </c>
      <c r="Q409" s="236">
        <f t="shared" si="104"/>
        <v>380.70530687428334</v>
      </c>
      <c r="R409" s="236">
        <f t="shared" si="104"/>
        <v>351.75749721005474</v>
      </c>
    </row>
    <row r="410" spans="1:18">
      <c r="A410" s="234" t="s">
        <v>237</v>
      </c>
      <c r="B410" s="272" t="s">
        <v>40</v>
      </c>
      <c r="C410" t="s">
        <v>52</v>
      </c>
      <c r="D410" s="236">
        <f t="shared" ref="D410:R410" si="105">D369*D$381</f>
        <v>0</v>
      </c>
      <c r="E410" s="236">
        <f t="shared" si="105"/>
        <v>0</v>
      </c>
      <c r="F410" s="236">
        <f t="shared" si="105"/>
        <v>0</v>
      </c>
      <c r="G410" s="236">
        <f t="shared" si="105"/>
        <v>0</v>
      </c>
      <c r="H410" s="236">
        <f t="shared" si="105"/>
        <v>0</v>
      </c>
      <c r="I410" s="236">
        <f t="shared" si="105"/>
        <v>0</v>
      </c>
      <c r="J410" s="236">
        <f t="shared" si="105"/>
        <v>0</v>
      </c>
      <c r="K410" s="236">
        <f t="shared" si="105"/>
        <v>0</v>
      </c>
      <c r="L410" s="236">
        <f t="shared" si="105"/>
        <v>0</v>
      </c>
      <c r="M410" s="236">
        <f t="shared" si="105"/>
        <v>10395.256405366275</v>
      </c>
      <c r="N410" s="236">
        <f t="shared" si="105"/>
        <v>18652.262419465522</v>
      </c>
      <c r="O410" s="236">
        <f t="shared" si="105"/>
        <v>13770.681421360376</v>
      </c>
      <c r="P410" s="236">
        <f t="shared" si="105"/>
        <v>8614.3262183283223</v>
      </c>
      <c r="Q410" s="236">
        <f t="shared" si="105"/>
        <v>3191.71869837041</v>
      </c>
      <c r="R410" s="236">
        <f t="shared" si="105"/>
        <v>370.03845511091191</v>
      </c>
    </row>
    <row r="412" spans="1:18">
      <c r="A412" s="65" t="s">
        <v>639</v>
      </c>
      <c r="B412" s="1" t="s">
        <v>10</v>
      </c>
      <c r="C412" s="1" t="s">
        <v>11</v>
      </c>
      <c r="D412" s="238" t="s">
        <v>35</v>
      </c>
      <c r="E412" s="238" t="s">
        <v>36</v>
      </c>
      <c r="F412" s="238" t="s">
        <v>37</v>
      </c>
      <c r="G412" s="238" t="s">
        <v>15</v>
      </c>
      <c r="H412" s="238" t="s">
        <v>16</v>
      </c>
      <c r="I412" s="238" t="s">
        <v>0</v>
      </c>
      <c r="J412" s="238" t="s">
        <v>1</v>
      </c>
      <c r="K412" s="238" t="s">
        <v>2</v>
      </c>
      <c r="L412" s="238" t="s">
        <v>3</v>
      </c>
      <c r="M412" s="238" t="s">
        <v>4</v>
      </c>
      <c r="N412" s="238" t="s">
        <v>5</v>
      </c>
      <c r="O412" s="238" t="s">
        <v>6</v>
      </c>
      <c r="P412" s="238" t="s">
        <v>7</v>
      </c>
      <c r="Q412" s="238" t="s">
        <v>8</v>
      </c>
      <c r="R412" s="238" t="s">
        <v>9</v>
      </c>
    </row>
    <row r="413" spans="1:18">
      <c r="A413" s="234" t="s">
        <v>332</v>
      </c>
      <c r="B413" s="272" t="s">
        <v>40</v>
      </c>
      <c r="C413" s="299" t="s">
        <v>52</v>
      </c>
      <c r="D413" s="236">
        <f>D373*D$381</f>
        <v>0</v>
      </c>
      <c r="E413" s="236">
        <f t="shared" ref="E413:R413" si="106">E373*E$381</f>
        <v>0</v>
      </c>
      <c r="F413" s="236">
        <f t="shared" si="106"/>
        <v>0</v>
      </c>
      <c r="G413" s="236">
        <f t="shared" si="106"/>
        <v>0</v>
      </c>
      <c r="H413" s="236">
        <f t="shared" si="106"/>
        <v>0</v>
      </c>
      <c r="I413" s="236">
        <f t="shared" si="106"/>
        <v>0</v>
      </c>
      <c r="J413" s="236">
        <f t="shared" si="106"/>
        <v>0</v>
      </c>
      <c r="K413" s="236">
        <f t="shared" si="106"/>
        <v>0</v>
      </c>
      <c r="L413" s="236">
        <f t="shared" si="106"/>
        <v>1916.0735236605399</v>
      </c>
      <c r="M413" s="236">
        <f t="shared" si="106"/>
        <v>972.66327727806038</v>
      </c>
      <c r="N413" s="236">
        <f t="shared" si="106"/>
        <v>0</v>
      </c>
      <c r="O413" s="236">
        <f t="shared" si="106"/>
        <v>0</v>
      </c>
      <c r="P413" s="236">
        <f t="shared" si="106"/>
        <v>0</v>
      </c>
      <c r="Q413" s="236">
        <f t="shared" si="106"/>
        <v>0</v>
      </c>
      <c r="R413" s="236">
        <f t="shared" si="106"/>
        <v>0</v>
      </c>
    </row>
    <row r="414" spans="1:18">
      <c r="A414" s="234" t="s">
        <v>60</v>
      </c>
      <c r="B414" s="272" t="s">
        <v>40</v>
      </c>
      <c r="C414" s="299" t="s">
        <v>52</v>
      </c>
      <c r="D414" s="236">
        <f t="shared" ref="D414:R414" si="107">D374*D$381</f>
        <v>0</v>
      </c>
      <c r="E414" s="236">
        <f t="shared" si="107"/>
        <v>0</v>
      </c>
      <c r="F414" s="236">
        <f t="shared" si="107"/>
        <v>0</v>
      </c>
      <c r="G414" s="236">
        <f t="shared" si="107"/>
        <v>0</v>
      </c>
      <c r="H414" s="236">
        <f t="shared" si="107"/>
        <v>0</v>
      </c>
      <c r="I414" s="236">
        <f t="shared" si="107"/>
        <v>0</v>
      </c>
      <c r="J414" s="236">
        <f t="shared" si="107"/>
        <v>0</v>
      </c>
      <c r="K414" s="236">
        <f t="shared" si="107"/>
        <v>0</v>
      </c>
      <c r="L414" s="236">
        <f t="shared" si="107"/>
        <v>0</v>
      </c>
      <c r="M414" s="236">
        <f t="shared" si="107"/>
        <v>0</v>
      </c>
      <c r="N414" s="236">
        <f t="shared" si="107"/>
        <v>0</v>
      </c>
      <c r="O414" s="236">
        <f t="shared" si="107"/>
        <v>0</v>
      </c>
      <c r="P414" s="236">
        <f t="shared" si="107"/>
        <v>0</v>
      </c>
      <c r="Q414" s="236">
        <f t="shared" si="107"/>
        <v>0</v>
      </c>
      <c r="R414" s="236">
        <f t="shared" si="107"/>
        <v>0</v>
      </c>
    </row>
    <row r="415" spans="1:18">
      <c r="A415" s="234" t="s">
        <v>61</v>
      </c>
      <c r="B415" s="272" t="s">
        <v>40</v>
      </c>
      <c r="C415" s="299" t="s">
        <v>52</v>
      </c>
      <c r="D415" s="236">
        <f t="shared" ref="D415:R415" si="108">D375*D$381</f>
        <v>0</v>
      </c>
      <c r="E415" s="236">
        <f t="shared" si="108"/>
        <v>0</v>
      </c>
      <c r="F415" s="236">
        <f t="shared" si="108"/>
        <v>0</v>
      </c>
      <c r="G415" s="236">
        <f t="shared" si="108"/>
        <v>0</v>
      </c>
      <c r="H415" s="236">
        <f t="shared" si="108"/>
        <v>0</v>
      </c>
      <c r="I415" s="236">
        <f t="shared" si="108"/>
        <v>0</v>
      </c>
      <c r="J415" s="236">
        <f t="shared" si="108"/>
        <v>0</v>
      </c>
      <c r="K415" s="236">
        <f t="shared" si="108"/>
        <v>0</v>
      </c>
      <c r="L415" s="236">
        <f t="shared" si="108"/>
        <v>958.03676183026994</v>
      </c>
      <c r="M415" s="236">
        <f t="shared" si="108"/>
        <v>972.66327727806038</v>
      </c>
      <c r="N415" s="236">
        <f t="shared" si="108"/>
        <v>0</v>
      </c>
      <c r="O415" s="236">
        <f t="shared" si="108"/>
        <v>0</v>
      </c>
      <c r="P415" s="236">
        <f t="shared" si="108"/>
        <v>0</v>
      </c>
      <c r="Q415" s="236">
        <f t="shared" si="108"/>
        <v>0</v>
      </c>
      <c r="R415" s="236">
        <f t="shared" si="108"/>
        <v>0</v>
      </c>
    </row>
    <row r="416" spans="1:18">
      <c r="A416" s="234" t="s">
        <v>333</v>
      </c>
      <c r="B416" s="272" t="s">
        <v>40</v>
      </c>
      <c r="C416" s="299" t="s">
        <v>52</v>
      </c>
      <c r="D416" s="236">
        <f t="shared" ref="D416:R416" si="109">D376*D$381</f>
        <v>0</v>
      </c>
      <c r="E416" s="236">
        <f t="shared" si="109"/>
        <v>0</v>
      </c>
      <c r="F416" s="236">
        <f t="shared" si="109"/>
        <v>0</v>
      </c>
      <c r="G416" s="236">
        <f t="shared" si="109"/>
        <v>0</v>
      </c>
      <c r="H416" s="236">
        <f t="shared" si="109"/>
        <v>0</v>
      </c>
      <c r="I416" s="236">
        <f t="shared" si="109"/>
        <v>0</v>
      </c>
      <c r="J416" s="236">
        <f t="shared" si="109"/>
        <v>0</v>
      </c>
      <c r="K416" s="236">
        <f t="shared" si="109"/>
        <v>0</v>
      </c>
      <c r="L416" s="236">
        <f t="shared" si="109"/>
        <v>958.03676183026994</v>
      </c>
      <c r="M416" s="236">
        <f t="shared" si="109"/>
        <v>0</v>
      </c>
      <c r="N416" s="236">
        <f t="shared" si="109"/>
        <v>0</v>
      </c>
      <c r="O416" s="236">
        <f t="shared" si="109"/>
        <v>0</v>
      </c>
      <c r="P416" s="236">
        <f t="shared" si="109"/>
        <v>0</v>
      </c>
      <c r="Q416" s="236">
        <f t="shared" si="109"/>
        <v>0</v>
      </c>
      <c r="R416" s="236">
        <f t="shared" si="109"/>
        <v>0</v>
      </c>
    </row>
    <row r="417" spans="1:18">
      <c r="A417" s="234" t="s">
        <v>237</v>
      </c>
      <c r="B417" s="272" t="s">
        <v>40</v>
      </c>
      <c r="C417" s="299" t="s">
        <v>52</v>
      </c>
      <c r="D417" s="236">
        <f t="shared" ref="D417:R417" si="110">D377*D$381</f>
        <v>0</v>
      </c>
      <c r="E417" s="236">
        <f t="shared" si="110"/>
        <v>0</v>
      </c>
      <c r="F417" s="236">
        <f t="shared" si="110"/>
        <v>0</v>
      </c>
      <c r="G417" s="236">
        <f t="shared" si="110"/>
        <v>0</v>
      </c>
      <c r="H417" s="236">
        <f t="shared" si="110"/>
        <v>0</v>
      </c>
      <c r="I417" s="236">
        <f t="shared" si="110"/>
        <v>0</v>
      </c>
      <c r="J417" s="236">
        <f t="shared" si="110"/>
        <v>0</v>
      </c>
      <c r="K417" s="236">
        <f t="shared" si="110"/>
        <v>0</v>
      </c>
      <c r="L417" s="236">
        <f t="shared" si="110"/>
        <v>1437.0551427454047</v>
      </c>
      <c r="M417" s="236">
        <f t="shared" si="110"/>
        <v>486.33163863903019</v>
      </c>
      <c r="N417" s="236">
        <f t="shared" si="110"/>
        <v>0</v>
      </c>
      <c r="O417" s="236">
        <f t="shared" si="110"/>
        <v>0</v>
      </c>
      <c r="P417" s="236">
        <f t="shared" si="110"/>
        <v>0</v>
      </c>
      <c r="Q417" s="236">
        <f t="shared" si="110"/>
        <v>0</v>
      </c>
      <c r="R417" s="236">
        <f t="shared" si="110"/>
        <v>0</v>
      </c>
    </row>
    <row r="419" spans="1:18" ht="18">
      <c r="A419" s="267" t="s">
        <v>276</v>
      </c>
      <c r="B419" s="268"/>
    </row>
    <row r="420" spans="1:18">
      <c r="D420" s="234"/>
      <c r="E420" s="234"/>
      <c r="F420" s="234"/>
      <c r="G420" s="234"/>
      <c r="H420" s="234"/>
      <c r="I420" s="234"/>
      <c r="J420" s="234"/>
      <c r="K420" s="234"/>
      <c r="L420" s="234"/>
      <c r="M420" s="234"/>
    </row>
    <row r="421" spans="1:18">
      <c r="A421" s="65" t="s">
        <v>61</v>
      </c>
      <c r="B421" s="1" t="s">
        <v>10</v>
      </c>
      <c r="C421" s="1" t="s">
        <v>11</v>
      </c>
      <c r="D421" s="238" t="s">
        <v>0</v>
      </c>
      <c r="E421" s="238" t="s">
        <v>1</v>
      </c>
      <c r="F421" s="238" t="s">
        <v>2</v>
      </c>
      <c r="G421" s="238" t="s">
        <v>3</v>
      </c>
      <c r="H421" s="238" t="s">
        <v>4</v>
      </c>
      <c r="I421" s="238" t="s">
        <v>5</v>
      </c>
      <c r="J421" s="238" t="s">
        <v>6</v>
      </c>
      <c r="K421" s="238" t="s">
        <v>7</v>
      </c>
      <c r="L421" s="238" t="s">
        <v>8</v>
      </c>
      <c r="M421" s="238" t="s">
        <v>9</v>
      </c>
    </row>
    <row r="422" spans="1:18">
      <c r="A422" s="234" t="s">
        <v>343</v>
      </c>
      <c r="B422" s="272" t="s">
        <v>40</v>
      </c>
      <c r="C422" t="s">
        <v>52</v>
      </c>
      <c r="D422" s="236">
        <f t="shared" ref="D422:M422" si="111">I386</f>
        <v>2715.8703087817826</v>
      </c>
      <c r="E422" s="236">
        <f t="shared" si="111"/>
        <v>1628.1553133668215</v>
      </c>
      <c r="F422" s="236">
        <f t="shared" si="111"/>
        <v>1464.6277050870494</v>
      </c>
      <c r="G422" s="236">
        <f t="shared" si="111"/>
        <v>1480.3485470805911</v>
      </c>
      <c r="H422" s="236">
        <f t="shared" si="111"/>
        <v>1479.9951468971933</v>
      </c>
      <c r="I422" s="236">
        <f t="shared" si="111"/>
        <v>1852.32221637675</v>
      </c>
      <c r="J422" s="236">
        <f t="shared" si="111"/>
        <v>2380.237413100283</v>
      </c>
      <c r="K422" s="236">
        <f t="shared" si="111"/>
        <v>2807.1023356892779</v>
      </c>
      <c r="L422" s="236">
        <f t="shared" si="111"/>
        <v>3165.1971688528511</v>
      </c>
      <c r="M422" s="236">
        <f t="shared" si="111"/>
        <v>3361.7790849260236</v>
      </c>
    </row>
    <row r="423" spans="1:18">
      <c r="A423" s="234" t="s">
        <v>217</v>
      </c>
      <c r="B423" s="272" t="s">
        <v>40</v>
      </c>
      <c r="C423" t="s">
        <v>52</v>
      </c>
      <c r="D423" s="236">
        <f t="shared" ref="D423:M423" si="112">I393</f>
        <v>104.34700853146055</v>
      </c>
      <c r="E423" s="236">
        <f t="shared" si="112"/>
        <v>108.01951227472541</v>
      </c>
      <c r="F423" s="236">
        <f t="shared" si="112"/>
        <v>111.65209749904177</v>
      </c>
      <c r="G423" s="236">
        <f t="shared" si="112"/>
        <v>115.04517160966691</v>
      </c>
      <c r="H423" s="236">
        <f t="shared" si="112"/>
        <v>116.8015864434023</v>
      </c>
      <c r="I423" s="236">
        <f t="shared" si="112"/>
        <v>171.53540821801258</v>
      </c>
      <c r="J423" s="236">
        <f t="shared" si="112"/>
        <v>176.96052487743506</v>
      </c>
      <c r="K423" s="236">
        <f t="shared" si="112"/>
        <v>181.73102019851424</v>
      </c>
      <c r="L423" s="236">
        <f t="shared" si="112"/>
        <v>185.80247904422407</v>
      </c>
      <c r="M423" s="236">
        <f t="shared" si="112"/>
        <v>189.96410383568286</v>
      </c>
    </row>
    <row r="424" spans="1:18">
      <c r="A424" s="234" t="s">
        <v>232</v>
      </c>
      <c r="B424" s="272" t="s">
        <v>40</v>
      </c>
      <c r="C424" t="s">
        <v>52</v>
      </c>
      <c r="D424" s="236">
        <f t="shared" ref="D424:M424" si="113">I408</f>
        <v>0</v>
      </c>
      <c r="E424" s="236">
        <f t="shared" si="113"/>
        <v>0</v>
      </c>
      <c r="F424" s="236">
        <f t="shared" si="113"/>
        <v>0</v>
      </c>
      <c r="G424" s="236">
        <f t="shared" si="113"/>
        <v>0</v>
      </c>
      <c r="H424" s="236">
        <f t="shared" si="113"/>
        <v>5197.6282026831377</v>
      </c>
      <c r="I424" s="236">
        <f t="shared" si="113"/>
        <v>5349.9456346801617</v>
      </c>
      <c r="J424" s="236">
        <f t="shared" si="113"/>
        <v>5496.4384911856341</v>
      </c>
      <c r="K424" s="236">
        <f t="shared" si="113"/>
        <v>5643.3116974242557</v>
      </c>
      <c r="L424" s="236">
        <f t="shared" si="113"/>
        <v>5789.7157184678617</v>
      </c>
      <c r="M424" s="236">
        <f t="shared" si="113"/>
        <v>199.49516115438232</v>
      </c>
    </row>
    <row r="425" spans="1:18" s="300" customFormat="1">
      <c r="A425" s="234" t="s">
        <v>640</v>
      </c>
      <c r="B425" s="272" t="s">
        <v>40</v>
      </c>
      <c r="C425" s="299" t="s">
        <v>52</v>
      </c>
      <c r="D425" s="236">
        <f>I415</f>
        <v>0</v>
      </c>
      <c r="E425" s="236">
        <f t="shared" ref="E425:M425" si="114">J415</f>
        <v>0</v>
      </c>
      <c r="F425" s="236">
        <f t="shared" si="114"/>
        <v>0</v>
      </c>
      <c r="G425" s="236">
        <f t="shared" si="114"/>
        <v>958.03676183026994</v>
      </c>
      <c r="H425" s="236">
        <f t="shared" si="114"/>
        <v>972.66327727806038</v>
      </c>
      <c r="I425" s="236">
        <f t="shared" si="114"/>
        <v>0</v>
      </c>
      <c r="J425" s="236">
        <f t="shared" si="114"/>
        <v>0</v>
      </c>
      <c r="K425" s="236">
        <f t="shared" si="114"/>
        <v>0</v>
      </c>
      <c r="L425" s="236">
        <f t="shared" si="114"/>
        <v>0</v>
      </c>
      <c r="M425" s="236">
        <f t="shared" si="114"/>
        <v>0</v>
      </c>
    </row>
    <row r="426" spans="1:18">
      <c r="A426" s="65" t="s">
        <v>20</v>
      </c>
      <c r="B426" s="272" t="s">
        <v>40</v>
      </c>
      <c r="C426" t="s">
        <v>52</v>
      </c>
      <c r="D426" s="236">
        <f>SUM(D422:D425)</f>
        <v>2820.2173173132433</v>
      </c>
      <c r="E426" s="236">
        <f t="shared" ref="E426:M426" si="115">SUM(E422:E425)</f>
        <v>1736.1748256415469</v>
      </c>
      <c r="F426" s="236">
        <f t="shared" si="115"/>
        <v>1576.2798025860911</v>
      </c>
      <c r="G426" s="236">
        <f t="shared" si="115"/>
        <v>2553.4304805205279</v>
      </c>
      <c r="H426" s="236">
        <f t="shared" si="115"/>
        <v>7767.088213301794</v>
      </c>
      <c r="I426" s="236">
        <f t="shared" si="115"/>
        <v>7373.8032592749241</v>
      </c>
      <c r="J426" s="236">
        <f t="shared" si="115"/>
        <v>8053.6364291633527</v>
      </c>
      <c r="K426" s="236">
        <f t="shared" si="115"/>
        <v>8632.1450533120478</v>
      </c>
      <c r="L426" s="236">
        <f t="shared" si="115"/>
        <v>9140.7153663649369</v>
      </c>
      <c r="M426" s="236">
        <f t="shared" si="115"/>
        <v>3751.2383499160892</v>
      </c>
    </row>
  </sheetData>
  <phoneticPr fontId="14"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Q41"/>
  <sheetViews>
    <sheetView showGridLines="0" zoomScale="80" zoomScaleNormal="80" workbookViewId="0">
      <selection activeCell="D16" sqref="D16"/>
    </sheetView>
  </sheetViews>
  <sheetFormatPr defaultColWidth="8.6640625" defaultRowHeight="14.25"/>
  <cols>
    <col min="1" max="1" width="31" customWidth="1"/>
    <col min="2" max="2" width="15" customWidth="1"/>
    <col min="3" max="3" width="14" customWidth="1"/>
    <col min="8" max="8" width="9.1328125" bestFit="1" customWidth="1"/>
    <col min="10" max="10" width="26.6640625" customWidth="1"/>
    <col min="12" max="12" width="13.6640625" customWidth="1"/>
  </cols>
  <sheetData>
    <row r="1" spans="1:17" s="299" customFormat="1" ht="18">
      <c r="A1" s="267" t="s">
        <v>811</v>
      </c>
      <c r="B1" s="268"/>
    </row>
    <row r="2" spans="1:17" s="299" customFormat="1"/>
    <row r="3" spans="1:17" ht="18">
      <c r="A3" s="267" t="s">
        <v>529</v>
      </c>
      <c r="B3" s="268"/>
    </row>
    <row r="4" spans="1:17">
      <c r="A4" s="63"/>
      <c r="B4" s="63"/>
      <c r="C4" s="234"/>
      <c r="D4" s="234"/>
      <c r="E4" s="234"/>
      <c r="F4" s="234"/>
      <c r="G4" s="234"/>
      <c r="H4" s="234"/>
      <c r="I4" s="234"/>
      <c r="J4" s="234"/>
      <c r="K4" s="234"/>
      <c r="L4" s="234"/>
      <c r="M4" s="234"/>
      <c r="N4" s="234"/>
      <c r="O4" s="234"/>
      <c r="P4" s="234"/>
      <c r="Q4" s="234"/>
    </row>
    <row r="5" spans="1:17">
      <c r="A5" s="65" t="s">
        <v>46</v>
      </c>
      <c r="B5" s="1" t="s">
        <v>10</v>
      </c>
      <c r="C5" s="1" t="s">
        <v>11</v>
      </c>
      <c r="D5" s="238" t="s">
        <v>5</v>
      </c>
      <c r="E5" s="238" t="s">
        <v>6</v>
      </c>
      <c r="F5" s="238" t="s">
        <v>7</v>
      </c>
      <c r="G5" s="238" t="s">
        <v>8</v>
      </c>
      <c r="H5" s="238" t="s">
        <v>9</v>
      </c>
      <c r="I5" s="235"/>
      <c r="J5" s="65" t="s">
        <v>46</v>
      </c>
      <c r="K5" s="1" t="s">
        <v>10</v>
      </c>
      <c r="L5" s="1" t="s">
        <v>11</v>
      </c>
      <c r="M5" s="238" t="s">
        <v>5</v>
      </c>
      <c r="N5" s="238" t="s">
        <v>6</v>
      </c>
      <c r="O5" s="238" t="s">
        <v>7</v>
      </c>
      <c r="P5" s="238" t="s">
        <v>8</v>
      </c>
      <c r="Q5" s="238" t="s">
        <v>9</v>
      </c>
    </row>
    <row r="6" spans="1:17">
      <c r="A6" s="234" t="s">
        <v>343</v>
      </c>
      <c r="B6" s="63" t="s">
        <v>40</v>
      </c>
      <c r="C6" t="s">
        <v>54</v>
      </c>
      <c r="D6" s="236">
        <f>RAB!D258</f>
        <v>5781.4459645340939</v>
      </c>
      <c r="E6" s="236">
        <f>RAB!E258</f>
        <v>7318.238959069502</v>
      </c>
      <c r="F6" s="236">
        <f>RAB!F258</f>
        <v>7623.7972993679177</v>
      </c>
      <c r="G6" s="236">
        <f>RAB!G258</f>
        <v>7300.9422536937409</v>
      </c>
      <c r="H6" s="236">
        <f>RAB!H258</f>
        <v>6555.9822262268353</v>
      </c>
      <c r="I6" s="236"/>
      <c r="J6" s="234" t="s">
        <v>343</v>
      </c>
      <c r="K6" s="63" t="s">
        <v>40</v>
      </c>
      <c r="L6" t="s">
        <v>52</v>
      </c>
      <c r="M6" s="236">
        <f>RAB!N388</f>
        <v>5949.7239140401771</v>
      </c>
      <c r="N6" s="236">
        <f>RAB!O388</f>
        <v>7681.8726046649244</v>
      </c>
      <c r="O6" s="236">
        <f>RAB!P388</f>
        <v>8162.6660107691869</v>
      </c>
      <c r="P6" s="236">
        <f>RAB!Q388</f>
        <v>7973.3305933344491</v>
      </c>
      <c r="Q6" s="236">
        <f>RAB!R388</f>
        <v>7302.9579024311161</v>
      </c>
    </row>
    <row r="7" spans="1:17">
      <c r="A7" s="234" t="s">
        <v>217</v>
      </c>
      <c r="B7" s="63" t="s">
        <v>40</v>
      </c>
      <c r="C7" t="s">
        <v>54</v>
      </c>
      <c r="D7" s="236">
        <f>RAB!D266</f>
        <v>2439.4393885716713</v>
      </c>
      <c r="E7" s="236">
        <f>RAB!E266</f>
        <v>2319.3055713147951</v>
      </c>
      <c r="F7" s="236">
        <f>RAB!F266</f>
        <v>2178.8967540579197</v>
      </c>
      <c r="G7" s="236">
        <f>RAB!G266</f>
        <v>2018.9629368010437</v>
      </c>
      <c r="H7" s="236">
        <f>RAB!H266</f>
        <v>1858.6291195441679</v>
      </c>
      <c r="I7" s="236"/>
      <c r="J7" s="234" t="s">
        <v>217</v>
      </c>
      <c r="K7" s="63" t="s">
        <v>40</v>
      </c>
      <c r="L7" t="s">
        <v>52</v>
      </c>
      <c r="M7" s="236">
        <f>RAB!N395</f>
        <v>2510.4430545700088</v>
      </c>
      <c r="N7" s="236">
        <f>RAB!O395</f>
        <v>2434.5488074080595</v>
      </c>
      <c r="O7" s="236">
        <f>RAB!P395</f>
        <v>2332.9065263577349</v>
      </c>
      <c r="P7" s="236">
        <f>RAB!Q395</f>
        <v>2204.901558105023</v>
      </c>
      <c r="Q7" s="236">
        <f>RAB!R395</f>
        <v>2070.3976533010859</v>
      </c>
    </row>
    <row r="8" spans="1:17">
      <c r="A8" s="234" t="s">
        <v>88</v>
      </c>
      <c r="B8" s="63" t="s">
        <v>40</v>
      </c>
      <c r="C8" t="s">
        <v>54</v>
      </c>
      <c r="D8" s="236">
        <f>RAB!D297</f>
        <v>14192.474411303909</v>
      </c>
      <c r="E8" s="236">
        <f>RAB!E297</f>
        <v>17769.10133438083</v>
      </c>
      <c r="F8" s="236">
        <f>RAB!F297</f>
        <v>20062.024411303908</v>
      </c>
      <c r="G8" s="236">
        <f>RAB!G297</f>
        <v>17942.197488226986</v>
      </c>
      <c r="H8" s="236">
        <f>RAB!H297</f>
        <v>11596.747488226987</v>
      </c>
      <c r="I8" s="236"/>
      <c r="J8" s="234" t="s">
        <v>88</v>
      </c>
      <c r="K8" s="63" t="s">
        <v>40</v>
      </c>
      <c r="L8" t="s">
        <v>52</v>
      </c>
      <c r="M8" s="236">
        <f>RAB!N403</f>
        <v>14605.568385891327</v>
      </c>
      <c r="N8" s="236">
        <f>RAB!O403</f>
        <v>18652.024553110619</v>
      </c>
      <c r="O8" s="236">
        <f>RAB!P403</f>
        <v>21480.057553858271</v>
      </c>
      <c r="P8" s="236">
        <f>RAB!Q403</f>
        <v>19594.603980349431</v>
      </c>
      <c r="Q8" s="236">
        <f>RAB!R403</f>
        <v>12918.05801010956</v>
      </c>
    </row>
    <row r="9" spans="1:17">
      <c r="A9" s="234" t="s">
        <v>232</v>
      </c>
      <c r="B9" s="63" t="s">
        <v>40</v>
      </c>
      <c r="C9" t="s">
        <v>54</v>
      </c>
      <c r="D9" s="236">
        <f>RAB!D335</f>
        <v>18124.714499772952</v>
      </c>
      <c r="E9" s="236">
        <f>RAB!E335</f>
        <v>13118.824335818295</v>
      </c>
      <c r="F9" s="236">
        <f>RAB!F335</f>
        <v>8045.6405875875234</v>
      </c>
      <c r="G9" s="236">
        <f>RAB!G335</f>
        <v>2922.5621130418704</v>
      </c>
      <c r="H9" s="236">
        <f>RAB!H335</f>
        <v>332.18944530954832</v>
      </c>
      <c r="I9" s="236"/>
      <c r="J9" s="234" t="s">
        <v>232</v>
      </c>
      <c r="K9" s="63" t="s">
        <v>40</v>
      </c>
      <c r="L9" t="s">
        <v>52</v>
      </c>
      <c r="M9" s="236">
        <f>RAB!N410</f>
        <v>18652.262419465522</v>
      </c>
      <c r="N9" s="236">
        <f>RAB!O410</f>
        <v>13770.681421360376</v>
      </c>
      <c r="O9" s="236">
        <f>RAB!P410</f>
        <v>8614.3262183283223</v>
      </c>
      <c r="P9" s="236">
        <f>RAB!Q410</f>
        <v>3191.71869837041</v>
      </c>
      <c r="Q9" s="236">
        <f>RAB!R410</f>
        <v>370.03845511091191</v>
      </c>
    </row>
    <row r="10" spans="1:17">
      <c r="A10" s="65" t="s">
        <v>20</v>
      </c>
      <c r="B10" s="63" t="s">
        <v>40</v>
      </c>
      <c r="C10" t="s">
        <v>54</v>
      </c>
      <c r="D10" s="236">
        <f>SUM(D6:D9)</f>
        <v>40538.074264182622</v>
      </c>
      <c r="E10" s="236">
        <f>SUM(E6:E9)</f>
        <v>40525.470200583426</v>
      </c>
      <c r="F10" s="236">
        <f>SUM(F6:F9)</f>
        <v>37910.359052317268</v>
      </c>
      <c r="G10" s="236">
        <f>SUM(G6:G9)</f>
        <v>30184.66479176364</v>
      </c>
      <c r="H10" s="236">
        <f>SUM(H6:H9)</f>
        <v>20343.548279307539</v>
      </c>
      <c r="I10" s="236"/>
      <c r="J10" s="65" t="s">
        <v>20</v>
      </c>
      <c r="K10" s="63" t="s">
        <v>40</v>
      </c>
      <c r="L10" t="s">
        <v>52</v>
      </c>
      <c r="M10" s="236">
        <f>SUM(M6:M9)</f>
        <v>41717.997773967036</v>
      </c>
      <c r="N10" s="236">
        <f>SUM(N6:N9)</f>
        <v>42539.12738654398</v>
      </c>
      <c r="O10" s="236">
        <f>SUM(O6:O9)</f>
        <v>40589.956309313515</v>
      </c>
      <c r="P10" s="236">
        <f>SUM(P6:P9)</f>
        <v>32964.554830159315</v>
      </c>
      <c r="Q10" s="236">
        <f>SUM(Q6:Q9)</f>
        <v>22661.452020952675</v>
      </c>
    </row>
    <row r="11" spans="1:17">
      <c r="A11" s="63"/>
      <c r="B11" s="63"/>
      <c r="C11" s="63"/>
      <c r="D11" s="63"/>
      <c r="E11" s="63"/>
      <c r="F11" s="63"/>
      <c r="G11" s="63"/>
      <c r="H11" s="236">
        <f>AVERAGE(D10:H10)</f>
        <v>33900.423317630906</v>
      </c>
      <c r="I11" s="63"/>
      <c r="J11" s="63"/>
      <c r="K11" s="63"/>
      <c r="L11" s="63"/>
      <c r="M11" s="63"/>
      <c r="N11" s="63"/>
      <c r="O11" s="63"/>
      <c r="P11" s="63"/>
      <c r="Q11" s="236">
        <f>AVERAGE(M10:Q10)</f>
        <v>36094.61766418731</v>
      </c>
    </row>
    <row r="12" spans="1:17" ht="18">
      <c r="A12" s="267" t="s">
        <v>530</v>
      </c>
      <c r="B12" s="268"/>
    </row>
    <row r="14" spans="1:17">
      <c r="A14" s="1" t="s">
        <v>89</v>
      </c>
      <c r="B14" s="1" t="s">
        <v>10</v>
      </c>
      <c r="C14" s="237" t="s">
        <v>11</v>
      </c>
      <c r="D14" s="238" t="s">
        <v>5</v>
      </c>
      <c r="E14" s="238" t="s">
        <v>6</v>
      </c>
      <c r="F14" s="238" t="s">
        <v>7</v>
      </c>
      <c r="G14" s="238" t="s">
        <v>8</v>
      </c>
      <c r="H14" s="238" t="s">
        <v>9</v>
      </c>
      <c r="J14" s="1"/>
      <c r="K14" s="1"/>
      <c r="L14" s="237"/>
      <c r="M14" s="238"/>
      <c r="N14" s="238"/>
      <c r="O14" s="238"/>
      <c r="P14" s="238"/>
      <c r="Q14" s="238"/>
    </row>
    <row r="15" spans="1:17">
      <c r="A15" t="s">
        <v>340</v>
      </c>
      <c r="B15" s="63" t="s">
        <v>40</v>
      </c>
      <c r="C15" t="s">
        <v>54</v>
      </c>
      <c r="D15" s="71">
        <f>Return!D$7*(1-WACC!$B$4)*WACC!$B$16</f>
        <v>84.168006614724405</v>
      </c>
      <c r="E15" s="71">
        <f>Return!E$7*(1-WACC!$B$4)*WACC!$B$16</f>
        <v>80.023028070515011</v>
      </c>
      <c r="F15" s="71">
        <f>Return!F$7*(1-WACC!$B$4)*WACC!$B$16</f>
        <v>75.178500957028547</v>
      </c>
      <c r="G15" s="71">
        <f>Return!G$7*(1-WACC!$B$4)*WACC!$B$16</f>
        <v>69.660302533301092</v>
      </c>
      <c r="H15" s="71">
        <f>Return!H$7*(1-WACC!$B$4)*WACC!$B$16</f>
        <v>64.128302904754378</v>
      </c>
      <c r="K15" s="63"/>
      <c r="M15" s="71"/>
      <c r="N15" s="71"/>
      <c r="O15" s="71"/>
      <c r="P15" s="71"/>
      <c r="Q15" s="71"/>
    </row>
    <row r="16" spans="1:17">
      <c r="A16" t="s">
        <v>339</v>
      </c>
      <c r="B16" s="63" t="s">
        <v>40</v>
      </c>
      <c r="C16" t="s">
        <v>54</v>
      </c>
      <c r="D16" s="71">
        <f>Return!D$6*(1-WACC!$B$4)*WACC!$B$16</f>
        <v>199.47729977029539</v>
      </c>
      <c r="E16" s="71">
        <f>Return!E$6*(1-WACC!$B$4)*WACC!$B$16</f>
        <v>252.50128697632883</v>
      </c>
      <c r="F16" s="71">
        <f>Return!F$6*(1-WACC!$B$4)*WACC!$B$16</f>
        <v>263.04397007307085</v>
      </c>
      <c r="G16" s="71">
        <f>Return!G$6*(1-WACC!$B$4)*WACC!$B$16</f>
        <v>251.90449854235493</v>
      </c>
      <c r="H16" s="71">
        <f>Return!H$6*(1-WACC!$B$4)*WACC!$B$16</f>
        <v>226.20113373924224</v>
      </c>
      <c r="K16" s="63"/>
      <c r="M16" s="71"/>
      <c r="N16" s="71"/>
      <c r="O16" s="71"/>
      <c r="P16" s="71"/>
      <c r="Q16" s="71"/>
    </row>
    <row r="17" spans="1:17">
      <c r="A17" t="s">
        <v>345</v>
      </c>
      <c r="B17" s="63" t="s">
        <v>40</v>
      </c>
      <c r="C17" t="s">
        <v>54</v>
      </c>
      <c r="D17" s="71">
        <f>Return!D$9*(1-WACC!$B$4)*WACC!$B$16</f>
        <v>625.35724275572056</v>
      </c>
      <c r="E17" s="71">
        <f>Return!E$9*(1-WACC!$B$4)*WACC!$B$16</f>
        <v>452.63895411686332</v>
      </c>
      <c r="F17" s="71">
        <f>Return!F$9*(1-WACC!$B$4)*WACC!$B$16</f>
        <v>277.59883412896119</v>
      </c>
      <c r="G17" s="71">
        <f>Return!G$9*(1-WACC!$B$4)*WACC!$B$16</f>
        <v>100.83719579787541</v>
      </c>
      <c r="H17" s="71">
        <f>Return!H$9*(1-WACC!$B$4)*WACC!$B$16</f>
        <v>11.461536433797823</v>
      </c>
      <c r="K17" s="63"/>
      <c r="M17" s="71"/>
      <c r="N17" s="71"/>
      <c r="O17" s="71"/>
      <c r="P17" s="71"/>
      <c r="Q17" s="71"/>
    </row>
    <row r="18" spans="1:17">
      <c r="A18" t="s">
        <v>348</v>
      </c>
      <c r="B18" s="63" t="s">
        <v>40</v>
      </c>
      <c r="C18" t="s">
        <v>54</v>
      </c>
      <c r="D18" s="71">
        <f>Return!D$8*(1-WACC!$B$4)*WACC!$B$16</f>
        <v>489.68311560688647</v>
      </c>
      <c r="E18" s="71">
        <f>Return!E$8*(1-WACC!$B$4)*WACC!$B$16</f>
        <v>613.0875174257003</v>
      </c>
      <c r="F18" s="71">
        <f>Return!F$8*(1-WACC!$B$4)*WACC!$B$16</f>
        <v>692.20026997435639</v>
      </c>
      <c r="G18" s="71">
        <f>Return!G$8*(1-WACC!$B$4)*WACC!$B$16</f>
        <v>619.05985610735002</v>
      </c>
      <c r="H18" s="71">
        <f>Return!H$8*(1-WACC!$B$4)*WACC!$B$16</f>
        <v>400.12271830614515</v>
      </c>
      <c r="K18" s="63"/>
      <c r="M18" s="71"/>
      <c r="N18" s="71"/>
      <c r="O18" s="71"/>
      <c r="P18" s="71"/>
      <c r="Q18" s="71"/>
    </row>
    <row r="19" spans="1:17">
      <c r="A19" s="1" t="s">
        <v>20</v>
      </c>
      <c r="B19" s="63" t="s">
        <v>40</v>
      </c>
      <c r="C19" t="s">
        <v>54</v>
      </c>
      <c r="D19" s="71">
        <f>SUM(D15:D18)</f>
        <v>1398.6856647476268</v>
      </c>
      <c r="E19" s="71">
        <f>SUM(E15:E18)</f>
        <v>1398.2507865894074</v>
      </c>
      <c r="F19" s="71">
        <f>SUM(F15:F18)</f>
        <v>1308.0215751334169</v>
      </c>
      <c r="G19" s="71">
        <f>SUM(G15:G18)</f>
        <v>1041.4618529808813</v>
      </c>
      <c r="H19" s="71">
        <f>SUM(H15:H18)</f>
        <v>701.91369138393952</v>
      </c>
      <c r="J19" s="1"/>
      <c r="K19" s="63"/>
      <c r="M19" s="71"/>
      <c r="N19" s="71"/>
      <c r="O19" s="71"/>
      <c r="P19" s="71"/>
      <c r="Q19" s="71"/>
    </row>
    <row r="21" spans="1:17">
      <c r="A21" s="1" t="s">
        <v>90</v>
      </c>
      <c r="B21" s="1" t="s">
        <v>10</v>
      </c>
      <c r="C21" s="1" t="s">
        <v>11</v>
      </c>
      <c r="D21" s="238" t="s">
        <v>5</v>
      </c>
      <c r="E21" s="238" t="s">
        <v>6</v>
      </c>
      <c r="F21" s="238" t="s">
        <v>7</v>
      </c>
      <c r="G21" s="238" t="s">
        <v>8</v>
      </c>
      <c r="H21" s="238" t="s">
        <v>9</v>
      </c>
      <c r="J21" s="1"/>
      <c r="K21" s="1"/>
      <c r="L21" s="1"/>
      <c r="M21" s="238"/>
      <c r="N21" s="238"/>
      <c r="O21" s="238"/>
      <c r="P21" s="238"/>
      <c r="Q21" s="238"/>
    </row>
    <row r="22" spans="1:17">
      <c r="A22" t="s">
        <v>340</v>
      </c>
      <c r="B22" s="63" t="s">
        <v>40</v>
      </c>
      <c r="C22" t="s">
        <v>54</v>
      </c>
      <c r="D22" s="71">
        <f>Return!D$7*WACC!$B$4*WACC!$B$10</f>
        <v>8.3428827089151163</v>
      </c>
      <c r="E22" s="71">
        <f>Return!E$7*WACC!$B$4*WACC!$B$10</f>
        <v>7.9320250538965986</v>
      </c>
      <c r="F22" s="71">
        <f>Return!F$7*WACC!$B$4*WACC!$B$10</f>
        <v>7.4518268988780854</v>
      </c>
      <c r="G22" s="71">
        <f>Return!G$7*WACC!$B$4*WACC!$B$10</f>
        <v>6.9048532438595691</v>
      </c>
      <c r="H22" s="71">
        <f>Return!H$7*WACC!$B$4*WACC!$B$10</f>
        <v>6.3565115888410544</v>
      </c>
      <c r="K22" s="63"/>
      <c r="M22" s="71"/>
      <c r="N22" s="71"/>
      <c r="O22" s="71"/>
      <c r="P22" s="71"/>
      <c r="Q22" s="71"/>
    </row>
    <row r="23" spans="1:17">
      <c r="A23" t="s">
        <v>339</v>
      </c>
      <c r="B23" s="63" t="s">
        <v>40</v>
      </c>
      <c r="C23" t="s">
        <v>54</v>
      </c>
      <c r="D23" s="71">
        <f>Return!D$6*WACC!$B$4*WACC!$B$10</f>
        <v>19.772545198706599</v>
      </c>
      <c r="E23" s="71">
        <f>Return!E$6*WACC!$B$4*WACC!$B$10</f>
        <v>25.028377240017697</v>
      </c>
      <c r="F23" s="71">
        <f>Return!F$6*WACC!$B$4*WACC!$B$10</f>
        <v>26.073386763838279</v>
      </c>
      <c r="G23" s="71">
        <f>Return!G$6*WACC!$B$4*WACC!$B$10</f>
        <v>24.969222507632598</v>
      </c>
      <c r="H23" s="71">
        <f>Return!H$6*WACC!$B$4*WACC!$B$10</f>
        <v>22.421459213695776</v>
      </c>
      <c r="K23" s="63"/>
      <c r="M23" s="71"/>
      <c r="N23" s="71"/>
      <c r="O23" s="71"/>
      <c r="P23" s="71"/>
      <c r="Q23" s="71"/>
    </row>
    <row r="24" spans="1:17">
      <c r="A24" t="s">
        <v>345</v>
      </c>
      <c r="B24" s="63" t="s">
        <v>40</v>
      </c>
      <c r="C24" t="s">
        <v>54</v>
      </c>
      <c r="D24" s="71">
        <f>Return!D$9*WACC!$B$4*WACC!$B$10</f>
        <v>61.986523589223495</v>
      </c>
      <c r="E24" s="71">
        <f>Return!E$9*WACC!$B$4*WACC!$B$10</f>
        <v>44.866379228498566</v>
      </c>
      <c r="F24" s="71">
        <f>Return!F$9*WACC!$B$4*WACC!$B$10</f>
        <v>27.516090809549329</v>
      </c>
      <c r="G24" s="71">
        <f>Return!G$9*WACC!$B$4*WACC!$B$10</f>
        <v>9.995162426603196</v>
      </c>
      <c r="H24" s="71">
        <f>Return!H$9*WACC!$B$4*WACC!$B$10</f>
        <v>1.1360879029586552</v>
      </c>
      <c r="K24" s="63"/>
      <c r="M24" s="71"/>
      <c r="N24" s="71"/>
      <c r="O24" s="71"/>
      <c r="P24" s="71"/>
      <c r="Q24" s="71"/>
    </row>
    <row r="25" spans="1:17">
      <c r="A25" t="s">
        <v>348</v>
      </c>
      <c r="B25" s="63" t="s">
        <v>40</v>
      </c>
      <c r="C25" t="s">
        <v>54</v>
      </c>
      <c r="D25" s="71">
        <f>Return!D$8*WACC!$B$4*WACC!$B$10</f>
        <v>48.538262486659363</v>
      </c>
      <c r="E25" s="71">
        <f>Return!E$8*WACC!$B$4*WACC!$B$10</f>
        <v>60.770326563582444</v>
      </c>
      <c r="F25" s="71">
        <f>Return!F$8*WACC!$B$4*WACC!$B$10</f>
        <v>68.612123486659357</v>
      </c>
      <c r="G25" s="71">
        <f>Return!G$8*WACC!$B$4*WACC!$B$10</f>
        <v>61.36231540973629</v>
      </c>
      <c r="H25" s="71">
        <f>Return!H$8*WACC!$B$4*WACC!$B$10</f>
        <v>39.660876409736296</v>
      </c>
      <c r="K25" s="63"/>
      <c r="M25" s="71"/>
      <c r="N25" s="71"/>
      <c r="O25" s="71"/>
      <c r="P25" s="71"/>
      <c r="Q25" s="71"/>
    </row>
    <row r="26" spans="1:17">
      <c r="A26" s="1" t="s">
        <v>20</v>
      </c>
      <c r="B26" s="63" t="s">
        <v>40</v>
      </c>
      <c r="C26" t="s">
        <v>54</v>
      </c>
      <c r="D26" s="71">
        <f>SUM(D22:D25)</f>
        <v>138.64021398350457</v>
      </c>
      <c r="E26" s="71">
        <f>SUM(E22:E25)</f>
        <v>138.5971080859953</v>
      </c>
      <c r="F26" s="71">
        <f>SUM(F22:F25)</f>
        <v>129.65342795892505</v>
      </c>
      <c r="G26" s="71">
        <f>SUM(G22:G25)</f>
        <v>103.23155358783166</v>
      </c>
      <c r="H26" s="71">
        <f>SUM(H22:H25)</f>
        <v>69.574935115231781</v>
      </c>
      <c r="J26" s="1"/>
      <c r="K26" s="63"/>
      <c r="M26" s="71"/>
      <c r="N26" s="71"/>
      <c r="O26" s="71"/>
      <c r="P26" s="71"/>
      <c r="Q26" s="71"/>
    </row>
    <row r="28" spans="1:17">
      <c r="A28" s="1" t="s">
        <v>300</v>
      </c>
      <c r="B28" s="1" t="s">
        <v>10</v>
      </c>
      <c r="C28" s="1" t="s">
        <v>11</v>
      </c>
      <c r="D28" s="238" t="s">
        <v>5</v>
      </c>
      <c r="E28" s="238" t="s">
        <v>6</v>
      </c>
      <c r="F28" s="238" t="s">
        <v>7</v>
      </c>
      <c r="G28" s="238" t="s">
        <v>8</v>
      </c>
      <c r="H28" s="238" t="s">
        <v>9</v>
      </c>
      <c r="J28" s="1"/>
      <c r="K28" s="1"/>
      <c r="L28" s="1"/>
      <c r="M28" s="238"/>
      <c r="N28" s="238"/>
      <c r="O28" s="238"/>
      <c r="P28" s="238"/>
      <c r="Q28" s="238"/>
    </row>
    <row r="29" spans="1:17">
      <c r="A29" t="s">
        <v>340</v>
      </c>
      <c r="B29" s="63" t="s">
        <v>40</v>
      </c>
      <c r="C29" t="s">
        <v>54</v>
      </c>
      <c r="D29" s="71">
        <f>D15+D22</f>
        <v>92.510889323639518</v>
      </c>
      <c r="E29" s="71">
        <f t="shared" ref="E29:G29" si="0">E15+E22</f>
        <v>87.955053124411606</v>
      </c>
      <c r="F29" s="71">
        <f t="shared" si="0"/>
        <v>82.630327855906629</v>
      </c>
      <c r="G29" s="71">
        <f t="shared" si="0"/>
        <v>76.565155777160655</v>
      </c>
      <c r="H29" s="71">
        <f t="shared" ref="H29" si="1">H15+H22</f>
        <v>70.484814493595437</v>
      </c>
      <c r="K29" s="63"/>
      <c r="M29" s="71"/>
      <c r="N29" s="71"/>
      <c r="O29" s="71"/>
      <c r="P29" s="71"/>
      <c r="Q29" s="71"/>
    </row>
    <row r="30" spans="1:17">
      <c r="A30" t="s">
        <v>339</v>
      </c>
      <c r="B30" s="63" t="s">
        <v>40</v>
      </c>
      <c r="C30" t="s">
        <v>54</v>
      </c>
      <c r="D30" s="71">
        <f t="shared" ref="D30:G30" si="2">D16+D23</f>
        <v>219.249844969002</v>
      </c>
      <c r="E30" s="71">
        <f t="shared" si="2"/>
        <v>277.52966421634653</v>
      </c>
      <c r="F30" s="71">
        <f t="shared" si="2"/>
        <v>289.11735683690915</v>
      </c>
      <c r="G30" s="71">
        <f t="shared" si="2"/>
        <v>276.87372104998752</v>
      </c>
      <c r="H30" s="71">
        <f t="shared" ref="H30" si="3">H16+H23</f>
        <v>248.62259295293802</v>
      </c>
      <c r="K30" s="63"/>
      <c r="M30" s="71"/>
      <c r="N30" s="71"/>
      <c r="O30" s="71"/>
      <c r="P30" s="71"/>
      <c r="Q30" s="71"/>
    </row>
    <row r="31" spans="1:17">
      <c r="A31" t="s">
        <v>345</v>
      </c>
      <c r="B31" s="63" t="s">
        <v>40</v>
      </c>
      <c r="C31" t="s">
        <v>54</v>
      </c>
      <c r="D31" s="71">
        <f t="shared" ref="D31:G31" si="4">D17+D24</f>
        <v>687.34376634494402</v>
      </c>
      <c r="E31" s="71">
        <f t="shared" si="4"/>
        <v>497.50533334536186</v>
      </c>
      <c r="F31" s="71">
        <f t="shared" si="4"/>
        <v>305.11492493851051</v>
      </c>
      <c r="G31" s="71">
        <f t="shared" si="4"/>
        <v>110.83235822447861</v>
      </c>
      <c r="H31" s="71">
        <f t="shared" ref="H31" si="5">H17+H24</f>
        <v>12.597624336756478</v>
      </c>
      <c r="K31" s="63"/>
      <c r="M31" s="71"/>
      <c r="N31" s="71"/>
      <c r="O31" s="71"/>
      <c r="P31" s="71"/>
      <c r="Q31" s="71"/>
    </row>
    <row r="32" spans="1:17">
      <c r="A32" t="s">
        <v>348</v>
      </c>
      <c r="B32" s="63" t="s">
        <v>40</v>
      </c>
      <c r="C32" t="s">
        <v>54</v>
      </c>
      <c r="D32" s="71">
        <f t="shared" ref="D32:G32" si="6">D18+D25</f>
        <v>538.22137809354581</v>
      </c>
      <c r="E32" s="71">
        <f t="shared" si="6"/>
        <v>673.85784398928274</v>
      </c>
      <c r="F32" s="71">
        <f t="shared" si="6"/>
        <v>760.81239346101574</v>
      </c>
      <c r="G32" s="71">
        <f t="shared" si="6"/>
        <v>680.42217151708633</v>
      </c>
      <c r="H32" s="71">
        <f t="shared" ref="H32" si="7">H18+H25</f>
        <v>439.78359471588146</v>
      </c>
      <c r="K32" s="63"/>
      <c r="M32" s="71"/>
      <c r="N32" s="71"/>
      <c r="O32" s="71"/>
      <c r="P32" s="71"/>
      <c r="Q32" s="71"/>
    </row>
    <row r="33" spans="1:17">
      <c r="A33" s="1" t="s">
        <v>20</v>
      </c>
      <c r="B33" s="63" t="s">
        <v>40</v>
      </c>
      <c r="C33" t="s">
        <v>54</v>
      </c>
      <c r="D33" s="71">
        <f>SUM(D29:D32)</f>
        <v>1537.3258787311313</v>
      </c>
      <c r="E33" s="71">
        <f>SUM(E29:E32)</f>
        <v>1536.8478946754026</v>
      </c>
      <c r="F33" s="71">
        <f>SUM(F29:F32)</f>
        <v>1437.675003092342</v>
      </c>
      <c r="G33" s="71">
        <f>SUM(G29:G32)</f>
        <v>1144.6934065687133</v>
      </c>
      <c r="H33" s="71">
        <f>SUM(H29:H32)</f>
        <v>771.48862649917146</v>
      </c>
      <c r="J33" s="1"/>
      <c r="K33" s="63"/>
      <c r="M33" s="71"/>
      <c r="N33" s="71"/>
      <c r="O33" s="71"/>
      <c r="P33" s="71"/>
      <c r="Q33" s="71"/>
    </row>
    <row r="34" spans="1:17">
      <c r="H34" s="236">
        <f>AVERAGE(D33:H33)</f>
        <v>1285.606161913352</v>
      </c>
    </row>
    <row r="35" spans="1:17">
      <c r="H35" s="71"/>
      <c r="I35" s="75"/>
      <c r="J35" s="75"/>
      <c r="Q35" s="71">
        <f>SUM(M33:Q33)</f>
        <v>0</v>
      </c>
    </row>
    <row r="36" spans="1:17">
      <c r="D36" s="5"/>
      <c r="E36" s="5"/>
      <c r="F36" s="5"/>
      <c r="G36" s="5"/>
      <c r="H36" s="5"/>
      <c r="I36" s="5"/>
    </row>
    <row r="37" spans="1:17">
      <c r="D37" s="5"/>
      <c r="E37" s="5"/>
      <c r="F37" s="5"/>
      <c r="G37" s="5"/>
      <c r="H37" s="5"/>
      <c r="I37" s="5"/>
    </row>
    <row r="38" spans="1:17">
      <c r="I38" s="5"/>
      <c r="J38" s="5"/>
    </row>
    <row r="39" spans="1:17">
      <c r="D39" s="5"/>
      <c r="E39" s="5"/>
      <c r="F39" s="5"/>
      <c r="G39" s="5"/>
      <c r="H39" s="5"/>
      <c r="I39" s="5"/>
    </row>
    <row r="40" spans="1:17">
      <c r="D40" s="5"/>
      <c r="E40" s="5"/>
      <c r="F40" s="5"/>
      <c r="G40" s="5"/>
      <c r="H40" s="5"/>
      <c r="I40" s="5"/>
    </row>
    <row r="41" spans="1:17">
      <c r="D41" s="5"/>
      <c r="E41" s="5"/>
      <c r="F41" s="5"/>
      <c r="G41" s="5"/>
      <c r="H41" s="5"/>
      <c r="I41" s="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F328-D26D-4821-A338-5F7302B9A0E7}">
  <sheetPr>
    <tabColor theme="5" tint="0.59999389629810485"/>
  </sheetPr>
  <dimension ref="A1:I21"/>
  <sheetViews>
    <sheetView showGridLines="0" zoomScale="80" zoomScaleNormal="80" workbookViewId="0">
      <selection activeCell="D4" sqref="D4"/>
    </sheetView>
  </sheetViews>
  <sheetFormatPr defaultColWidth="8.6640625" defaultRowHeight="14.25"/>
  <cols>
    <col min="1" max="1" width="79.46484375" style="299" customWidth="1"/>
    <col min="2" max="2" width="8.6640625" style="299"/>
    <col min="3" max="3" width="14.33203125" style="299" customWidth="1"/>
    <col min="4" max="9" width="11.1328125" style="299" customWidth="1"/>
    <col min="10" max="16384" width="8.6640625" style="299"/>
  </cols>
  <sheetData>
    <row r="1" spans="1:9" ht="18">
      <c r="A1" s="267" t="s">
        <v>695</v>
      </c>
      <c r="B1" s="268"/>
    </row>
    <row r="3" spans="1:9">
      <c r="A3" s="1" t="s">
        <v>685</v>
      </c>
      <c r="B3" s="1" t="s">
        <v>10</v>
      </c>
      <c r="C3" s="1" t="s">
        <v>11</v>
      </c>
      <c r="D3" s="228" t="s">
        <v>5</v>
      </c>
      <c r="E3" s="228" t="s">
        <v>6</v>
      </c>
      <c r="F3" s="228" t="s">
        <v>7</v>
      </c>
      <c r="G3" s="228" t="s">
        <v>8</v>
      </c>
      <c r="H3" s="228" t="s">
        <v>9</v>
      </c>
      <c r="I3" s="228"/>
    </row>
    <row r="4" spans="1:9">
      <c r="A4" s="222" t="s">
        <v>686</v>
      </c>
      <c r="B4" s="300" t="s">
        <v>40</v>
      </c>
      <c r="C4" s="299" t="s">
        <v>54</v>
      </c>
      <c r="D4" s="71">
        <f>'Regulated revenue'!D39+'Regulated revenue'!D32+'DD forecasts'!D46</f>
        <v>9621.8042649146828</v>
      </c>
      <c r="E4" s="71">
        <f>'Regulated revenue'!E39+'Regulated revenue'!E32+'DD forecasts'!E46</f>
        <v>10202.175723832126</v>
      </c>
      <c r="F4" s="71">
        <f>'Regulated revenue'!F39+'Regulated revenue'!F32+'DD forecasts'!F46</f>
        <v>11212.019631217025</v>
      </c>
      <c r="G4" s="71">
        <f>'Regulated revenue'!G39+'Regulated revenue'!G32+'DD forecasts'!G46</f>
        <v>18125.967568033811</v>
      </c>
      <c r="H4" s="71">
        <f>'Regulated revenue'!H39+'Regulated revenue'!H32+'DD forecasts'!H46</f>
        <v>13152.389195084963</v>
      </c>
      <c r="I4" s="66"/>
    </row>
    <row r="5" spans="1:9">
      <c r="A5" s="299" t="s">
        <v>786</v>
      </c>
      <c r="B5" s="300" t="s">
        <v>40</v>
      </c>
      <c r="C5" s="299" t="s">
        <v>54</v>
      </c>
      <c r="D5" s="71">
        <f>'Regulated revenue'!D39+'Regulated revenue'!D32</f>
        <v>8702.5734956839133</v>
      </c>
      <c r="E5" s="71">
        <f>'Regulated revenue'!E39+'Regulated revenue'!E32</f>
        <v>9209.2526469090499</v>
      </c>
      <c r="F5" s="71">
        <f>'Regulated revenue'!F39+'Regulated revenue'!F32</f>
        <v>9499.9580927554853</v>
      </c>
      <c r="G5" s="71">
        <f>'Regulated revenue'!G39+'Regulated revenue'!G32</f>
        <v>9514.5752603415021</v>
      </c>
      <c r="H5" s="71">
        <f>'Regulated revenue'!H39+'Regulated revenue'!H32</f>
        <v>4139.0353489311146</v>
      </c>
      <c r="I5" s="66"/>
    </row>
    <row r="6" spans="1:9">
      <c r="B6" s="300"/>
      <c r="D6" s="71"/>
      <c r="E6" s="71"/>
      <c r="F6" s="71"/>
      <c r="G6" s="71"/>
      <c r="H6" s="71"/>
      <c r="I6" s="66"/>
    </row>
    <row r="7" spans="1:9">
      <c r="A7" s="1" t="s">
        <v>687</v>
      </c>
      <c r="B7" s="300"/>
      <c r="D7" s="228" t="s">
        <v>5</v>
      </c>
      <c r="E7" s="228" t="s">
        <v>6</v>
      </c>
      <c r="F7" s="228" t="s">
        <v>7</v>
      </c>
      <c r="G7" s="228" t="s">
        <v>8</v>
      </c>
      <c r="H7" s="228" t="s">
        <v>9</v>
      </c>
      <c r="I7" s="71"/>
    </row>
    <row r="8" spans="1:9">
      <c r="A8" s="414" t="s">
        <v>824</v>
      </c>
      <c r="B8" s="300" t="s">
        <v>40</v>
      </c>
      <c r="C8" s="299" t="s">
        <v>54</v>
      </c>
      <c r="D8" s="338">
        <f>D4+'Regulated revenue'!D$25</f>
        <v>23908.809942631771</v>
      </c>
      <c r="E8" s="338">
        <f>E4+'Regulated revenue'!E$25</f>
        <v>24598.605907165136</v>
      </c>
      <c r="F8" s="338">
        <f>F4+'Regulated revenue'!F$25</f>
        <v>26084.471663329445</v>
      </c>
      <c r="G8" s="338">
        <f>G4+'Regulated revenue'!G$25</f>
        <v>33565.767740914678</v>
      </c>
      <c r="H8" s="338">
        <f>H4+'Regulated revenue'!H$25</f>
        <v>26995.057943782562</v>
      </c>
      <c r="I8" s="316"/>
    </row>
    <row r="9" spans="1:9">
      <c r="A9" s="414" t="s">
        <v>825</v>
      </c>
      <c r="B9" s="300" t="s">
        <v>40</v>
      </c>
      <c r="C9" s="299" t="s">
        <v>54</v>
      </c>
      <c r="D9" s="338">
        <f>D5+'Regulated revenue'!D$25</f>
        <v>22989.579173401002</v>
      </c>
      <c r="E9" s="338">
        <f>E5+'Regulated revenue'!E$25</f>
        <v>23605.682830242062</v>
      </c>
      <c r="F9" s="338">
        <f>F5+'Regulated revenue'!F$25</f>
        <v>24372.410124867907</v>
      </c>
      <c r="G9" s="338">
        <f>G5+'Regulated revenue'!G$25</f>
        <v>24954.375433222369</v>
      </c>
      <c r="H9" s="338">
        <f>H5+'Regulated revenue'!H$25</f>
        <v>17981.704097628713</v>
      </c>
    </row>
    <row r="10" spans="1:9">
      <c r="A10" s="1"/>
      <c r="B10" s="1"/>
      <c r="C10" s="1"/>
      <c r="D10" s="228"/>
      <c r="E10" s="228"/>
      <c r="F10" s="228"/>
      <c r="G10" s="228"/>
      <c r="H10" s="228"/>
      <c r="I10" s="228"/>
    </row>
    <row r="11" spans="1:9">
      <c r="A11" s="187" t="s">
        <v>689</v>
      </c>
      <c r="B11" s="300"/>
      <c r="D11" s="228" t="s">
        <v>5</v>
      </c>
      <c r="E11" s="228" t="s">
        <v>6</v>
      </c>
      <c r="F11" s="228" t="s">
        <v>7</v>
      </c>
      <c r="G11" s="228" t="s">
        <v>8</v>
      </c>
      <c r="H11" s="228" t="s">
        <v>9</v>
      </c>
      <c r="I11" s="316" t="s">
        <v>237</v>
      </c>
    </row>
    <row r="12" spans="1:9">
      <c r="A12" s="414" t="s">
        <v>693</v>
      </c>
      <c r="B12" s="300" t="s">
        <v>688</v>
      </c>
      <c r="D12" s="4">
        <f>D4/D8</f>
        <v>0.40243760722519506</v>
      </c>
      <c r="E12" s="4">
        <f t="shared" ref="E12:G13" si="0">E4/E8</f>
        <v>0.41474609424351216</v>
      </c>
      <c r="F12" s="4">
        <f t="shared" si="0"/>
        <v>0.42983502889879549</v>
      </c>
      <c r="G12" s="4">
        <f t="shared" si="0"/>
        <v>0.54001349553340716</v>
      </c>
      <c r="H12" s="4">
        <f>H4/H8</f>
        <v>0.48721470509435194</v>
      </c>
      <c r="I12" s="226">
        <f>AVERAGE(D12:H12)</f>
        <v>0.45484938619905241</v>
      </c>
    </row>
    <row r="13" spans="1:9">
      <c r="A13" s="414" t="s">
        <v>785</v>
      </c>
      <c r="B13" s="300" t="s">
        <v>688</v>
      </c>
      <c r="D13" s="4">
        <f>D5/D9</f>
        <v>0.37854427129979012</v>
      </c>
      <c r="E13" s="4">
        <f t="shared" si="0"/>
        <v>0.39012862763328987</v>
      </c>
      <c r="F13" s="4">
        <f t="shared" si="0"/>
        <v>0.38978328544793323</v>
      </c>
      <c r="G13" s="4">
        <f t="shared" si="0"/>
        <v>0.38127883768529491</v>
      </c>
      <c r="H13" s="4">
        <f>H5/H9</f>
        <v>0.23018037258643012</v>
      </c>
      <c r="I13" s="226">
        <f>AVERAGE(D13:H13)</f>
        <v>0.3539830789305477</v>
      </c>
    </row>
    <row r="14" spans="1:9">
      <c r="A14" s="222"/>
      <c r="B14" s="300"/>
      <c r="I14" s="71"/>
    </row>
    <row r="15" spans="1:9">
      <c r="A15" s="187" t="s">
        <v>690</v>
      </c>
      <c r="B15" s="300"/>
      <c r="D15" s="1" t="s">
        <v>691</v>
      </c>
      <c r="E15" s="1" t="s">
        <v>692</v>
      </c>
      <c r="I15" s="71"/>
    </row>
    <row r="16" spans="1:9">
      <c r="A16" s="414" t="s">
        <v>693</v>
      </c>
      <c r="B16" s="300" t="s">
        <v>688</v>
      </c>
      <c r="D16" s="226">
        <f>('WACC parameters'!B19/I12)-1</f>
        <v>-1.066152081588212E-2</v>
      </c>
      <c r="E16" s="226">
        <f>('WACC parameters'!B26/'Asset beta'!I12)-1</f>
        <v>0.11265274195696273</v>
      </c>
      <c r="I16" s="71"/>
    </row>
    <row r="17" spans="1:9">
      <c r="A17" s="414" t="s">
        <v>785</v>
      </c>
      <c r="B17" s="300" t="s">
        <v>688</v>
      </c>
      <c r="D17" s="226">
        <f>('WACC parameters'!B19/I13)-1</f>
        <v>0.27124720582559547</v>
      </c>
      <c r="E17" s="226">
        <f>('WACC parameters'!B26/'Asset beta'!I13)-1</f>
        <v>0.42969945981828439</v>
      </c>
      <c r="I17" s="71"/>
    </row>
    <row r="18" spans="1:9">
      <c r="A18" s="222"/>
      <c r="B18" s="300"/>
      <c r="I18" s="71"/>
    </row>
    <row r="19" spans="1:9">
      <c r="A19" s="187" t="s">
        <v>694</v>
      </c>
      <c r="B19" s="300"/>
      <c r="D19" s="1" t="s">
        <v>691</v>
      </c>
      <c r="E19" s="1" t="s">
        <v>692</v>
      </c>
      <c r="I19" s="71"/>
    </row>
    <row r="20" spans="1:9">
      <c r="A20" s="414" t="s">
        <v>693</v>
      </c>
      <c r="B20" s="300" t="s">
        <v>688</v>
      </c>
      <c r="D20" s="226">
        <f>(1+D16)*'WACC parameters'!$B$18</f>
        <v>0.39388038202517694</v>
      </c>
      <c r="E20" s="226">
        <f>(1+E16)*'WACC parameters'!$B$25</f>
        <v>0.39642704543184626</v>
      </c>
      <c r="I20" s="71"/>
    </row>
    <row r="21" spans="1:9">
      <c r="A21" s="414" t="s">
        <v>785</v>
      </c>
      <c r="B21" s="300" t="s">
        <v>688</v>
      </c>
      <c r="D21" s="226">
        <f>(1+D17)*'WACC parameters'!$B$18</f>
        <v>0.50611529381931519</v>
      </c>
      <c r="E21" s="226">
        <f>(1+E17)*'WACC parameters'!$B$25</f>
        <v>0.50938762053865649</v>
      </c>
      <c r="I21" s="7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
  <sheetViews>
    <sheetView showGridLines="0" workbookViewId="0">
      <selection activeCell="J18" sqref="J18"/>
    </sheetView>
  </sheetViews>
  <sheetFormatPr defaultColWidth="8.6640625" defaultRowHeight="14.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20"/>
  <sheetViews>
    <sheetView showGridLines="0" zoomScale="80" zoomScaleNormal="80" workbookViewId="0"/>
  </sheetViews>
  <sheetFormatPr defaultColWidth="8.6640625" defaultRowHeight="14.25"/>
  <cols>
    <col min="1" max="1" width="56" style="299" customWidth="1"/>
    <col min="2" max="2" width="10.33203125" style="299" customWidth="1"/>
    <col min="3" max="3" width="16.6640625" style="299" customWidth="1"/>
    <col min="4" max="9" width="12.33203125" style="299" customWidth="1"/>
    <col min="10" max="16384" width="8.6640625" style="299"/>
  </cols>
  <sheetData>
    <row r="1" spans="1:11" ht="18">
      <c r="A1" s="267" t="s">
        <v>617</v>
      </c>
      <c r="B1" s="268"/>
    </row>
    <row r="3" spans="1:11" ht="18">
      <c r="A3" s="337" t="s">
        <v>696</v>
      </c>
      <c r="B3" s="255" t="s">
        <v>10</v>
      </c>
      <c r="C3" s="255" t="s">
        <v>11</v>
      </c>
      <c r="D3" s="253" t="s">
        <v>5</v>
      </c>
      <c r="E3" s="253" t="s">
        <v>6</v>
      </c>
      <c r="F3" s="253" t="s">
        <v>7</v>
      </c>
      <c r="G3" s="253" t="s">
        <v>8</v>
      </c>
      <c r="H3" s="253" t="s">
        <v>9</v>
      </c>
      <c r="I3" s="254" t="s">
        <v>20</v>
      </c>
      <c r="J3" s="254"/>
      <c r="K3" s="254"/>
    </row>
    <row r="4" spans="1:11">
      <c r="A4" s="1" t="s">
        <v>777</v>
      </c>
    </row>
    <row r="5" spans="1:11">
      <c r="A5" s="299" t="s">
        <v>776</v>
      </c>
      <c r="B5" s="300"/>
      <c r="C5" s="222"/>
    </row>
    <row r="6" spans="1:11">
      <c r="A6" s="273" t="s">
        <v>479</v>
      </c>
      <c r="B6" s="300" t="s">
        <v>40</v>
      </c>
      <c r="C6" s="222" t="s">
        <v>54</v>
      </c>
      <c r="D6" s="413">
        <f>'DD allowances'!D8</f>
        <v>7810.6327485819911</v>
      </c>
      <c r="E6" s="413">
        <f>'DD allowances'!E8</f>
        <v>7804.5596443461891</v>
      </c>
      <c r="F6" s="413">
        <f>'DD allowances'!F8</f>
        <v>7844.7542548287738</v>
      </c>
      <c r="G6" s="413">
        <f>'DD allowances'!G8</f>
        <v>7769.1857478447473</v>
      </c>
      <c r="H6" s="413">
        <f>'DD allowances'!H8</f>
        <v>7743.3094810429939</v>
      </c>
      <c r="I6" s="413">
        <f t="shared" ref="I6:I9" si="0">SUM(D6:H6)</f>
        <v>38972.441876644691</v>
      </c>
    </row>
    <row r="7" spans="1:11">
      <c r="A7" s="273" t="s">
        <v>243</v>
      </c>
      <c r="B7" s="300" t="s">
        <v>40</v>
      </c>
      <c r="C7" s="222" t="s">
        <v>54</v>
      </c>
      <c r="D7" s="413">
        <f>'DD allowances'!D9</f>
        <v>3111.7872799999996</v>
      </c>
      <c r="E7" s="413">
        <f>'DD allowances'!E9</f>
        <v>3108.5302799999999</v>
      </c>
      <c r="F7" s="413">
        <f>'DD allowances'!F9</f>
        <v>3509.2042799999999</v>
      </c>
      <c r="G7" s="413">
        <f>'DD allowances'!G9</f>
        <v>3718.3682799999997</v>
      </c>
      <c r="H7" s="413">
        <f>'DD allowances'!H9</f>
        <v>2561.6772799999999</v>
      </c>
      <c r="I7" s="413">
        <f t="shared" si="0"/>
        <v>16009.5674</v>
      </c>
    </row>
    <row r="8" spans="1:11">
      <c r="A8" s="273" t="s">
        <v>244</v>
      </c>
      <c r="B8" s="300" t="s">
        <v>40</v>
      </c>
      <c r="C8" s="222" t="s">
        <v>54</v>
      </c>
      <c r="D8" s="413">
        <f>'DD allowances'!D10</f>
        <v>1831.9188446937378</v>
      </c>
      <c r="E8" s="413">
        <f>'DD allowances'!E10</f>
        <v>1854.7484337471778</v>
      </c>
      <c r="F8" s="413">
        <f>'DD allowances'!F10</f>
        <v>1878.4912063627562</v>
      </c>
      <c r="G8" s="413">
        <f>'DD allowances'!G10</f>
        <v>2303.1836898829552</v>
      </c>
      <c r="H8" s="413">
        <f>'DD allowances'!H10</f>
        <v>2028.6692102262259</v>
      </c>
      <c r="I8" s="413">
        <f t="shared" si="0"/>
        <v>9897.0113849128538</v>
      </c>
    </row>
    <row r="9" spans="1:11">
      <c r="A9" s="273" t="s">
        <v>499</v>
      </c>
      <c r="B9" s="300" t="s">
        <v>40</v>
      </c>
      <c r="C9" s="222" t="s">
        <v>54</v>
      </c>
      <c r="D9" s="413">
        <f>'DD allowances'!D11</f>
        <v>19.886243559462354</v>
      </c>
      <c r="E9" s="413">
        <f>'DD allowances'!E11</f>
        <v>29.869503563695915</v>
      </c>
      <c r="F9" s="413">
        <f>'DD allowances'!F11</f>
        <v>41.253745684613889</v>
      </c>
      <c r="G9" s="413">
        <f>'DD allowances'!G11</f>
        <v>53.696386532810443</v>
      </c>
      <c r="H9" s="413">
        <f>'DD allowances'!H11</f>
        <v>57.80494086603175</v>
      </c>
      <c r="I9" s="413">
        <f t="shared" si="0"/>
        <v>202.51082020661437</v>
      </c>
    </row>
    <row r="10" spans="1:11">
      <c r="A10" s="273" t="s">
        <v>712</v>
      </c>
      <c r="B10" s="300" t="s">
        <v>40</v>
      </c>
      <c r="C10" s="222" t="s">
        <v>54</v>
      </c>
      <c r="D10" s="266">
        <f>CCS!D14</f>
        <v>0</v>
      </c>
      <c r="E10" s="266">
        <f>CCS!E14</f>
        <v>0</v>
      </c>
      <c r="F10" s="266">
        <f>CCS!F14</f>
        <v>0</v>
      </c>
      <c r="G10" s="266">
        <f>CCS!G14</f>
        <v>0</v>
      </c>
      <c r="H10" s="266">
        <f>CCS!H14</f>
        <v>0</v>
      </c>
      <c r="I10" s="413">
        <f>SUM(D10:H10)</f>
        <v>0</v>
      </c>
    </row>
    <row r="11" spans="1:11">
      <c r="A11" s="273" t="s">
        <v>779</v>
      </c>
      <c r="B11" s="300" t="s">
        <v>40</v>
      </c>
      <c r="C11" s="222" t="s">
        <v>54</v>
      </c>
      <c r="D11" s="266">
        <f>'DD forecasts'!D5</f>
        <v>347.20000000000005</v>
      </c>
      <c r="E11" s="266">
        <f>'DD forecasts'!E5</f>
        <v>434</v>
      </c>
      <c r="F11" s="266">
        <f>'DD forecasts'!F5</f>
        <v>434</v>
      </c>
      <c r="G11" s="266">
        <f>'DD forecasts'!G5</f>
        <v>434</v>
      </c>
      <c r="H11" s="266">
        <f>'DD forecasts'!H5</f>
        <v>434</v>
      </c>
      <c r="I11" s="413">
        <f>SUM(D11:H11)</f>
        <v>2083.1999999999998</v>
      </c>
    </row>
    <row r="12" spans="1:11">
      <c r="A12" s="1" t="s">
        <v>778</v>
      </c>
      <c r="B12" s="300" t="s">
        <v>40</v>
      </c>
      <c r="C12" s="222" t="s">
        <v>54</v>
      </c>
      <c r="D12" s="415">
        <f>SUM(D6:D11)</f>
        <v>13121.425116835189</v>
      </c>
      <c r="E12" s="415">
        <f t="shared" ref="E12:H12" si="1">SUM(E6:E11)</f>
        <v>13231.707861657063</v>
      </c>
      <c r="F12" s="415">
        <f t="shared" si="1"/>
        <v>13707.703486876142</v>
      </c>
      <c r="G12" s="415">
        <f t="shared" si="1"/>
        <v>14278.434104260514</v>
      </c>
      <c r="H12" s="415">
        <f t="shared" si="1"/>
        <v>12825.460912135251</v>
      </c>
      <c r="I12" s="415">
        <f>SUM(D12:H12)</f>
        <v>67164.73148176416</v>
      </c>
    </row>
    <row r="13" spans="1:11">
      <c r="A13" s="1"/>
      <c r="B13" s="300"/>
      <c r="C13" s="222"/>
      <c r="D13" s="415"/>
      <c r="E13" s="415"/>
      <c r="F13" s="415"/>
      <c r="G13" s="415"/>
      <c r="H13" s="415"/>
      <c r="I13" s="415"/>
    </row>
    <row r="14" spans="1:11">
      <c r="A14" s="1" t="s">
        <v>782</v>
      </c>
      <c r="B14" s="300"/>
      <c r="C14" s="222"/>
      <c r="D14" s="415"/>
      <c r="E14" s="415"/>
      <c r="F14" s="415"/>
      <c r="G14" s="415"/>
      <c r="H14" s="415"/>
      <c r="I14" s="415"/>
    </row>
    <row r="15" spans="1:11">
      <c r="A15" s="234" t="s">
        <v>624</v>
      </c>
      <c r="B15" s="300" t="s">
        <v>40</v>
      </c>
      <c r="C15" s="222" t="s">
        <v>54</v>
      </c>
      <c r="D15" s="413">
        <f>'DD forecasts'!D34</f>
        <v>437.53257420129</v>
      </c>
      <c r="E15" s="413">
        <f>'DD forecasts'!E34</f>
        <v>436.67433499533831</v>
      </c>
      <c r="F15" s="413">
        <f>'DD forecasts'!F34</f>
        <v>436.70055855566818</v>
      </c>
      <c r="G15" s="413">
        <f>'DD forecasts'!G34</f>
        <v>433.3180819397428</v>
      </c>
      <c r="H15" s="413">
        <f>'DD forecasts'!H34</f>
        <v>432.15984988173909</v>
      </c>
      <c r="I15" s="413">
        <f t="shared" ref="I15:I19" si="2">SUM(D15:H15)</f>
        <v>2176.3853995737782</v>
      </c>
    </row>
    <row r="16" spans="1:11">
      <c r="A16" s="300" t="s">
        <v>180</v>
      </c>
      <c r="B16" s="300" t="s">
        <v>40</v>
      </c>
      <c r="C16" s="222" t="s">
        <v>54</v>
      </c>
      <c r="D16" s="413">
        <f>'DD forecasts'!D35</f>
        <v>100.00000000000001</v>
      </c>
      <c r="E16" s="413">
        <f>'DD forecasts'!E35</f>
        <v>100.00000000000001</v>
      </c>
      <c r="F16" s="413">
        <f>'DD forecasts'!F35</f>
        <v>100</v>
      </c>
      <c r="G16" s="413">
        <f>'DD forecasts'!G35</f>
        <v>99.999999999999986</v>
      </c>
      <c r="H16" s="413">
        <f>'DD forecasts'!H35</f>
        <v>99.999999999999972</v>
      </c>
      <c r="I16" s="413">
        <f t="shared" si="2"/>
        <v>500</v>
      </c>
    </row>
    <row r="17" spans="1:12">
      <c r="A17" s="300" t="s">
        <v>199</v>
      </c>
      <c r="B17" s="300" t="s">
        <v>40</v>
      </c>
      <c r="C17" s="222" t="s">
        <v>54</v>
      </c>
      <c r="D17" s="413">
        <f>'DD forecasts'!D36</f>
        <v>143</v>
      </c>
      <c r="E17" s="413">
        <f>'DD forecasts'!E36</f>
        <v>143.00000000000003</v>
      </c>
      <c r="F17" s="413">
        <f>'DD forecasts'!F36</f>
        <v>143</v>
      </c>
      <c r="G17" s="413">
        <f>'DD forecasts'!G36</f>
        <v>143</v>
      </c>
      <c r="H17" s="413">
        <f>'DD forecasts'!H36</f>
        <v>0</v>
      </c>
      <c r="I17" s="413">
        <f t="shared" si="2"/>
        <v>572</v>
      </c>
    </row>
    <row r="18" spans="1:12">
      <c r="A18" s="222" t="s">
        <v>767</v>
      </c>
      <c r="B18" s="300" t="s">
        <v>40</v>
      </c>
      <c r="C18" s="222" t="s">
        <v>54</v>
      </c>
      <c r="D18" s="413">
        <f>'DD forecasts'!D37</f>
        <v>120</v>
      </c>
      <c r="E18" s="413">
        <f>'DD forecasts'!E37</f>
        <v>120</v>
      </c>
      <c r="F18" s="413">
        <f>'DD forecasts'!F37</f>
        <v>120</v>
      </c>
      <c r="G18" s="413">
        <f>'DD forecasts'!G37</f>
        <v>120</v>
      </c>
      <c r="H18" s="413">
        <f>'DD forecasts'!H37</f>
        <v>120</v>
      </c>
      <c r="I18" s="413">
        <f t="shared" si="2"/>
        <v>600</v>
      </c>
    </row>
    <row r="19" spans="1:12">
      <c r="A19" s="65" t="s">
        <v>20</v>
      </c>
      <c r="B19" s="300" t="s">
        <v>40</v>
      </c>
      <c r="C19" s="222" t="s">
        <v>54</v>
      </c>
      <c r="D19" s="415">
        <f>SUM(D15:D18)</f>
        <v>800.53257420129</v>
      </c>
      <c r="E19" s="415">
        <f t="shared" ref="E19:H19" si="3">SUM(E15:E18)</f>
        <v>799.67433499533831</v>
      </c>
      <c r="F19" s="415">
        <f t="shared" si="3"/>
        <v>799.70055855566818</v>
      </c>
      <c r="G19" s="415">
        <f t="shared" si="3"/>
        <v>796.3180819397428</v>
      </c>
      <c r="H19" s="415">
        <f t="shared" si="3"/>
        <v>652.15984988173909</v>
      </c>
      <c r="I19" s="415">
        <f t="shared" si="2"/>
        <v>3848.3853995737782</v>
      </c>
    </row>
    <row r="20" spans="1:12">
      <c r="A20" s="1"/>
      <c r="B20" s="300"/>
      <c r="C20" s="222"/>
      <c r="D20" s="415"/>
      <c r="E20" s="415"/>
      <c r="F20" s="415"/>
      <c r="G20" s="415"/>
      <c r="H20" s="415"/>
      <c r="I20" s="415"/>
    </row>
    <row r="21" spans="1:12">
      <c r="A21" s="1" t="s">
        <v>780</v>
      </c>
    </row>
    <row r="22" spans="1:12">
      <c r="A22" s="299" t="s">
        <v>781</v>
      </c>
      <c r="B22" s="300" t="s">
        <v>40</v>
      </c>
      <c r="C22" s="234" t="s">
        <v>54</v>
      </c>
      <c r="D22" s="308">
        <f>-'DD forecasts'!D56</f>
        <v>-164.15201331939232</v>
      </c>
      <c r="E22" s="308">
        <f>-'DD forecasts'!E56</f>
        <v>-164.15201331939235</v>
      </c>
      <c r="F22" s="308">
        <f>-'DD forecasts'!F56</f>
        <v>-164.15201331939241</v>
      </c>
      <c r="G22" s="308">
        <f>-'DD forecasts'!G56</f>
        <v>-164.15201331939238</v>
      </c>
      <c r="H22" s="308">
        <f>-'DD forecasts'!H56</f>
        <v>-164.15201331939232</v>
      </c>
      <c r="I22" s="308">
        <f>SUM(D22:H22)</f>
        <v>-820.76006659696168</v>
      </c>
    </row>
    <row r="23" spans="1:12">
      <c r="A23" s="299" t="s">
        <v>773</v>
      </c>
      <c r="B23" s="300" t="s">
        <v>40</v>
      </c>
      <c r="C23" s="222" t="s">
        <v>54</v>
      </c>
      <c r="D23" s="413">
        <f>'DD allowances'!D49</f>
        <v>529.20000000000005</v>
      </c>
      <c r="E23" s="413">
        <f>'DD allowances'!E49</f>
        <v>529.20000000000005</v>
      </c>
      <c r="F23" s="413">
        <f>'DD allowances'!F49</f>
        <v>529.20000000000005</v>
      </c>
      <c r="G23" s="413">
        <f>'DD allowances'!G49</f>
        <v>529.20000000000005</v>
      </c>
      <c r="H23" s="413">
        <f>'DD allowances'!H49</f>
        <v>529.20000000000005</v>
      </c>
      <c r="I23" s="413">
        <f>SUM(D23:H23)</f>
        <v>2646</v>
      </c>
    </row>
    <row r="24" spans="1:12">
      <c r="B24" s="300"/>
      <c r="C24" s="222"/>
      <c r="D24" s="413"/>
      <c r="E24" s="413"/>
      <c r="F24" s="413"/>
      <c r="G24" s="413"/>
      <c r="H24" s="413"/>
      <c r="I24" s="413"/>
    </row>
    <row r="25" spans="1:12">
      <c r="A25" s="1" t="s">
        <v>20</v>
      </c>
      <c r="B25" s="300" t="s">
        <v>40</v>
      </c>
      <c r="C25" s="222" t="s">
        <v>54</v>
      </c>
      <c r="D25" s="316">
        <f>D12+D19+D22+D23</f>
        <v>14287.005677717088</v>
      </c>
      <c r="E25" s="316">
        <f t="shared" ref="E25:H25" si="4">E12+E19+E22+E23</f>
        <v>14396.43018333301</v>
      </c>
      <c r="F25" s="316">
        <f t="shared" si="4"/>
        <v>14872.45203211242</v>
      </c>
      <c r="G25" s="316">
        <f t="shared" si="4"/>
        <v>15439.800172880865</v>
      </c>
      <c r="H25" s="316">
        <f t="shared" si="4"/>
        <v>13842.668748697599</v>
      </c>
      <c r="I25" s="256">
        <f>SUM(D25:H25)</f>
        <v>72838.356814740982</v>
      </c>
    </row>
    <row r="27" spans="1:12">
      <c r="A27" s="1" t="s">
        <v>716</v>
      </c>
    </row>
    <row r="28" spans="1:12">
      <c r="A28" s="299" t="s">
        <v>532</v>
      </c>
      <c r="B28" s="300" t="s">
        <v>40</v>
      </c>
      <c r="C28" s="222" t="s">
        <v>54</v>
      </c>
      <c r="D28" s="66">
        <f>RAB!N350</f>
        <v>166.6838172568759</v>
      </c>
      <c r="E28" s="66">
        <f>RAB!O350</f>
        <v>168.58381725687593</v>
      </c>
      <c r="F28" s="66">
        <f>RAB!P350</f>
        <v>169.73381725687591</v>
      </c>
      <c r="G28" s="66">
        <f>RAB!Q350</f>
        <v>170.13381725687594</v>
      </c>
      <c r="H28" s="66">
        <f>RAB!R350</f>
        <v>170.53381725687592</v>
      </c>
      <c r="I28" s="66">
        <f>SUM(D28:H28)</f>
        <v>845.66908628437955</v>
      </c>
    </row>
    <row r="29" spans="1:12">
      <c r="A29" s="222" t="s">
        <v>533</v>
      </c>
      <c r="B29" s="300" t="s">
        <v>40</v>
      </c>
      <c r="C29" s="222" t="s">
        <v>54</v>
      </c>
      <c r="D29" s="66">
        <f>RAB!N342</f>
        <v>1799.9323931009371</v>
      </c>
      <c r="E29" s="66">
        <f>RAB!O342</f>
        <v>2267.5650931528439</v>
      </c>
      <c r="F29" s="66">
        <f>RAB!P342</f>
        <v>2621.7879278219598</v>
      </c>
      <c r="G29" s="66">
        <f>RAB!Q342</f>
        <v>2898.277135362755</v>
      </c>
      <c r="H29" s="66">
        <f>RAB!R342</f>
        <v>3017.9229051750667</v>
      </c>
      <c r="I29" s="66">
        <f>SUM(D29:H29)</f>
        <v>12605.485454613561</v>
      </c>
    </row>
    <row r="30" spans="1:12">
      <c r="A30" s="299" t="s">
        <v>534</v>
      </c>
      <c r="B30" s="300" t="s">
        <v>40</v>
      </c>
      <c r="C30" s="222" t="s">
        <v>54</v>
      </c>
      <c r="D30" s="66">
        <f>RAB!N367</f>
        <v>5198.6314065949691</v>
      </c>
      <c r="E30" s="66">
        <f>RAB!O367</f>
        <v>5236.2558418239269</v>
      </c>
      <c r="F30" s="66">
        <f>RAB!P367</f>
        <v>5270.7613445843072</v>
      </c>
      <c r="G30" s="66">
        <f>RAB!Q367</f>
        <v>5301.4709011531586</v>
      </c>
      <c r="H30" s="66">
        <f>RAB!R367</f>
        <v>179.09</v>
      </c>
      <c r="I30" s="66">
        <f>SUM(D30:H30)</f>
        <v>21186.209494156363</v>
      </c>
    </row>
    <row r="31" spans="1:12">
      <c r="A31" s="299" t="s">
        <v>234</v>
      </c>
      <c r="B31" s="300" t="s">
        <v>40</v>
      </c>
      <c r="C31" s="222" t="s">
        <v>54</v>
      </c>
      <c r="D31" s="66">
        <f>RAB!N359</f>
        <v>0</v>
      </c>
      <c r="E31" s="66">
        <f>RAB!O359</f>
        <v>0</v>
      </c>
      <c r="F31" s="66">
        <f>RAB!P359</f>
        <v>0</v>
      </c>
      <c r="G31" s="66">
        <f>RAB!Q359</f>
        <v>0</v>
      </c>
      <c r="H31" s="66">
        <f>RAB!R359</f>
        <v>0</v>
      </c>
      <c r="I31" s="66">
        <f>SUM(D31:H31)</f>
        <v>0</v>
      </c>
    </row>
    <row r="32" spans="1:12">
      <c r="A32" s="1" t="s">
        <v>20</v>
      </c>
      <c r="B32" s="300" t="s">
        <v>40</v>
      </c>
      <c r="C32" s="222" t="s">
        <v>54</v>
      </c>
      <c r="D32" s="256">
        <f t="shared" ref="D32:I32" si="5">SUM(D28:D31)</f>
        <v>7165.2476169527818</v>
      </c>
      <c r="E32" s="256">
        <f t="shared" si="5"/>
        <v>7672.4047522336468</v>
      </c>
      <c r="F32" s="256">
        <f t="shared" si="5"/>
        <v>8062.2830896631431</v>
      </c>
      <c r="G32" s="256">
        <f t="shared" si="5"/>
        <v>8369.8818537727893</v>
      </c>
      <c r="H32" s="256">
        <f t="shared" si="5"/>
        <v>3367.5467224319427</v>
      </c>
      <c r="I32" s="256">
        <f t="shared" si="5"/>
        <v>34637.364035054299</v>
      </c>
      <c r="J32" s="66"/>
      <c r="K32" s="66"/>
      <c r="L32" s="66"/>
    </row>
    <row r="33" spans="1:15">
      <c r="D33" s="66"/>
      <c r="E33" s="66"/>
      <c r="F33" s="66"/>
      <c r="G33" s="66"/>
      <c r="H33" s="66"/>
      <c r="I33" s="66"/>
      <c r="J33" s="66"/>
      <c r="K33" s="66"/>
      <c r="L33" s="66"/>
    </row>
    <row r="34" spans="1:15">
      <c r="A34" s="1" t="s">
        <v>537</v>
      </c>
      <c r="D34" s="66"/>
      <c r="E34" s="66"/>
      <c r="F34" s="66"/>
      <c r="G34" s="66"/>
      <c r="H34" s="66"/>
      <c r="I34" s="66"/>
      <c r="J34" s="66"/>
      <c r="K34" s="66"/>
      <c r="L34" s="66"/>
    </row>
    <row r="35" spans="1:15">
      <c r="A35" s="299" t="s">
        <v>532</v>
      </c>
      <c r="B35" s="300" t="s">
        <v>40</v>
      </c>
      <c r="C35" s="222" t="s">
        <v>54</v>
      </c>
      <c r="D35" s="66">
        <f>Return!D29</f>
        <v>92.510889323639518</v>
      </c>
      <c r="E35" s="66">
        <f>Return!E29</f>
        <v>87.955053124411606</v>
      </c>
      <c r="F35" s="66">
        <f>Return!F29</f>
        <v>82.630327855906629</v>
      </c>
      <c r="G35" s="66">
        <f>Return!G29</f>
        <v>76.565155777160655</v>
      </c>
      <c r="H35" s="66">
        <f>Return!H29</f>
        <v>70.484814493595437</v>
      </c>
      <c r="I35" s="66">
        <f>SUM(D35:H35)</f>
        <v>410.14624057471383</v>
      </c>
      <c r="J35" s="66"/>
      <c r="K35" s="66"/>
      <c r="L35" s="66"/>
    </row>
    <row r="36" spans="1:15">
      <c r="A36" s="222" t="s">
        <v>533</v>
      </c>
      <c r="B36" s="300" t="s">
        <v>40</v>
      </c>
      <c r="C36" s="222" t="s">
        <v>54</v>
      </c>
      <c r="D36" s="66">
        <f>Return!D30</f>
        <v>219.249844969002</v>
      </c>
      <c r="E36" s="66">
        <f>Return!E30</f>
        <v>277.52966421634653</v>
      </c>
      <c r="F36" s="66">
        <f>Return!F30</f>
        <v>289.11735683690915</v>
      </c>
      <c r="G36" s="66">
        <f>Return!G30</f>
        <v>276.87372104998752</v>
      </c>
      <c r="H36" s="66">
        <f>Return!H30</f>
        <v>248.62259295293802</v>
      </c>
      <c r="I36" s="66">
        <f>SUM(D36:H36)</f>
        <v>1311.3931800251833</v>
      </c>
      <c r="J36" s="66"/>
      <c r="K36" s="66"/>
      <c r="L36" s="66"/>
    </row>
    <row r="37" spans="1:15">
      <c r="A37" s="299" t="s">
        <v>534</v>
      </c>
      <c r="B37" s="300" t="s">
        <v>40</v>
      </c>
      <c r="C37" s="222" t="s">
        <v>54</v>
      </c>
      <c r="D37" s="66">
        <f>Return!D31</f>
        <v>687.34376634494402</v>
      </c>
      <c r="E37" s="66">
        <f>Return!E31</f>
        <v>497.50533334536186</v>
      </c>
      <c r="F37" s="66">
        <f>Return!F31</f>
        <v>305.11492493851051</v>
      </c>
      <c r="G37" s="66">
        <f>Return!G31</f>
        <v>110.83235822447861</v>
      </c>
      <c r="H37" s="66">
        <f>Return!H31</f>
        <v>12.597624336756478</v>
      </c>
      <c r="I37" s="66">
        <f>SUM(D37:H37)</f>
        <v>1613.3940071900515</v>
      </c>
      <c r="J37" s="66"/>
      <c r="K37" s="66"/>
      <c r="L37" s="66"/>
    </row>
    <row r="38" spans="1:15">
      <c r="A38" s="222" t="s">
        <v>536</v>
      </c>
      <c r="B38" s="300" t="s">
        <v>40</v>
      </c>
      <c r="C38" s="222" t="s">
        <v>54</v>
      </c>
      <c r="D38" s="66">
        <f>Return!D32</f>
        <v>538.22137809354581</v>
      </c>
      <c r="E38" s="66">
        <f>Return!E32</f>
        <v>673.85784398928274</v>
      </c>
      <c r="F38" s="66">
        <f>Return!F32</f>
        <v>760.81239346101574</v>
      </c>
      <c r="G38" s="66">
        <f>Return!G32</f>
        <v>680.42217151708633</v>
      </c>
      <c r="H38" s="66">
        <f>Return!H32</f>
        <v>439.78359471588146</v>
      </c>
      <c r="I38" s="66">
        <f>SUM(D38:H38)</f>
        <v>3093.0973817768122</v>
      </c>
      <c r="J38" s="66"/>
      <c r="K38" s="66"/>
      <c r="L38" s="66"/>
    </row>
    <row r="39" spans="1:15">
      <c r="A39" s="1" t="s">
        <v>20</v>
      </c>
      <c r="B39" s="300" t="s">
        <v>40</v>
      </c>
      <c r="C39" s="222" t="s">
        <v>54</v>
      </c>
      <c r="D39" s="256">
        <f>SUM(D35:D38)</f>
        <v>1537.3258787311313</v>
      </c>
      <c r="E39" s="256">
        <f>SUM(E35:E38)</f>
        <v>1536.8478946754026</v>
      </c>
      <c r="F39" s="256">
        <f>SUM(F35:F38)</f>
        <v>1437.675003092342</v>
      </c>
      <c r="G39" s="256">
        <f>SUM(G35:G38)</f>
        <v>1144.6934065687133</v>
      </c>
      <c r="H39" s="256">
        <f>SUM(H35:H38)</f>
        <v>771.48862649917146</v>
      </c>
      <c r="I39" s="256">
        <f>SUM(D39:H39)</f>
        <v>6428.0308095667606</v>
      </c>
      <c r="J39" s="66"/>
      <c r="K39" s="66"/>
      <c r="L39" s="66"/>
    </row>
    <row r="40" spans="1:15">
      <c r="A40" s="1"/>
      <c r="B40" s="300"/>
      <c r="C40" s="222"/>
      <c r="D40" s="256"/>
      <c r="E40" s="256"/>
      <c r="F40" s="256"/>
      <c r="G40" s="256"/>
      <c r="H40" s="256"/>
      <c r="I40" s="256"/>
      <c r="J40" s="66"/>
      <c r="K40" s="66"/>
      <c r="L40" s="66"/>
    </row>
    <row r="41" spans="1:15">
      <c r="A41" s="222" t="s">
        <v>158</v>
      </c>
      <c r="B41" s="300" t="s">
        <v>40</v>
      </c>
      <c r="C41" s="222" t="s">
        <v>54</v>
      </c>
      <c r="D41" s="66">
        <f>'DD allowances'!$D$46</f>
        <v>132.25664316667343</v>
      </c>
      <c r="E41" s="66">
        <f>'DD allowances'!$D$46</f>
        <v>132.25664316667343</v>
      </c>
      <c r="F41" s="66">
        <f>'DD allowances'!$D$46</f>
        <v>132.25664316667343</v>
      </c>
      <c r="G41" s="66">
        <f>'DD allowances'!$D$46</f>
        <v>132.25664316667343</v>
      </c>
      <c r="H41" s="66">
        <f>'DD allowances'!$D$46</f>
        <v>132.25664316667343</v>
      </c>
      <c r="I41" s="66">
        <f>SUM(D41:H41)</f>
        <v>661.28321583336719</v>
      </c>
      <c r="J41" s="66"/>
      <c r="K41" s="66"/>
      <c r="L41" s="66"/>
    </row>
    <row r="42" spans="1:15">
      <c r="A42" s="1"/>
      <c r="B42" s="300"/>
      <c r="C42" s="222"/>
      <c r="D42" s="256"/>
      <c r="E42" s="256"/>
      <c r="F42" s="256"/>
      <c r="G42" s="256"/>
      <c r="H42" s="256"/>
      <c r="I42" s="256"/>
      <c r="J42" s="66"/>
      <c r="K42" s="66"/>
      <c r="L42" s="66"/>
    </row>
    <row r="43" spans="1:15">
      <c r="A43" s="1" t="s">
        <v>614</v>
      </c>
      <c r="B43" s="300" t="s">
        <v>40</v>
      </c>
      <c r="C43" s="222" t="s">
        <v>54</v>
      </c>
      <c r="D43" s="256">
        <f>D25+D32+D39+D41</f>
        <v>23121.835816567676</v>
      </c>
      <c r="E43" s="256">
        <f>E25+E32+E39+E41</f>
        <v>23737.939473408736</v>
      </c>
      <c r="F43" s="256">
        <f>F25+F32+F39+F41</f>
        <v>24504.666768034582</v>
      </c>
      <c r="G43" s="256">
        <f>G25+G32+G39+G41</f>
        <v>25086.63207638904</v>
      </c>
      <c r="H43" s="256">
        <f>H25+H32+H39+H41</f>
        <v>18113.960740795388</v>
      </c>
      <c r="I43" s="256">
        <f>SUM(D43:H43)</f>
        <v>114565.03487519543</v>
      </c>
      <c r="J43" s="66"/>
      <c r="K43" s="66"/>
      <c r="L43" s="66"/>
    </row>
    <row r="45" spans="1:15">
      <c r="A45" s="1" t="s">
        <v>615</v>
      </c>
      <c r="D45" s="71"/>
      <c r="E45" s="71"/>
      <c r="F45" s="71"/>
      <c r="G45" s="71"/>
      <c r="H45" s="71"/>
      <c r="I45" s="71"/>
      <c r="M45" s="5"/>
      <c r="N45" s="5"/>
      <c r="O45" s="5"/>
    </row>
    <row r="46" spans="1:15">
      <c r="A46" s="299" t="s">
        <v>507</v>
      </c>
      <c r="B46" s="300" t="s">
        <v>40</v>
      </c>
      <c r="C46" s="299" t="s">
        <v>54</v>
      </c>
      <c r="D46" s="71">
        <f>'DD forecasts'!D50</f>
        <v>38715.457900000001</v>
      </c>
      <c r="E46" s="71">
        <f>'DD forecasts'!E50</f>
        <v>48472.437299999998</v>
      </c>
      <c r="F46" s="71">
        <f>'DD forecasts'!F50</f>
        <v>49722.842517651741</v>
      </c>
      <c r="G46" s="71">
        <f>'DD forecasts'!G50</f>
        <v>50013.491609453406</v>
      </c>
      <c r="H46" s="71">
        <f>'DD forecasts'!H50</f>
        <v>50296.457340743604</v>
      </c>
      <c r="I46" s="66">
        <f>SUM(D46:H46)</f>
        <v>237220.68666784873</v>
      </c>
      <c r="M46" s="5"/>
      <c r="N46" s="5"/>
      <c r="O46" s="5"/>
    </row>
    <row r="47" spans="1:15">
      <c r="A47" s="222" t="s">
        <v>512</v>
      </c>
      <c r="B47" s="300" t="s">
        <v>40</v>
      </c>
      <c r="C47" s="299" t="s">
        <v>54</v>
      </c>
      <c r="D47" s="71">
        <f>'DD forecasts'!D51</f>
        <v>39550</v>
      </c>
      <c r="E47" s="71">
        <f>'DD forecasts'!E51</f>
        <v>40049.999999999993</v>
      </c>
      <c r="F47" s="71">
        <f>'DD forecasts'!F51</f>
        <v>40249.999999999993</v>
      </c>
      <c r="G47" s="71">
        <f>'DD forecasts'!G51</f>
        <v>40300</v>
      </c>
      <c r="H47" s="71">
        <f>'DD forecasts'!H51</f>
        <v>40300</v>
      </c>
      <c r="I47" s="66">
        <f>SUM(D47:H47)</f>
        <v>200450</v>
      </c>
    </row>
    <row r="48" spans="1:15">
      <c r="A48" s="222" t="s">
        <v>538</v>
      </c>
      <c r="B48" s="300" t="s">
        <v>40</v>
      </c>
      <c r="C48" s="299" t="s">
        <v>54</v>
      </c>
      <c r="D48" s="71">
        <f>'DD forecasts'!D52</f>
        <v>30.329220994475143</v>
      </c>
      <c r="E48" s="71">
        <f>'DD forecasts'!E52</f>
        <v>30.329220994475147</v>
      </c>
      <c r="F48" s="71">
        <f>'DD forecasts'!F52</f>
        <v>30.329220994475151</v>
      </c>
      <c r="G48" s="71">
        <f>'DD forecasts'!G52</f>
        <v>30.329220994475154</v>
      </c>
      <c r="H48" s="71">
        <f>'DD forecasts'!H52</f>
        <v>30.329220994475154</v>
      </c>
      <c r="I48" s="66">
        <f t="shared" ref="I48" si="6">SUM(D48:H48)</f>
        <v>151.64610497237575</v>
      </c>
    </row>
    <row r="49" spans="1:9">
      <c r="A49" s="1" t="s">
        <v>20</v>
      </c>
      <c r="B49" s="300" t="s">
        <v>40</v>
      </c>
      <c r="C49" s="299" t="s">
        <v>54</v>
      </c>
      <c r="D49" s="316">
        <f>SUM(D46:D48)</f>
        <v>78295.787120994486</v>
      </c>
      <c r="E49" s="316">
        <f>SUM(E46:E48)</f>
        <v>88552.766520994468</v>
      </c>
      <c r="F49" s="316">
        <f>SUM(F46:F48)</f>
        <v>90003.171738646211</v>
      </c>
      <c r="G49" s="316">
        <f>SUM(G46:G48)</f>
        <v>90343.820830447876</v>
      </c>
      <c r="H49" s="316">
        <f>SUM(H46:H48)</f>
        <v>90626.786561738074</v>
      </c>
      <c r="I49" s="256">
        <f>SUM(D49:H49)</f>
        <v>437822.33277282113</v>
      </c>
    </row>
    <row r="50" spans="1:9">
      <c r="A50" s="222"/>
      <c r="B50" s="300"/>
      <c r="D50" s="71"/>
      <c r="E50" s="71"/>
      <c r="F50" s="71"/>
      <c r="G50" s="71"/>
      <c r="H50" s="71"/>
      <c r="I50" s="66"/>
    </row>
    <row r="51" spans="1:9">
      <c r="A51" s="222" t="s">
        <v>159</v>
      </c>
      <c r="B51" s="300" t="s">
        <v>40</v>
      </c>
      <c r="C51" s="222" t="s">
        <v>54</v>
      </c>
      <c r="D51" s="66">
        <f>'DD allowances'!$D$42*'DD forecasts'!D67</f>
        <v>446.01411309189979</v>
      </c>
      <c r="E51" s="66">
        <f>'DD allowances'!$D$42*'DD forecasts'!E67</f>
        <v>495.3343771687567</v>
      </c>
      <c r="F51" s="66">
        <f>'DD allowances'!$D$42*'DD forecasts'!F67</f>
        <v>501.65501319855741</v>
      </c>
      <c r="G51" s="66">
        <f>'DD allowances'!$D$42*'DD forecasts'!G67</f>
        <v>503.12420662140681</v>
      </c>
      <c r="H51" s="66">
        <f>'DD allowances'!$D$42*'DD forecasts'!H67</f>
        <v>504.55456165443411</v>
      </c>
      <c r="I51" s="66">
        <f>SUM(D51:H51)</f>
        <v>2450.6822717350547</v>
      </c>
    </row>
    <row r="52" spans="1:9">
      <c r="A52" s="222"/>
      <c r="B52" s="300"/>
      <c r="D52" s="71"/>
      <c r="E52" s="71"/>
      <c r="F52" s="71"/>
      <c r="G52" s="71"/>
      <c r="H52" s="71"/>
      <c r="I52" s="66"/>
    </row>
    <row r="53" spans="1:9">
      <c r="A53" s="1" t="s">
        <v>573</v>
      </c>
      <c r="B53" s="300" t="s">
        <v>40</v>
      </c>
      <c r="C53" s="299" t="s">
        <v>54</v>
      </c>
      <c r="D53" s="316">
        <f>'DD forecasts'!D71</f>
        <v>0</v>
      </c>
      <c r="E53" s="316">
        <f>'DD forecasts'!E71</f>
        <v>0</v>
      </c>
      <c r="F53" s="316">
        <f>'DD forecasts'!F71</f>
        <v>0</v>
      </c>
      <c r="G53" s="316">
        <f>'DD forecasts'!G71</f>
        <v>0</v>
      </c>
      <c r="H53" s="316">
        <f>'DD forecasts'!H71</f>
        <v>0</v>
      </c>
      <c r="I53" s="66">
        <f t="shared" ref="I53:I55" si="7">SUM(D53:H53)</f>
        <v>0</v>
      </c>
    </row>
    <row r="54" spans="1:9">
      <c r="A54" s="1"/>
      <c r="B54" s="300"/>
      <c r="D54" s="316"/>
      <c r="E54" s="316"/>
      <c r="F54" s="316"/>
      <c r="G54" s="316"/>
      <c r="H54" s="316"/>
      <c r="I54" s="316"/>
    </row>
    <row r="55" spans="1:9">
      <c r="A55" s="1" t="s">
        <v>574</v>
      </c>
      <c r="B55" s="300" t="s">
        <v>40</v>
      </c>
      <c r="C55" s="299" t="s">
        <v>54</v>
      </c>
      <c r="D55" s="316">
        <f>'DD forecasts'!D75</f>
        <v>0</v>
      </c>
      <c r="E55" s="316">
        <f>'DD forecasts'!E75</f>
        <v>0</v>
      </c>
      <c r="F55" s="316">
        <f>'DD forecasts'!F75</f>
        <v>0</v>
      </c>
      <c r="G55" s="316">
        <f>'DD forecasts'!G75</f>
        <v>0</v>
      </c>
      <c r="H55" s="316">
        <f>'DD forecasts'!H75</f>
        <v>0</v>
      </c>
      <c r="I55" s="66">
        <f t="shared" si="7"/>
        <v>0</v>
      </c>
    </row>
    <row r="57" spans="1:9">
      <c r="A57" s="1" t="s">
        <v>613</v>
      </c>
      <c r="B57" s="300" t="s">
        <v>40</v>
      </c>
      <c r="C57" s="299" t="s">
        <v>54</v>
      </c>
      <c r="D57" s="316">
        <f>D43+D49+D51+D53+D55</f>
        <v>101863.63705065406</v>
      </c>
      <c r="E57" s="316">
        <f>E43+E49+E51+E53+E55</f>
        <v>112786.04037157196</v>
      </c>
      <c r="F57" s="316">
        <f>F43+F49+F51+F53+F55</f>
        <v>115009.49351987935</v>
      </c>
      <c r="G57" s="316">
        <f>G43+G49+G51+G53+G55</f>
        <v>115933.57711345832</v>
      </c>
      <c r="H57" s="316">
        <f>H43+H49+H51+H53+H55</f>
        <v>109245.3018641879</v>
      </c>
      <c r="I57" s="256">
        <f>SUM(D57:H57)</f>
        <v>554838.04991975159</v>
      </c>
    </row>
    <row r="58" spans="1:9">
      <c r="A58" s="222"/>
      <c r="B58" s="300"/>
      <c r="D58" s="71"/>
      <c r="E58" s="71"/>
      <c r="F58" s="71"/>
      <c r="G58" s="71"/>
      <c r="H58" s="71"/>
      <c r="I58" s="66"/>
    </row>
    <row r="59" spans="1:9">
      <c r="D59" s="316"/>
      <c r="E59" s="316"/>
      <c r="F59" s="316"/>
      <c r="G59" s="316"/>
      <c r="H59" s="316"/>
      <c r="I59" s="316"/>
    </row>
    <row r="60" spans="1:9">
      <c r="D60" s="316"/>
      <c r="E60" s="316"/>
      <c r="F60" s="316"/>
      <c r="G60" s="316"/>
      <c r="H60" s="316"/>
      <c r="I60" s="316"/>
    </row>
    <row r="62" spans="1:9">
      <c r="D62" s="71">
        <f>D59+D60</f>
        <v>0</v>
      </c>
      <c r="E62" s="71">
        <f t="shared" ref="E62:I62" si="8">E59+E60</f>
        <v>0</v>
      </c>
      <c r="F62" s="71">
        <f t="shared" si="8"/>
        <v>0</v>
      </c>
      <c r="G62" s="71">
        <f t="shared" si="8"/>
        <v>0</v>
      </c>
      <c r="H62" s="71">
        <f t="shared" si="8"/>
        <v>0</v>
      </c>
      <c r="I62" s="71">
        <f t="shared" si="8"/>
        <v>0</v>
      </c>
    </row>
    <row r="79" spans="11:12">
      <c r="K79" s="66"/>
      <c r="L79" s="66"/>
    </row>
    <row r="80" spans="11:12">
      <c r="K80" s="66"/>
      <c r="L80" s="66"/>
    </row>
    <row r="81" spans="11:12">
      <c r="K81" s="66"/>
      <c r="L81" s="66"/>
    </row>
    <row r="82" spans="11:12">
      <c r="K82" s="66"/>
      <c r="L82" s="66"/>
    </row>
    <row r="83" spans="11:12">
      <c r="K83" s="66"/>
      <c r="L83" s="66"/>
    </row>
    <row r="84" spans="11:12">
      <c r="K84" s="66"/>
      <c r="L84" s="66"/>
    </row>
    <row r="85" spans="11:12">
      <c r="K85" s="66"/>
      <c r="L85" s="66"/>
    </row>
    <row r="86" spans="11:12">
      <c r="K86" s="66"/>
      <c r="L86" s="66"/>
    </row>
    <row r="87" spans="11:12">
      <c r="K87" s="66"/>
      <c r="L87" s="66"/>
    </row>
    <row r="88" spans="11:12">
      <c r="K88" s="66"/>
      <c r="L88" s="66"/>
    </row>
    <row r="89" spans="11:12">
      <c r="K89" s="66"/>
      <c r="L89" s="66"/>
    </row>
    <row r="90" spans="11:12">
      <c r="K90" s="66"/>
      <c r="L90" s="66"/>
    </row>
    <row r="91" spans="11:12">
      <c r="K91" s="66"/>
      <c r="L91" s="66"/>
    </row>
    <row r="92" spans="11:12">
      <c r="K92" s="66"/>
      <c r="L92" s="66"/>
    </row>
    <row r="93" spans="11:12">
      <c r="K93" s="66"/>
      <c r="L93" s="66"/>
    </row>
    <row r="94" spans="11:12">
      <c r="K94" s="66"/>
      <c r="L94" s="66"/>
    </row>
    <row r="95" spans="11:12">
      <c r="K95" s="66"/>
      <c r="L95" s="66"/>
    </row>
    <row r="96" spans="11:12">
      <c r="K96" s="66"/>
      <c r="L96" s="66"/>
    </row>
    <row r="97" spans="10:12">
      <c r="K97" s="66"/>
      <c r="L97" s="66"/>
    </row>
    <row r="98" spans="10:12">
      <c r="K98" s="66"/>
      <c r="L98" s="66"/>
    </row>
    <row r="99" spans="10:12">
      <c r="K99" s="66"/>
      <c r="L99" s="66"/>
    </row>
    <row r="100" spans="10:12">
      <c r="K100" s="66"/>
      <c r="L100" s="66"/>
    </row>
    <row r="101" spans="10:12">
      <c r="K101" s="66"/>
      <c r="L101" s="66"/>
    </row>
    <row r="102" spans="10:12">
      <c r="K102" s="66"/>
      <c r="L102" s="66"/>
    </row>
    <row r="103" spans="10:12">
      <c r="K103" s="66"/>
      <c r="L103" s="66"/>
    </row>
    <row r="104" spans="10:12">
      <c r="K104" s="66"/>
      <c r="L104" s="66"/>
    </row>
    <row r="105" spans="10:12">
      <c r="J105" s="66"/>
      <c r="K105" s="66"/>
      <c r="L105" s="66"/>
    </row>
    <row r="106" spans="10:12">
      <c r="J106" s="66"/>
      <c r="K106" s="66"/>
      <c r="L106" s="66"/>
    </row>
    <row r="107" spans="10:12">
      <c r="J107" s="66"/>
      <c r="K107" s="66"/>
      <c r="L107" s="66"/>
    </row>
    <row r="108" spans="10:12">
      <c r="J108" s="66"/>
      <c r="K108" s="66"/>
      <c r="L108" s="66"/>
    </row>
    <row r="109" spans="10:12">
      <c r="J109" s="66"/>
      <c r="K109" s="66"/>
      <c r="L109" s="66"/>
    </row>
    <row r="110" spans="10:12">
      <c r="J110" s="66"/>
      <c r="K110" s="66"/>
      <c r="L110" s="66"/>
    </row>
    <row r="111" spans="10:12">
      <c r="J111" s="66"/>
      <c r="K111" s="66"/>
      <c r="L111" s="66"/>
    </row>
    <row r="112" spans="10:12">
      <c r="J112" s="66"/>
      <c r="K112" s="66"/>
      <c r="L112" s="66"/>
    </row>
    <row r="113" spans="1:12">
      <c r="J113" s="66"/>
      <c r="K113" s="66"/>
      <c r="L113" s="66"/>
    </row>
    <row r="114" spans="1:12">
      <c r="J114" s="66"/>
      <c r="K114" s="66"/>
      <c r="L114" s="66"/>
    </row>
    <row r="115" spans="1:12">
      <c r="A115" s="222"/>
      <c r="B115" s="300"/>
      <c r="J115" s="66"/>
      <c r="K115" s="66"/>
      <c r="L115" s="66"/>
    </row>
    <row r="116" spans="1:12">
      <c r="A116" s="222"/>
      <c r="B116" s="300"/>
      <c r="J116" s="66"/>
      <c r="K116" s="66"/>
      <c r="L116" s="66"/>
    </row>
    <row r="117" spans="1:12">
      <c r="A117" s="222"/>
      <c r="B117" s="300"/>
      <c r="J117" s="66"/>
      <c r="K117" s="66"/>
      <c r="L117" s="66"/>
    </row>
    <row r="120" spans="1:12">
      <c r="F120" s="299" t="s">
        <v>702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0527-21AD-48DE-979F-9BAFD062FA4D}">
  <sheetPr>
    <tabColor rgb="FFFF0000"/>
  </sheetPr>
  <dimension ref="A1:J7"/>
  <sheetViews>
    <sheetView showGridLines="0" tabSelected="1" zoomScale="80" zoomScaleNormal="80" workbookViewId="0">
      <selection activeCell="A4" sqref="A4"/>
    </sheetView>
  </sheetViews>
  <sheetFormatPr defaultColWidth="8.6640625" defaultRowHeight="14.25"/>
  <cols>
    <col min="1" max="1" width="9.46484375" style="299" customWidth="1"/>
    <col min="2" max="2" width="19.73046875" style="299" customWidth="1"/>
    <col min="3" max="3" width="99.33203125" style="299" customWidth="1"/>
    <col min="4" max="4" width="18" style="299" customWidth="1"/>
    <col min="5" max="5" width="24.33203125" style="299" customWidth="1"/>
    <col min="6" max="23" width="10.33203125" style="299" customWidth="1"/>
    <col min="24" max="16384" width="8.6640625" style="299"/>
  </cols>
  <sheetData>
    <row r="1" spans="1:10" ht="18">
      <c r="A1" s="267" t="s">
        <v>812</v>
      </c>
      <c r="B1" s="267"/>
      <c r="C1" s="267"/>
      <c r="D1" s="267"/>
      <c r="E1" s="267"/>
      <c r="F1" s="267"/>
      <c r="G1" s="267"/>
      <c r="H1" s="267"/>
      <c r="I1" s="267"/>
      <c r="J1" s="267"/>
    </row>
    <row r="3" spans="1:10">
      <c r="A3" s="299" t="s">
        <v>834</v>
      </c>
    </row>
    <row r="4" spans="1:10">
      <c r="A4" s="1"/>
    </row>
    <row r="5" spans="1:10">
      <c r="A5" s="425"/>
      <c r="B5" s="1" t="s">
        <v>826</v>
      </c>
      <c r="C5" s="1" t="s">
        <v>827</v>
      </c>
      <c r="D5" s="1" t="s">
        <v>828</v>
      </c>
      <c r="E5" s="1"/>
    </row>
    <row r="6" spans="1:10">
      <c r="A6" s="425"/>
      <c r="B6" s="299" t="s">
        <v>72</v>
      </c>
      <c r="C6" s="299" t="s">
        <v>829</v>
      </c>
      <c r="D6" s="299" t="s">
        <v>830</v>
      </c>
    </row>
    <row r="7" spans="1:10">
      <c r="A7" s="425"/>
      <c r="B7" s="299" t="s">
        <v>189</v>
      </c>
      <c r="C7" s="299" t="s">
        <v>832</v>
      </c>
      <c r="D7" s="299" t="s">
        <v>833</v>
      </c>
    </row>
  </sheetData>
  <pageMargins left="0.7" right="0.7" top="0.75" bottom="0.75"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5C6A-2FE6-441F-823E-A1ECAD8E9B08}">
  <sheetPr>
    <tabColor theme="8" tint="0.59999389629810485"/>
  </sheetPr>
  <dimension ref="A1:O93"/>
  <sheetViews>
    <sheetView showGridLines="0" topLeftCell="A58" zoomScale="80" zoomScaleNormal="80" workbookViewId="0">
      <selection activeCell="D72" sqref="D72"/>
    </sheetView>
  </sheetViews>
  <sheetFormatPr defaultColWidth="8.6640625" defaultRowHeight="14.25"/>
  <cols>
    <col min="1" max="1" width="70" style="299" customWidth="1"/>
    <col min="2" max="2" width="42.1328125" style="299" customWidth="1"/>
    <col min="3" max="3" width="16.6640625" style="299" customWidth="1"/>
    <col min="4" max="9" width="14" style="299" bestFit="1" customWidth="1"/>
    <col min="10" max="16384" width="8.6640625" style="299"/>
  </cols>
  <sheetData>
    <row r="1" spans="1:15" ht="18">
      <c r="A1" s="267" t="s">
        <v>722</v>
      </c>
      <c r="B1" s="268"/>
    </row>
    <row r="3" spans="1:15" ht="18">
      <c r="A3" s="337" t="s">
        <v>703</v>
      </c>
      <c r="B3" s="255" t="s">
        <v>10</v>
      </c>
      <c r="C3" s="255" t="s">
        <v>11</v>
      </c>
      <c r="D3" s="253" t="s">
        <v>5</v>
      </c>
      <c r="E3" s="253" t="s">
        <v>6</v>
      </c>
      <c r="F3" s="253" t="s">
        <v>7</v>
      </c>
      <c r="G3" s="253" t="s">
        <v>8</v>
      </c>
      <c r="H3" s="253" t="s">
        <v>9</v>
      </c>
      <c r="I3" s="254" t="s">
        <v>20</v>
      </c>
    </row>
    <row r="4" spans="1:15">
      <c r="A4" s="1" t="s">
        <v>706</v>
      </c>
    </row>
    <row r="5" spans="1:15">
      <c r="A5" s="222" t="s">
        <v>531</v>
      </c>
      <c r="B5" s="234" t="s">
        <v>40</v>
      </c>
      <c r="C5" s="222" t="s">
        <v>54</v>
      </c>
      <c r="D5" s="416">
        <f>'Regulated revenue'!D25</f>
        <v>14287.005677717088</v>
      </c>
      <c r="E5" s="416">
        <f>'Regulated revenue'!E25</f>
        <v>14396.43018333301</v>
      </c>
      <c r="F5" s="416">
        <f>'Regulated revenue'!F25</f>
        <v>14872.45203211242</v>
      </c>
      <c r="G5" s="416">
        <f>'Regulated revenue'!G25</f>
        <v>15439.800172880865</v>
      </c>
      <c r="H5" s="416">
        <f>'Regulated revenue'!H25</f>
        <v>13842.668748697599</v>
      </c>
      <c r="I5" s="66">
        <f t="shared" ref="I5:I14" si="0">SUM(D5:H5)</f>
        <v>72838.356814740982</v>
      </c>
    </row>
    <row r="6" spans="1:15">
      <c r="A6" s="222" t="s">
        <v>716</v>
      </c>
      <c r="B6" s="234" t="s">
        <v>40</v>
      </c>
      <c r="C6" s="222" t="s">
        <v>54</v>
      </c>
      <c r="D6" s="416">
        <f>'Regulated revenue'!D32</f>
        <v>7165.2476169527818</v>
      </c>
      <c r="E6" s="416">
        <f>'Regulated revenue'!E32</f>
        <v>7672.4047522336468</v>
      </c>
      <c r="F6" s="416">
        <f>'Regulated revenue'!F32</f>
        <v>8062.2830896631431</v>
      </c>
      <c r="G6" s="416">
        <f>'Regulated revenue'!G32</f>
        <v>8369.8818537727893</v>
      </c>
      <c r="H6" s="416">
        <f>'Regulated revenue'!H32</f>
        <v>3367.5467224319427</v>
      </c>
      <c r="I6" s="66">
        <f t="shared" si="0"/>
        <v>34637.364035054299</v>
      </c>
      <c r="J6" s="66"/>
      <c r="K6" s="66"/>
      <c r="L6" s="66"/>
    </row>
    <row r="7" spans="1:15">
      <c r="A7" s="222" t="s">
        <v>537</v>
      </c>
      <c r="B7" s="234" t="s">
        <v>40</v>
      </c>
      <c r="C7" s="222" t="s">
        <v>54</v>
      </c>
      <c r="D7" s="416">
        <f>'Regulated revenue'!D39</f>
        <v>1537.3258787311313</v>
      </c>
      <c r="E7" s="416">
        <f>'Regulated revenue'!E39</f>
        <v>1536.8478946754026</v>
      </c>
      <c r="F7" s="416">
        <f>'Regulated revenue'!F39</f>
        <v>1437.675003092342</v>
      </c>
      <c r="G7" s="416">
        <f>'Regulated revenue'!G39</f>
        <v>1144.6934065687133</v>
      </c>
      <c r="H7" s="416">
        <f>'Regulated revenue'!H39</f>
        <v>771.48862649917146</v>
      </c>
      <c r="I7" s="66">
        <f t="shared" si="0"/>
        <v>6428.0308095667606</v>
      </c>
      <c r="J7" s="66"/>
      <c r="K7" s="66"/>
      <c r="L7" s="66"/>
    </row>
    <row r="8" spans="1:15">
      <c r="A8" s="299" t="s">
        <v>158</v>
      </c>
      <c r="B8" s="300" t="s">
        <v>40</v>
      </c>
      <c r="C8" s="222" t="s">
        <v>54</v>
      </c>
      <c r="D8" s="413">
        <f>'Regulated revenue'!D41</f>
        <v>132.25664316667343</v>
      </c>
      <c r="E8" s="413">
        <f>'Regulated revenue'!E41</f>
        <v>132.25664316667343</v>
      </c>
      <c r="F8" s="413">
        <f>'Regulated revenue'!F41</f>
        <v>132.25664316667343</v>
      </c>
      <c r="G8" s="413">
        <f>'Regulated revenue'!G41</f>
        <v>132.25664316667343</v>
      </c>
      <c r="H8" s="413">
        <f>'Regulated revenue'!H41</f>
        <v>132.25664316667343</v>
      </c>
      <c r="I8" s="66">
        <f t="shared" si="0"/>
        <v>661.28321583336719</v>
      </c>
    </row>
    <row r="9" spans="1:15">
      <c r="A9" s="299" t="s">
        <v>507</v>
      </c>
      <c r="B9" s="300" t="s">
        <v>40</v>
      </c>
      <c r="C9" s="299" t="s">
        <v>54</v>
      </c>
      <c r="D9" s="413">
        <f>'Regulated revenue'!D46</f>
        <v>38715.457900000001</v>
      </c>
      <c r="E9" s="413">
        <f>'Regulated revenue'!E46</f>
        <v>48472.437299999998</v>
      </c>
      <c r="F9" s="413">
        <f>'Regulated revenue'!F46</f>
        <v>49722.842517651741</v>
      </c>
      <c r="G9" s="413">
        <f>'Regulated revenue'!G46</f>
        <v>50013.491609453406</v>
      </c>
      <c r="H9" s="413">
        <f>'Regulated revenue'!H46</f>
        <v>50296.457340743604</v>
      </c>
      <c r="I9" s="66">
        <f t="shared" si="0"/>
        <v>237220.68666784873</v>
      </c>
      <c r="M9" s="5"/>
      <c r="N9" s="5"/>
      <c r="O9" s="5"/>
    </row>
    <row r="10" spans="1:15">
      <c r="A10" s="222" t="s">
        <v>512</v>
      </c>
      <c r="B10" s="300" t="s">
        <v>40</v>
      </c>
      <c r="C10" s="299" t="s">
        <v>54</v>
      </c>
      <c r="D10" s="413">
        <f>'Regulated revenue'!D47</f>
        <v>39550</v>
      </c>
      <c r="E10" s="413">
        <f>'Regulated revenue'!E47</f>
        <v>40049.999999999993</v>
      </c>
      <c r="F10" s="413">
        <f>'Regulated revenue'!F47</f>
        <v>40249.999999999993</v>
      </c>
      <c r="G10" s="413">
        <f>'Regulated revenue'!G47</f>
        <v>40300</v>
      </c>
      <c r="H10" s="413">
        <f>'Regulated revenue'!H47</f>
        <v>40300</v>
      </c>
      <c r="I10" s="66">
        <f t="shared" si="0"/>
        <v>200450</v>
      </c>
    </row>
    <row r="11" spans="1:15">
      <c r="A11" s="222" t="s">
        <v>538</v>
      </c>
      <c r="B11" s="300" t="s">
        <v>40</v>
      </c>
      <c r="C11" s="299" t="s">
        <v>54</v>
      </c>
      <c r="D11" s="413">
        <f>'Regulated revenue'!D48</f>
        <v>30.329220994475143</v>
      </c>
      <c r="E11" s="413">
        <f>'Regulated revenue'!E48</f>
        <v>30.329220994475147</v>
      </c>
      <c r="F11" s="413">
        <f>'Regulated revenue'!F48</f>
        <v>30.329220994475151</v>
      </c>
      <c r="G11" s="413">
        <f>'Regulated revenue'!G48</f>
        <v>30.329220994475154</v>
      </c>
      <c r="H11" s="413">
        <f>'Regulated revenue'!H48</f>
        <v>30.329220994475154</v>
      </c>
      <c r="I11" s="66">
        <f t="shared" si="0"/>
        <v>151.64610497237575</v>
      </c>
    </row>
    <row r="12" spans="1:15">
      <c r="A12" s="222" t="s">
        <v>159</v>
      </c>
      <c r="B12" s="300" t="s">
        <v>40</v>
      </c>
      <c r="C12" s="222" t="s">
        <v>54</v>
      </c>
      <c r="D12" s="413">
        <f>'Regulated revenue'!D51</f>
        <v>446.01411309189979</v>
      </c>
      <c r="E12" s="413">
        <f>'Regulated revenue'!E51</f>
        <v>495.3343771687567</v>
      </c>
      <c r="F12" s="413">
        <f>'Regulated revenue'!F51</f>
        <v>501.65501319855741</v>
      </c>
      <c r="G12" s="413">
        <f>'Regulated revenue'!G51</f>
        <v>503.12420662140681</v>
      </c>
      <c r="H12" s="413">
        <f>'Regulated revenue'!H51</f>
        <v>504.55456165443411</v>
      </c>
      <c r="I12" s="66">
        <f t="shared" si="0"/>
        <v>2450.6822717350547</v>
      </c>
    </row>
    <row r="13" spans="1:15">
      <c r="A13" s="222" t="s">
        <v>573</v>
      </c>
      <c r="B13" s="234" t="s">
        <v>40</v>
      </c>
      <c r="C13" s="222" t="s">
        <v>54</v>
      </c>
      <c r="D13" s="413">
        <f>'Regulated revenue'!D53</f>
        <v>0</v>
      </c>
      <c r="E13" s="413">
        <f>'Regulated revenue'!E53</f>
        <v>0</v>
      </c>
      <c r="F13" s="413">
        <f>'Regulated revenue'!F53</f>
        <v>0</v>
      </c>
      <c r="G13" s="413">
        <f>'Regulated revenue'!G53</f>
        <v>0</v>
      </c>
      <c r="H13" s="413">
        <f>'Regulated revenue'!H53</f>
        <v>0</v>
      </c>
      <c r="I13" s="66">
        <f t="shared" si="0"/>
        <v>0</v>
      </c>
    </row>
    <row r="14" spans="1:15">
      <c r="A14" s="222" t="s">
        <v>574</v>
      </c>
      <c r="B14" s="234" t="s">
        <v>40</v>
      </c>
      <c r="C14" s="222" t="s">
        <v>54</v>
      </c>
      <c r="D14" s="413">
        <f>'Regulated revenue'!D55</f>
        <v>0</v>
      </c>
      <c r="E14" s="413">
        <f>'Regulated revenue'!E55</f>
        <v>0</v>
      </c>
      <c r="F14" s="413">
        <f>'Regulated revenue'!F55</f>
        <v>0</v>
      </c>
      <c r="G14" s="413">
        <f>'Regulated revenue'!G55</f>
        <v>0</v>
      </c>
      <c r="H14" s="413">
        <f>'Regulated revenue'!H55</f>
        <v>0</v>
      </c>
      <c r="I14" s="66">
        <f t="shared" si="0"/>
        <v>0</v>
      </c>
    </row>
    <row r="15" spans="1:15">
      <c r="A15" s="1" t="s">
        <v>20</v>
      </c>
      <c r="B15" s="300" t="s">
        <v>40</v>
      </c>
      <c r="C15" s="299" t="s">
        <v>54</v>
      </c>
      <c r="D15" s="415">
        <f t="shared" ref="D15:I15" si="1">SUM(D5:D14)</f>
        <v>101863.63705065406</v>
      </c>
      <c r="E15" s="415">
        <f t="shared" si="1"/>
        <v>112786.04037157196</v>
      </c>
      <c r="F15" s="415">
        <f t="shared" si="1"/>
        <v>115009.49351987934</v>
      </c>
      <c r="G15" s="415">
        <f t="shared" si="1"/>
        <v>115933.57711345832</v>
      </c>
      <c r="H15" s="415">
        <f t="shared" si="1"/>
        <v>109245.3018641879</v>
      </c>
      <c r="I15" s="415">
        <f t="shared" si="1"/>
        <v>554838.04991975147</v>
      </c>
    </row>
    <row r="16" spans="1:15">
      <c r="A16" s="222"/>
      <c r="B16" s="300"/>
      <c r="D16" s="71"/>
      <c r="E16" s="71"/>
      <c r="F16" s="71"/>
      <c r="G16" s="71"/>
      <c r="H16" s="71"/>
      <c r="I16" s="66"/>
    </row>
    <row r="17" spans="1:13">
      <c r="A17" s="1" t="s">
        <v>616</v>
      </c>
      <c r="B17" s="300"/>
      <c r="D17" s="71"/>
      <c r="E17" s="71"/>
      <c r="F17" s="71"/>
      <c r="G17" s="71"/>
      <c r="H17" s="71"/>
      <c r="I17" s="66"/>
    </row>
    <row r="18" spans="1:13">
      <c r="A18" s="222" t="s">
        <v>513</v>
      </c>
      <c r="B18" s="300" t="s">
        <v>40</v>
      </c>
      <c r="C18" s="299" t="s">
        <v>54</v>
      </c>
      <c r="D18" s="413">
        <f>'DD forecasts'!D58</f>
        <v>5380.4038044198905</v>
      </c>
      <c r="E18" s="413">
        <f>'DD forecasts'!E58</f>
        <v>5380.4038044198915</v>
      </c>
      <c r="F18" s="413">
        <f>'DD forecasts'!F58</f>
        <v>5380.4038044198915</v>
      </c>
      <c r="G18" s="413">
        <f>'DD forecasts'!G58</f>
        <v>5380.4038044198915</v>
      </c>
      <c r="H18" s="413">
        <f>'DD forecasts'!H58</f>
        <v>5380.4038044198915</v>
      </c>
      <c r="I18" s="66">
        <f>SUM(D18:H18)</f>
        <v>26902.019022099455</v>
      </c>
    </row>
    <row r="19" spans="1:13">
      <c r="A19" s="222" t="s">
        <v>535</v>
      </c>
      <c r="B19" s="300" t="s">
        <v>40</v>
      </c>
      <c r="C19" s="299" t="s">
        <v>54</v>
      </c>
      <c r="D19" s="71">
        <f>RAB!N358</f>
        <v>919.23076923076917</v>
      </c>
      <c r="E19" s="71">
        <f>RAB!O358</f>
        <v>992.92307692307702</v>
      </c>
      <c r="F19" s="71">
        <f>RAB!P358</f>
        <v>1712.0615384615387</v>
      </c>
      <c r="G19" s="71">
        <f>RAB!Q358</f>
        <v>8611.3923076923093</v>
      </c>
      <c r="H19" s="71">
        <f>RAB!R358</f>
        <v>9013.3538461538483</v>
      </c>
      <c r="I19" s="66">
        <f>SUM(D19:H19)</f>
        <v>21248.961538461543</v>
      </c>
    </row>
    <row r="20" spans="1:13">
      <c r="A20" s="234" t="s">
        <v>514</v>
      </c>
      <c r="B20" s="300" t="s">
        <v>40</v>
      </c>
      <c r="C20" s="300" t="s">
        <v>54</v>
      </c>
      <c r="D20" s="417">
        <f>'DD forecasts'!D55</f>
        <v>808.77922651933716</v>
      </c>
      <c r="E20" s="417">
        <f>'DD forecasts'!E55</f>
        <v>808.77922651933727</v>
      </c>
      <c r="F20" s="417">
        <f>'DD forecasts'!F55</f>
        <v>808.77922651933739</v>
      </c>
      <c r="G20" s="417">
        <f>'DD forecasts'!G55</f>
        <v>808.77922651933727</v>
      </c>
      <c r="H20" s="417">
        <f>'DD forecasts'!H55</f>
        <v>808.77922651933727</v>
      </c>
      <c r="I20" s="257">
        <f>SUM(D20:H20)</f>
        <v>4043.8961325966866</v>
      </c>
    </row>
    <row r="21" spans="1:13">
      <c r="A21" s="1" t="s">
        <v>20</v>
      </c>
      <c r="B21" s="300" t="s">
        <v>40</v>
      </c>
      <c r="C21" s="299" t="s">
        <v>54</v>
      </c>
      <c r="D21" s="316">
        <f>SUM(D18:D20)</f>
        <v>7108.4138001699976</v>
      </c>
      <c r="E21" s="316">
        <f t="shared" ref="E21:H21" si="2">SUM(E18:E20)</f>
        <v>7182.1061078623061</v>
      </c>
      <c r="F21" s="316">
        <f t="shared" si="2"/>
        <v>7901.2445694007674</v>
      </c>
      <c r="G21" s="316">
        <f t="shared" si="2"/>
        <v>14800.575338631537</v>
      </c>
      <c r="H21" s="316">
        <f t="shared" si="2"/>
        <v>15202.536877093076</v>
      </c>
      <c r="I21" s="316">
        <f>SUM(I20:I20)</f>
        <v>4043.8961325966866</v>
      </c>
    </row>
    <row r="22" spans="1:13">
      <c r="A22" s="1"/>
      <c r="B22" s="300"/>
      <c r="D22" s="316"/>
      <c r="E22" s="316"/>
      <c r="F22" s="316"/>
      <c r="G22" s="316"/>
      <c r="H22" s="316"/>
      <c r="I22" s="316"/>
    </row>
    <row r="23" spans="1:13">
      <c r="A23" s="1" t="s">
        <v>704</v>
      </c>
      <c r="B23" s="300" t="s">
        <v>40</v>
      </c>
      <c r="C23" s="299" t="s">
        <v>54</v>
      </c>
      <c r="D23" s="316">
        <f>D15+D21</f>
        <v>108972.05085082405</v>
      </c>
      <c r="E23" s="316">
        <f>E15+E21</f>
        <v>119968.14647943426</v>
      </c>
      <c r="F23" s="316">
        <f>F15+F21</f>
        <v>122910.7380892801</v>
      </c>
      <c r="G23" s="316">
        <f>G15+G21</f>
        <v>130734.15245208985</v>
      </c>
      <c r="H23" s="316">
        <f>H15+H21</f>
        <v>124447.83874128098</v>
      </c>
      <c r="I23" s="316">
        <f>SUM(D23:H23)</f>
        <v>607032.92661290918</v>
      </c>
      <c r="M23" s="71"/>
    </row>
    <row r="25" spans="1:13" ht="18">
      <c r="A25" s="337" t="s">
        <v>705</v>
      </c>
      <c r="B25" s="255" t="s">
        <v>10</v>
      </c>
      <c r="C25" s="255" t="s">
        <v>11</v>
      </c>
      <c r="D25" s="253" t="s">
        <v>5</v>
      </c>
      <c r="E25" s="253" t="s">
        <v>6</v>
      </c>
      <c r="F25" s="253" t="s">
        <v>7</v>
      </c>
      <c r="G25" s="253" t="s">
        <v>8</v>
      </c>
      <c r="H25" s="253" t="s">
        <v>9</v>
      </c>
      <c r="I25" s="254" t="s">
        <v>20</v>
      </c>
    </row>
    <row r="26" spans="1:13">
      <c r="A26" s="1" t="s">
        <v>531</v>
      </c>
    </row>
    <row r="27" spans="1:13">
      <c r="A27" s="222" t="s">
        <v>775</v>
      </c>
      <c r="B27" s="300" t="s">
        <v>40</v>
      </c>
      <c r="C27" s="299" t="s">
        <v>54</v>
      </c>
      <c r="D27" s="71">
        <f>'DD forecasts'!D12</f>
        <v>13121.425116835189</v>
      </c>
      <c r="E27" s="71">
        <f>'DD forecasts'!E12</f>
        <v>13231.707861657063</v>
      </c>
      <c r="F27" s="71">
        <f>'DD forecasts'!F12</f>
        <v>13707.703486876142</v>
      </c>
      <c r="G27" s="71">
        <f>'DD forecasts'!G12</f>
        <v>14278.434104260514</v>
      </c>
      <c r="H27" s="71">
        <f>'DD forecasts'!H12</f>
        <v>12825.460912135251</v>
      </c>
      <c r="I27" s="66">
        <f>SUM(D27:H27)</f>
        <v>67164.73148176416</v>
      </c>
    </row>
    <row r="28" spans="1:13">
      <c r="A28" s="222" t="s">
        <v>774</v>
      </c>
      <c r="B28" s="300" t="s">
        <v>40</v>
      </c>
      <c r="C28" s="299" t="s">
        <v>54</v>
      </c>
      <c r="D28" s="71">
        <f>'DD forecasts'!D31</f>
        <v>529.20000000000005</v>
      </c>
      <c r="E28" s="71">
        <f>'DD forecasts'!E31</f>
        <v>529.20000000000005</v>
      </c>
      <c r="F28" s="71">
        <f>'DD forecasts'!F31</f>
        <v>529.20000000000005</v>
      </c>
      <c r="G28" s="71">
        <f>'DD forecasts'!G31</f>
        <v>529.20000000000005</v>
      </c>
      <c r="H28" s="71">
        <f>'DD forecasts'!H31</f>
        <v>529.20000000000005</v>
      </c>
      <c r="I28" s="66">
        <f>SUM(D28:H28)</f>
        <v>2646</v>
      </c>
    </row>
    <row r="29" spans="1:13">
      <c r="A29" s="299" t="s">
        <v>505</v>
      </c>
      <c r="B29" s="300" t="s">
        <v>40</v>
      </c>
      <c r="C29" s="299" t="s">
        <v>54</v>
      </c>
      <c r="D29" s="71">
        <f>'DD forecasts'!D38</f>
        <v>800.53257420129</v>
      </c>
      <c r="E29" s="71">
        <f>'DD forecasts'!E38</f>
        <v>799.67433499533831</v>
      </c>
      <c r="F29" s="71">
        <f>'DD forecasts'!F38</f>
        <v>799.70055855566818</v>
      </c>
      <c r="G29" s="71">
        <f>'DD forecasts'!G38</f>
        <v>796.3180819397428</v>
      </c>
      <c r="H29" s="71">
        <f>'DD forecasts'!H38</f>
        <v>652.15984988173909</v>
      </c>
      <c r="I29" s="66">
        <f>SUM(D29:H29)</f>
        <v>3848.3853995737782</v>
      </c>
    </row>
    <row r="30" spans="1:13">
      <c r="A30" s="1" t="s">
        <v>20</v>
      </c>
      <c r="B30" s="300" t="s">
        <v>40</v>
      </c>
      <c r="C30" s="299" t="s">
        <v>54</v>
      </c>
      <c r="D30" s="316">
        <f>SUM(D27:D29)</f>
        <v>14451.15769103648</v>
      </c>
      <c r="E30" s="316">
        <f>SUM(E27:E29)</f>
        <v>14560.582196652402</v>
      </c>
      <c r="F30" s="316">
        <f>SUM(F27:F29)</f>
        <v>15036.604045431812</v>
      </c>
      <c r="G30" s="316">
        <f>SUM(G27:G29)</f>
        <v>15603.952186200257</v>
      </c>
      <c r="H30" s="316">
        <f>SUM(H27:H29)</f>
        <v>14006.820762016991</v>
      </c>
      <c r="I30" s="256">
        <f>SUM(D30:H30)</f>
        <v>73659.116881337948</v>
      </c>
    </row>
    <row r="32" spans="1:13">
      <c r="A32" s="1" t="s">
        <v>783</v>
      </c>
    </row>
    <row r="33" spans="1:13">
      <c r="A33" s="299" t="s">
        <v>507</v>
      </c>
      <c r="B33" s="300" t="s">
        <v>40</v>
      </c>
      <c r="C33" s="299" t="s">
        <v>54</v>
      </c>
      <c r="D33" s="71">
        <f>'DD forecasts'!D50</f>
        <v>38715.457900000001</v>
      </c>
      <c r="E33" s="71">
        <f>'DD forecasts'!E50</f>
        <v>48472.437299999998</v>
      </c>
      <c r="F33" s="71">
        <f>'DD forecasts'!F50</f>
        <v>49722.842517651741</v>
      </c>
      <c r="G33" s="71">
        <f>'DD forecasts'!G50</f>
        <v>50013.491609453406</v>
      </c>
      <c r="H33" s="71">
        <f>'DD forecasts'!H50</f>
        <v>50296.457340743604</v>
      </c>
      <c r="I33" s="66">
        <f t="shared" ref="I33:I39" si="3">SUM(D33:H33)</f>
        <v>237220.68666784873</v>
      </c>
    </row>
    <row r="34" spans="1:13">
      <c r="A34" s="222" t="s">
        <v>512</v>
      </c>
      <c r="B34" s="300" t="s">
        <v>40</v>
      </c>
      <c r="C34" s="299" t="s">
        <v>54</v>
      </c>
      <c r="D34" s="71">
        <f>'DD forecasts'!D51</f>
        <v>39550</v>
      </c>
      <c r="E34" s="71">
        <f>'DD forecasts'!E51</f>
        <v>40049.999999999993</v>
      </c>
      <c r="F34" s="71">
        <f>'DD forecasts'!F51</f>
        <v>40249.999999999993</v>
      </c>
      <c r="G34" s="71">
        <f>'DD forecasts'!G51</f>
        <v>40300</v>
      </c>
      <c r="H34" s="71">
        <f>'DD forecasts'!H51</f>
        <v>40300</v>
      </c>
      <c r="I34" s="66">
        <f t="shared" si="3"/>
        <v>200450</v>
      </c>
    </row>
    <row r="35" spans="1:13">
      <c r="A35" s="222" t="s">
        <v>517</v>
      </c>
      <c r="B35" s="300" t="s">
        <v>40</v>
      </c>
      <c r="C35" s="299" t="s">
        <v>54</v>
      </c>
      <c r="D35" s="71">
        <f>'DD forecasts'!D52</f>
        <v>30.329220994475143</v>
      </c>
      <c r="E35" s="71">
        <f>'DD forecasts'!E52</f>
        <v>30.329220994475147</v>
      </c>
      <c r="F35" s="71">
        <f>'DD forecasts'!F52</f>
        <v>30.329220994475151</v>
      </c>
      <c r="G35" s="71">
        <f>'DD forecasts'!G52</f>
        <v>30.329220994475154</v>
      </c>
      <c r="H35" s="71">
        <f>'DD forecasts'!H52</f>
        <v>30.329220994475154</v>
      </c>
      <c r="I35" s="66">
        <f t="shared" si="3"/>
        <v>151.64610497237575</v>
      </c>
    </row>
    <row r="36" spans="1:13">
      <c r="A36" s="222" t="s">
        <v>513</v>
      </c>
      <c r="B36" s="300" t="s">
        <v>40</v>
      </c>
      <c r="C36" s="299" t="s">
        <v>54</v>
      </c>
      <c r="D36" s="71">
        <f>'DD forecasts'!D62</f>
        <v>5380.4038044198905</v>
      </c>
      <c r="E36" s="71">
        <f>'DD forecasts'!E62</f>
        <v>5380.4038044198915</v>
      </c>
      <c r="F36" s="71">
        <f>'DD forecasts'!F62</f>
        <v>5380.4038044198915</v>
      </c>
      <c r="G36" s="71">
        <f>'DD forecasts'!G62</f>
        <v>5380.4038044198915</v>
      </c>
      <c r="H36" s="71">
        <f>'DD forecasts'!H62</f>
        <v>5380.4038044198915</v>
      </c>
      <c r="I36" s="66">
        <f t="shared" si="3"/>
        <v>26902.019022099455</v>
      </c>
    </row>
    <row r="37" spans="1:13">
      <c r="A37" s="234" t="s">
        <v>514</v>
      </c>
      <c r="B37" s="300" t="s">
        <v>40</v>
      </c>
      <c r="C37" s="299" t="s">
        <v>54</v>
      </c>
      <c r="D37" s="417">
        <f>'DD forecasts'!D61</f>
        <v>480.47519988055251</v>
      </c>
      <c r="E37" s="417">
        <f>'DD forecasts'!E61</f>
        <v>480.47519988055257</v>
      </c>
      <c r="F37" s="417">
        <f>'DD forecasts'!F61</f>
        <v>480.47519988055257</v>
      </c>
      <c r="G37" s="417">
        <f>'DD forecasts'!G61</f>
        <v>480.47519988055251</v>
      </c>
      <c r="H37" s="417">
        <f>'DD forecasts'!H61</f>
        <v>480.47519988055262</v>
      </c>
      <c r="I37" s="257">
        <f t="shared" si="3"/>
        <v>2402.3759994027628</v>
      </c>
    </row>
    <row r="38" spans="1:13">
      <c r="A38" s="234" t="s">
        <v>784</v>
      </c>
      <c r="B38" s="300" t="s">
        <v>40</v>
      </c>
      <c r="C38" s="299" t="s">
        <v>54</v>
      </c>
      <c r="D38" s="417">
        <f>D19</f>
        <v>919.23076923076917</v>
      </c>
      <c r="E38" s="417">
        <f t="shared" ref="E38:H38" si="4">E19</f>
        <v>992.92307692307702</v>
      </c>
      <c r="F38" s="417">
        <f t="shared" si="4"/>
        <v>1712.0615384615387</v>
      </c>
      <c r="G38" s="417">
        <f t="shared" si="4"/>
        <v>8611.3923076923093</v>
      </c>
      <c r="H38" s="417">
        <f t="shared" si="4"/>
        <v>9013.3538461538483</v>
      </c>
      <c r="I38" s="257">
        <f t="shared" si="3"/>
        <v>21248.961538461543</v>
      </c>
    </row>
    <row r="39" spans="1:13">
      <c r="A39" s="1" t="s">
        <v>20</v>
      </c>
      <c r="B39" s="300" t="s">
        <v>40</v>
      </c>
      <c r="C39" s="299" t="s">
        <v>54</v>
      </c>
      <c r="D39" s="316">
        <f>SUM(D33:D38)</f>
        <v>85075.896894525707</v>
      </c>
      <c r="E39" s="316">
        <f t="shared" ref="E39:H39" si="5">SUM(E33:E38)</f>
        <v>95406.568602218002</v>
      </c>
      <c r="F39" s="316">
        <f t="shared" si="5"/>
        <v>97576.112281408205</v>
      </c>
      <c r="G39" s="316">
        <f t="shared" si="5"/>
        <v>104816.09214244064</v>
      </c>
      <c r="H39" s="316">
        <f t="shared" si="5"/>
        <v>105501.01941219237</v>
      </c>
      <c r="I39" s="256">
        <f t="shared" si="3"/>
        <v>488375.68933278497</v>
      </c>
      <c r="M39" s="71"/>
    </row>
    <row r="41" spans="1:13">
      <c r="A41" s="1" t="s">
        <v>540</v>
      </c>
    </row>
    <row r="42" spans="1:13">
      <c r="A42" s="299" t="s">
        <v>532</v>
      </c>
      <c r="B42" s="300" t="s">
        <v>40</v>
      </c>
      <c r="C42" s="299" t="s">
        <v>54</v>
      </c>
      <c r="D42" s="71">
        <f>'Regulated revenue'!D28</f>
        <v>166.6838172568759</v>
      </c>
      <c r="E42" s="71">
        <f>'Regulated revenue'!E28</f>
        <v>168.58381725687593</v>
      </c>
      <c r="F42" s="71">
        <f>'Regulated revenue'!F28</f>
        <v>169.73381725687591</v>
      </c>
      <c r="G42" s="71">
        <f>'Regulated revenue'!G28</f>
        <v>170.13381725687594</v>
      </c>
      <c r="H42" s="71">
        <f>'Regulated revenue'!H28</f>
        <v>170.53381725687592</v>
      </c>
      <c r="I42" s="66">
        <f t="shared" ref="I42:I46" si="6">SUM(D42:H42)</f>
        <v>845.66908628437955</v>
      </c>
    </row>
    <row r="43" spans="1:13">
      <c r="A43" s="222" t="s">
        <v>533</v>
      </c>
      <c r="B43" s="300" t="s">
        <v>40</v>
      </c>
      <c r="C43" s="299" t="s">
        <v>54</v>
      </c>
      <c r="D43" s="71">
        <f>'Regulated revenue'!D29</f>
        <v>1799.9323931009371</v>
      </c>
      <c r="E43" s="71">
        <f>'Regulated revenue'!E29</f>
        <v>2267.5650931528439</v>
      </c>
      <c r="F43" s="71">
        <f>'Regulated revenue'!F29</f>
        <v>2621.7879278219598</v>
      </c>
      <c r="G43" s="71">
        <f>'Regulated revenue'!G29</f>
        <v>2898.277135362755</v>
      </c>
      <c r="H43" s="71">
        <f>'Regulated revenue'!H29</f>
        <v>3017.9229051750667</v>
      </c>
      <c r="I43" s="66">
        <f t="shared" si="6"/>
        <v>12605.485454613561</v>
      </c>
    </row>
    <row r="44" spans="1:13">
      <c r="A44" s="299" t="s">
        <v>534</v>
      </c>
      <c r="B44" s="300" t="s">
        <v>40</v>
      </c>
      <c r="C44" s="299" t="s">
        <v>54</v>
      </c>
      <c r="D44" s="71">
        <f>'Regulated revenue'!D30</f>
        <v>5198.6314065949691</v>
      </c>
      <c r="E44" s="71">
        <f>'Regulated revenue'!E30</f>
        <v>5236.2558418239269</v>
      </c>
      <c r="F44" s="71">
        <f>'Regulated revenue'!F30</f>
        <v>5270.7613445843072</v>
      </c>
      <c r="G44" s="71">
        <f>'Regulated revenue'!G30</f>
        <v>5301.4709011531586</v>
      </c>
      <c r="H44" s="71">
        <f>'Regulated revenue'!H30</f>
        <v>179.09</v>
      </c>
      <c r="I44" s="66">
        <f t="shared" si="6"/>
        <v>21186.209494156363</v>
      </c>
    </row>
    <row r="45" spans="1:13">
      <c r="A45" s="299" t="s">
        <v>234</v>
      </c>
      <c r="B45" s="300" t="s">
        <v>40</v>
      </c>
      <c r="C45" s="299" t="s">
        <v>54</v>
      </c>
      <c r="D45" s="71">
        <f>'Regulated revenue'!D31</f>
        <v>0</v>
      </c>
      <c r="E45" s="71">
        <f>'Regulated revenue'!E31</f>
        <v>0</v>
      </c>
      <c r="F45" s="71">
        <f>'Regulated revenue'!F31</f>
        <v>0</v>
      </c>
      <c r="G45" s="71">
        <f>'Regulated revenue'!G31</f>
        <v>0</v>
      </c>
      <c r="H45" s="71">
        <f>'Regulated revenue'!H31</f>
        <v>0</v>
      </c>
      <c r="I45" s="66">
        <f t="shared" si="6"/>
        <v>0</v>
      </c>
    </row>
    <row r="46" spans="1:13">
      <c r="A46" s="1" t="s">
        <v>20</v>
      </c>
      <c r="B46" s="300" t="s">
        <v>40</v>
      </c>
      <c r="C46" s="299" t="s">
        <v>54</v>
      </c>
      <c r="D46" s="316">
        <f>'Regulated revenue'!D32</f>
        <v>7165.2476169527818</v>
      </c>
      <c r="E46" s="316">
        <f>'Regulated revenue'!E32</f>
        <v>7672.4047522336468</v>
      </c>
      <c r="F46" s="316">
        <f>'Regulated revenue'!F32</f>
        <v>8062.2830896631431</v>
      </c>
      <c r="G46" s="316">
        <f>'Regulated revenue'!G32</f>
        <v>8369.8818537727893</v>
      </c>
      <c r="H46" s="316">
        <f>'Regulated revenue'!H32</f>
        <v>3367.5467224319427</v>
      </c>
      <c r="I46" s="256">
        <f t="shared" si="6"/>
        <v>34637.364035054299</v>
      </c>
    </row>
    <row r="48" spans="1:13">
      <c r="A48" s="1" t="s">
        <v>189</v>
      </c>
      <c r="D48" s="71"/>
      <c r="E48" s="71"/>
      <c r="F48" s="71"/>
      <c r="G48" s="71"/>
      <c r="H48" s="71"/>
      <c r="I48" s="71"/>
    </row>
    <row r="49" spans="1:9">
      <c r="A49" s="299" t="s">
        <v>189</v>
      </c>
      <c r="B49" s="300" t="s">
        <v>40</v>
      </c>
      <c r="C49" s="299" t="s">
        <v>54</v>
      </c>
      <c r="D49" s="71">
        <f>'Other inputs'!D7/'DD forecasts'!D81</f>
        <v>5493.0928034201252</v>
      </c>
      <c r="E49" s="71">
        <f>'Other inputs'!E7/'DD forecasts'!E81</f>
        <v>6105.3798876525043</v>
      </c>
      <c r="F49" s="71">
        <f>'Other inputs'!F7/'DD forecasts'!F81</f>
        <v>6483.4536161435744</v>
      </c>
      <c r="G49" s="71">
        <f>'Other inputs'!G7/'DD forecasts'!G81</f>
        <v>2745.7671636362097</v>
      </c>
      <c r="H49" s="71">
        <f>'Other inputs'!H7/'DD forecasts'!H81</f>
        <v>2930.8847209721316</v>
      </c>
      <c r="I49" s="71">
        <f>SUM(D49:H49)</f>
        <v>23758.578191824545</v>
      </c>
    </row>
    <row r="50" spans="1:9">
      <c r="A50" s="299" t="s">
        <v>234</v>
      </c>
      <c r="B50" s="300" t="s">
        <v>40</v>
      </c>
      <c r="C50" s="299" t="s">
        <v>54</v>
      </c>
      <c r="D50" s="71">
        <f>D45</f>
        <v>0</v>
      </c>
      <c r="E50" s="71">
        <f>E45</f>
        <v>0</v>
      </c>
      <c r="F50" s="71">
        <f>F45</f>
        <v>0</v>
      </c>
      <c r="G50" s="71">
        <f>G45</f>
        <v>0</v>
      </c>
      <c r="H50" s="71">
        <f>H45</f>
        <v>0</v>
      </c>
      <c r="I50" s="71">
        <f>SUM(D50:H50)</f>
        <v>0</v>
      </c>
    </row>
    <row r="51" spans="1:9">
      <c r="A51" s="1" t="s">
        <v>20</v>
      </c>
      <c r="B51" s="300" t="s">
        <v>40</v>
      </c>
      <c r="C51" s="299" t="s">
        <v>54</v>
      </c>
      <c r="D51" s="316">
        <f t="shared" ref="D51:I51" si="7">SUM(D49:D50)</f>
        <v>5493.0928034201252</v>
      </c>
      <c r="E51" s="316">
        <f t="shared" si="7"/>
        <v>6105.3798876525043</v>
      </c>
      <c r="F51" s="316">
        <f t="shared" si="7"/>
        <v>6483.4536161435744</v>
      </c>
      <c r="G51" s="316">
        <f t="shared" si="7"/>
        <v>2745.7671636362097</v>
      </c>
      <c r="H51" s="316">
        <f t="shared" si="7"/>
        <v>2930.8847209721316</v>
      </c>
      <c r="I51" s="316">
        <f t="shared" si="7"/>
        <v>23758.578191824545</v>
      </c>
    </row>
    <row r="53" spans="1:9">
      <c r="A53" s="1" t="s">
        <v>566</v>
      </c>
    </row>
    <row r="54" spans="1:9">
      <c r="A54" s="299" t="s">
        <v>566</v>
      </c>
      <c r="B54" s="300" t="s">
        <v>40</v>
      </c>
      <c r="C54" s="299" t="s">
        <v>54</v>
      </c>
      <c r="D54" s="71">
        <f>(WACC!$B$19)*WACC!$B$4*(Return!D10)</f>
        <v>384.64146384827023</v>
      </c>
      <c r="E54" s="71">
        <f>(WACC!$B$19)*WACC!$B$4*(Return!E10)</f>
        <v>384.52187145121559</v>
      </c>
      <c r="F54" s="71">
        <f>(WACC!$B$19)*WACC!$B$4*(Return!F10)</f>
        <v>359.70865083200698</v>
      </c>
      <c r="G54" s="71">
        <f>(WACC!$B$19)*WACC!$B$4*(Return!G10)</f>
        <v>286.40417341017002</v>
      </c>
      <c r="H54" s="71">
        <f>(WACC!$B$19)*WACC!$B$4*(Return!H10)</f>
        <v>193.02772349338156</v>
      </c>
      <c r="I54" s="71">
        <f>SUM(D54:H54)</f>
        <v>1608.3038830350442</v>
      </c>
    </row>
    <row r="55" spans="1:9">
      <c r="B55" s="300"/>
      <c r="D55" s="71"/>
      <c r="E55" s="71"/>
      <c r="F55" s="71"/>
      <c r="G55" s="71"/>
      <c r="H55" s="71"/>
      <c r="I55" s="71"/>
    </row>
    <row r="56" spans="1:9">
      <c r="B56" s="300"/>
      <c r="D56" s="71"/>
      <c r="E56" s="71"/>
      <c r="F56" s="71"/>
      <c r="G56" s="71"/>
      <c r="H56" s="71"/>
      <c r="I56" s="71"/>
    </row>
    <row r="58" spans="1:9" ht="18">
      <c r="A58" s="337" t="s">
        <v>311</v>
      </c>
      <c r="D58" s="71"/>
      <c r="E58" s="71"/>
      <c r="F58" s="71"/>
      <c r="G58" s="71"/>
      <c r="H58" s="71"/>
    </row>
    <row r="59" spans="1:9">
      <c r="A59" s="273"/>
      <c r="D59" s="266"/>
      <c r="E59" s="266"/>
      <c r="F59" s="266"/>
      <c r="G59" s="266"/>
      <c r="H59" s="266"/>
    </row>
    <row r="60" spans="1:9">
      <c r="A60" s="273"/>
      <c r="B60" s="255"/>
      <c r="C60" s="255"/>
      <c r="D60" s="253"/>
      <c r="E60" s="253"/>
      <c r="F60" s="253"/>
      <c r="G60" s="253"/>
      <c r="H60" s="253"/>
      <c r="I60" s="254"/>
    </row>
    <row r="61" spans="1:9">
      <c r="A61" s="1" t="s">
        <v>630</v>
      </c>
      <c r="B61" s="255" t="s">
        <v>10</v>
      </c>
      <c r="C61" s="255" t="s">
        <v>11</v>
      </c>
      <c r="D61" s="253" t="s">
        <v>5</v>
      </c>
      <c r="E61" s="253" t="s">
        <v>6</v>
      </c>
      <c r="F61" s="253" t="s">
        <v>7</v>
      </c>
      <c r="G61" s="253" t="s">
        <v>8</v>
      </c>
      <c r="H61" s="253" t="s">
        <v>9</v>
      </c>
      <c r="I61" s="254" t="s">
        <v>20</v>
      </c>
    </row>
    <row r="62" spans="1:9">
      <c r="A62" s="222" t="s">
        <v>567</v>
      </c>
      <c r="B62" s="300" t="s">
        <v>40</v>
      </c>
      <c r="C62" s="299" t="s">
        <v>54</v>
      </c>
      <c r="D62" s="71">
        <f>D23-D30-D39</f>
        <v>9444.996265261856</v>
      </c>
      <c r="E62" s="71">
        <f t="shared" ref="E62:H62" si="8">E23-E30-E39</f>
        <v>10000.99568056385</v>
      </c>
      <c r="F62" s="71">
        <f t="shared" si="8"/>
        <v>10298.021762440083</v>
      </c>
      <c r="G62" s="71">
        <f t="shared" si="8"/>
        <v>10314.108123448954</v>
      </c>
      <c r="H62" s="71">
        <f t="shared" si="8"/>
        <v>4939.9985670716269</v>
      </c>
      <c r="I62" s="71">
        <f t="shared" ref="I62:I68" si="9">SUM(D62:H62)</f>
        <v>44998.12039878637</v>
      </c>
    </row>
    <row r="63" spans="1:9">
      <c r="A63" s="222" t="s">
        <v>626</v>
      </c>
      <c r="B63" s="300" t="s">
        <v>40</v>
      </c>
      <c r="C63" s="299" t="s">
        <v>54</v>
      </c>
      <c r="D63" s="71">
        <f>D62-D46</f>
        <v>2279.7486483090743</v>
      </c>
      <c r="E63" s="71">
        <f>E62-E46</f>
        <v>2328.5909283302035</v>
      </c>
      <c r="F63" s="71">
        <f>F62-F46</f>
        <v>2235.7386727769399</v>
      </c>
      <c r="G63" s="71">
        <f>G62-G46</f>
        <v>1944.2262696761645</v>
      </c>
      <c r="H63" s="71">
        <f>H62-H46</f>
        <v>1572.4518446396842</v>
      </c>
      <c r="I63" s="71">
        <f t="shared" si="9"/>
        <v>10360.756363732067</v>
      </c>
    </row>
    <row r="64" spans="1:9">
      <c r="A64" s="222" t="s">
        <v>627</v>
      </c>
      <c r="B64" s="300" t="s">
        <v>40</v>
      </c>
      <c r="C64" s="299" t="s">
        <v>54</v>
      </c>
      <c r="D64" s="71">
        <f>D63-D54</f>
        <v>1895.1071844608041</v>
      </c>
      <c r="E64" s="71">
        <f>E63-E54</f>
        <v>1944.0690568789878</v>
      </c>
      <c r="F64" s="71">
        <f>F63-F54</f>
        <v>1876.030021944933</v>
      </c>
      <c r="G64" s="71">
        <f>G63-G54</f>
        <v>1657.8220962659946</v>
      </c>
      <c r="H64" s="71">
        <f>H63-H54</f>
        <v>1379.4241211463027</v>
      </c>
      <c r="I64" s="71">
        <f t="shared" si="9"/>
        <v>8752.4524806970221</v>
      </c>
    </row>
    <row r="65" spans="1:9">
      <c r="A65" s="222" t="s">
        <v>628</v>
      </c>
      <c r="B65" s="300" t="s">
        <v>40</v>
      </c>
      <c r="C65" s="299" t="s">
        <v>54</v>
      </c>
      <c r="D65" s="71">
        <f>D64*WACC!$B$11</f>
        <v>322.16822135833672</v>
      </c>
      <c r="E65" s="71">
        <f>E64*WACC!$B$11</f>
        <v>330.49173966942794</v>
      </c>
      <c r="F65" s="71">
        <f>F64*WACC!$B$11</f>
        <v>318.92510373063863</v>
      </c>
      <c r="G65" s="71">
        <f>G64*WACC!$B$11</f>
        <v>281.82975636521911</v>
      </c>
      <c r="H65" s="71">
        <f>H64*WACC!$B$11</f>
        <v>234.50210059487148</v>
      </c>
      <c r="I65" s="71">
        <f t="shared" si="9"/>
        <v>1487.916921718494</v>
      </c>
    </row>
    <row r="66" spans="1:9">
      <c r="A66" s="222" t="s">
        <v>629</v>
      </c>
      <c r="B66" s="300" t="s">
        <v>40</v>
      </c>
      <c r="C66" s="299" t="s">
        <v>54</v>
      </c>
      <c r="D66" s="71">
        <f>D64-D65</f>
        <v>1572.9389631024674</v>
      </c>
      <c r="E66" s="71">
        <f>E64-E65</f>
        <v>1613.5773172095599</v>
      </c>
      <c r="F66" s="71">
        <f>F64-F65</f>
        <v>1557.1049182142942</v>
      </c>
      <c r="G66" s="71">
        <f>G64-G65</f>
        <v>1375.9923399007755</v>
      </c>
      <c r="H66" s="71">
        <f>H64-H65</f>
        <v>1144.9220205514312</v>
      </c>
      <c r="I66" s="71">
        <f t="shared" si="9"/>
        <v>7264.5355589785286</v>
      </c>
    </row>
    <row r="67" spans="1:9">
      <c r="A67" s="222" t="s">
        <v>717</v>
      </c>
      <c r="B67" s="300" t="s">
        <v>40</v>
      </c>
      <c r="C67" s="299" t="s">
        <v>54</v>
      </c>
      <c r="D67" s="71">
        <f>(D64-'Regulated revenue'!D51)*(1-WACC!$B$11)</f>
        <v>1202.7472492361906</v>
      </c>
      <c r="E67" s="71">
        <f>(E64-'Regulated revenue'!E51)*(1-WACC!$B$11)</f>
        <v>1202.4497841594919</v>
      </c>
      <c r="F67" s="71">
        <f>(F64-'Regulated revenue'!F51)*(1-WACC!$B$11)</f>
        <v>1140.7312572594915</v>
      </c>
      <c r="G67" s="71">
        <f>(G64-'Regulated revenue'!G51)*(1-WACC!$B$11)</f>
        <v>958.39924840500782</v>
      </c>
      <c r="H67" s="71">
        <f>(H64-'Regulated revenue'!H51)*(1-WACC!$B$11)</f>
        <v>726.14173437825093</v>
      </c>
      <c r="I67" s="71">
        <f t="shared" si="9"/>
        <v>5230.4692734384334</v>
      </c>
    </row>
    <row r="68" spans="1:9">
      <c r="A68" s="222" t="s">
        <v>718</v>
      </c>
      <c r="B68" s="300" t="s">
        <v>40</v>
      </c>
      <c r="C68" s="299" t="s">
        <v>54</v>
      </c>
      <c r="D68" s="71">
        <f>(D64-'Regulated revenue'!D41-'Regulated revenue'!D51)*(1-WACC!$B$11)</f>
        <v>1092.9742354078514</v>
      </c>
      <c r="E68" s="71">
        <f>(E64-'Regulated revenue'!E41-'Regulated revenue'!E51)*(1-WACC!$B$11)</f>
        <v>1092.6767703311527</v>
      </c>
      <c r="F68" s="71">
        <f>(F64-'Regulated revenue'!F41-'Regulated revenue'!F51)*(1-WACC!$B$11)</f>
        <v>1030.9582434311528</v>
      </c>
      <c r="G68" s="71">
        <f>(G64-'Regulated revenue'!G41-'Regulated revenue'!G51)*(1-WACC!$B$11)</f>
        <v>848.62623457666882</v>
      </c>
      <c r="H68" s="71">
        <f>(H64-'Regulated revenue'!H41-'Regulated revenue'!H51)*(1-WACC!$B$11)</f>
        <v>616.36872054991193</v>
      </c>
      <c r="I68" s="71">
        <f t="shared" si="9"/>
        <v>4681.6042042967374</v>
      </c>
    </row>
    <row r="70" spans="1:9">
      <c r="A70" s="1" t="s">
        <v>631</v>
      </c>
      <c r="B70" s="255" t="s">
        <v>10</v>
      </c>
      <c r="C70" s="255" t="s">
        <v>11</v>
      </c>
      <c r="D70" s="253" t="s">
        <v>5</v>
      </c>
      <c r="E70" s="253" t="s">
        <v>6</v>
      </c>
      <c r="F70" s="253" t="s">
        <v>7</v>
      </c>
      <c r="G70" s="253" t="s">
        <v>8</v>
      </c>
      <c r="H70" s="253" t="s">
        <v>9</v>
      </c>
      <c r="I70" s="254" t="s">
        <v>20</v>
      </c>
    </row>
    <row r="71" spans="1:9">
      <c r="A71" s="222" t="s">
        <v>260</v>
      </c>
      <c r="B71" s="300" t="s">
        <v>40</v>
      </c>
      <c r="C71" s="299" t="s">
        <v>54</v>
      </c>
      <c r="D71" s="71">
        <f>D62-D51</f>
        <v>3951.9034618417309</v>
      </c>
      <c r="E71" s="71">
        <f>E62-E51</f>
        <v>3895.615792911346</v>
      </c>
      <c r="F71" s="71">
        <f>F62-F51</f>
        <v>3814.5681462965085</v>
      </c>
      <c r="G71" s="71">
        <f>G62-G51</f>
        <v>7568.3409598127437</v>
      </c>
      <c r="H71" s="71">
        <f>H62-H51</f>
        <v>2009.1138460994953</v>
      </c>
      <c r="I71" s="71">
        <f>SUM(D71:H71)</f>
        <v>21239.542206961825</v>
      </c>
    </row>
    <row r="72" spans="1:9">
      <c r="A72" s="222" t="s">
        <v>261</v>
      </c>
      <c r="B72" s="300" t="s">
        <v>40</v>
      </c>
      <c r="C72" s="299" t="s">
        <v>54</v>
      </c>
      <c r="D72" s="71">
        <f>D71-D54</f>
        <v>3567.2619979934607</v>
      </c>
      <c r="E72" s="71">
        <f>E71-E54</f>
        <v>3511.0939214601303</v>
      </c>
      <c r="F72" s="71">
        <f>F71-F54</f>
        <v>3454.8594954645014</v>
      </c>
      <c r="G72" s="71">
        <f>G71-G54</f>
        <v>7281.9367864025735</v>
      </c>
      <c r="H72" s="71">
        <f>H71-H54</f>
        <v>1816.0861226061138</v>
      </c>
      <c r="I72" s="71">
        <f>SUM(D72:H72)</f>
        <v>19631.23832392678</v>
      </c>
    </row>
    <row r="73" spans="1:9">
      <c r="A73" s="222" t="s">
        <v>632</v>
      </c>
      <c r="B73" s="300" t="s">
        <v>40</v>
      </c>
      <c r="C73" s="299" t="s">
        <v>54</v>
      </c>
      <c r="D73" s="71">
        <f>D72*WACC!$B$11</f>
        <v>606.43453965888841</v>
      </c>
      <c r="E73" s="71">
        <f>E72*WACC!$B$11</f>
        <v>596.88596664822217</v>
      </c>
      <c r="F73" s="71">
        <f>F72*WACC!$B$11</f>
        <v>587.32611422896525</v>
      </c>
      <c r="G73" s="71">
        <f>G72*WACC!$B$11</f>
        <v>1237.9292536884375</v>
      </c>
      <c r="H73" s="71">
        <f>H72*WACC!$B$11</f>
        <v>308.73464084303936</v>
      </c>
      <c r="I73" s="71">
        <f>SUM(D73:H73)</f>
        <v>3337.3105150675528</v>
      </c>
    </row>
    <row r="74" spans="1:9">
      <c r="A74" s="222" t="s">
        <v>262</v>
      </c>
      <c r="B74" s="300" t="s">
        <v>40</v>
      </c>
      <c r="C74" s="299" t="s">
        <v>54</v>
      </c>
      <c r="D74" s="71">
        <f>D72-D73</f>
        <v>2960.8274583345724</v>
      </c>
      <c r="E74" s="71">
        <f>E72-E73</f>
        <v>2914.2079548119082</v>
      </c>
      <c r="F74" s="71">
        <f>F72-F73</f>
        <v>2867.5333812355361</v>
      </c>
      <c r="G74" s="71">
        <f>G72-G73</f>
        <v>6044.0075327141358</v>
      </c>
      <c r="H74" s="71">
        <f>H72-H73</f>
        <v>1507.3514817630744</v>
      </c>
      <c r="I74" s="71">
        <f>SUM(D74:H74)</f>
        <v>16293.927808859229</v>
      </c>
    </row>
    <row r="76" spans="1:9" ht="18">
      <c r="A76" s="267" t="s">
        <v>325</v>
      </c>
      <c r="B76" s="267"/>
      <c r="C76"/>
      <c r="D76"/>
      <c r="E76"/>
      <c r="F76"/>
      <c r="G76"/>
      <c r="H76"/>
      <c r="I76"/>
    </row>
    <row r="77" spans="1:9" ht="28.5">
      <c r="A77" s="259" t="s">
        <v>635</v>
      </c>
      <c r="B77" s="259" t="s">
        <v>313</v>
      </c>
      <c r="C77" s="260" t="s">
        <v>324</v>
      </c>
      <c r="D77" s="260" t="s">
        <v>5</v>
      </c>
      <c r="E77" s="260" t="s">
        <v>6</v>
      </c>
      <c r="F77" s="260" t="s">
        <v>7</v>
      </c>
      <c r="G77" s="260" t="s">
        <v>8</v>
      </c>
      <c r="H77" s="260" t="s">
        <v>9</v>
      </c>
      <c r="I77" s="260" t="s">
        <v>237</v>
      </c>
    </row>
    <row r="78" spans="1:9">
      <c r="A78" s="230" t="s">
        <v>312</v>
      </c>
      <c r="B78" s="230" t="s">
        <v>316</v>
      </c>
      <c r="C78" s="237">
        <v>1.8</v>
      </c>
      <c r="D78" s="262">
        <f>Earnings!D63/Earnings!D54</f>
        <v>5.9269446031652171</v>
      </c>
      <c r="E78" s="262">
        <f>Earnings!E63/Earnings!E54</f>
        <v>6.0558087880460985</v>
      </c>
      <c r="F78" s="262">
        <f>Earnings!F63/Earnings!F54</f>
        <v>6.2154153579728231</v>
      </c>
      <c r="G78" s="262">
        <f>Earnings!G63/Earnings!G54</f>
        <v>6.7884006246367301</v>
      </c>
      <c r="H78" s="262">
        <f>Earnings!H63/Earnings!H54</f>
        <v>8.1462487158928738</v>
      </c>
      <c r="I78" s="262">
        <f>AVERAGE(D78:H78)</f>
        <v>6.6265636179427476</v>
      </c>
    </row>
    <row r="79" spans="1:9">
      <c r="A79" s="279" t="s">
        <v>322</v>
      </c>
      <c r="B79" s="279" t="s">
        <v>318</v>
      </c>
      <c r="C79" s="418">
        <v>0.12</v>
      </c>
      <c r="D79" s="419">
        <f>(Earnings!D62-Earnings!D54-Earnings!D65)/(Return!D10*WACC!$B$4)</f>
        <v>0.71851682964426233</v>
      </c>
      <c r="E79" s="419">
        <f>(Earnings!E62-Earnings!E54-Earnings!E65)/(Return!E10*WACC!$B$4)</f>
        <v>0.76379801175915962</v>
      </c>
      <c r="F79" s="419">
        <f>(Earnings!F62-Earnings!F54-Earnings!F65)/(Return!F10*WACC!$B$4)</f>
        <v>0.84580118718144526</v>
      </c>
      <c r="G79" s="419">
        <f>(Earnings!G62-Earnings!G54-Earnings!G65)/(Return!G10*WACC!$B$4)</f>
        <v>1.076250060630443</v>
      </c>
      <c r="H79" s="419">
        <f>(Earnings!H62-Earnings!H54-Earnings!H65)/(Return!H10*WACC!$B$4)</f>
        <v>0.73937752992238759</v>
      </c>
      <c r="I79" s="419">
        <f>AVERAGE(D79:H79)</f>
        <v>0.82874872382753961</v>
      </c>
    </row>
    <row r="80" spans="1:9">
      <c r="A80" s="230" t="s">
        <v>323</v>
      </c>
      <c r="B80" s="230" t="s">
        <v>319</v>
      </c>
      <c r="C80" s="265" t="s">
        <v>236</v>
      </c>
      <c r="D80" s="262">
        <f>(Earnings!D62-Earnings!D46-Earnings!D65)/Earnings!D54</f>
        <v>5.08936402062713</v>
      </c>
      <c r="E80" s="262">
        <f>(Earnings!E62-Earnings!E46-Earnings!E65)/Earnings!E54</f>
        <v>5.1963212940782615</v>
      </c>
      <c r="F80" s="262">
        <f>(Earnings!F62-Earnings!F46-Earnings!F65)/Earnings!F54</f>
        <v>5.3287947471174437</v>
      </c>
      <c r="G80" s="262">
        <f>(Earnings!G62-Earnings!G46-Earnings!G65)/Earnings!G54</f>
        <v>5.8043725184484858</v>
      </c>
      <c r="H80" s="262">
        <f>(Earnings!H62-Earnings!H46-Earnings!H65)/Earnings!H54</f>
        <v>6.9313864341910847</v>
      </c>
      <c r="I80" s="262">
        <f>AVERAGE(D80:H80)</f>
        <v>5.6700478028924808</v>
      </c>
    </row>
    <row r="81" spans="1:9">
      <c r="A81"/>
      <c r="B81"/>
      <c r="C81"/>
      <c r="D81"/>
      <c r="E81"/>
      <c r="F81"/>
      <c r="G81"/>
      <c r="H81"/>
      <c r="I81"/>
    </row>
    <row r="82" spans="1:9" ht="28.5">
      <c r="A82" s="259" t="s">
        <v>637</v>
      </c>
      <c r="B82" s="259" t="s">
        <v>313</v>
      </c>
      <c r="C82" s="260" t="s">
        <v>324</v>
      </c>
      <c r="D82" s="260" t="s">
        <v>5</v>
      </c>
      <c r="E82" s="260" t="s">
        <v>6</v>
      </c>
      <c r="F82" s="260" t="s">
        <v>7</v>
      </c>
      <c r="G82" s="260" t="s">
        <v>8</v>
      </c>
      <c r="H82" s="260" t="s">
        <v>9</v>
      </c>
      <c r="I82" s="260" t="s">
        <v>237</v>
      </c>
    </row>
    <row r="83" spans="1:9">
      <c r="A83" s="230" t="s">
        <v>312</v>
      </c>
      <c r="B83" s="230" t="s">
        <v>316</v>
      </c>
      <c r="C83" s="237">
        <v>1.8</v>
      </c>
      <c r="D83" s="262">
        <f>(Earnings!D63-'Regulated revenue'!D51)/Earnings!D54</f>
        <v>4.7673865341270876</v>
      </c>
      <c r="E83" s="262">
        <f>(Earnings!E63-'Regulated revenue'!E51)/Earnings!E54</f>
        <v>4.7676262061312489</v>
      </c>
      <c r="F83" s="262">
        <f>(Earnings!F63-'Regulated revenue'!F51)/Earnings!F54</f>
        <v>4.820800543905305</v>
      </c>
      <c r="G83" s="262">
        <f>(Earnings!G63-'Regulated revenue'!G51)/Earnings!G54</f>
        <v>5.0317076245634942</v>
      </c>
      <c r="H83" s="262">
        <f>(Earnings!H63-'Regulated revenue'!H51)/Earnings!H54</f>
        <v>5.5323518490434127</v>
      </c>
      <c r="I83" s="262">
        <f>AVERAGE(D83:H83)</f>
        <v>4.9839745515541098</v>
      </c>
    </row>
    <row r="84" spans="1:9">
      <c r="A84" s="230" t="s">
        <v>322</v>
      </c>
      <c r="B84" s="230" t="s">
        <v>318</v>
      </c>
      <c r="C84" s="263">
        <v>0.12</v>
      </c>
      <c r="D84" s="264">
        <f>(Earnings!D62-Earnings!D54-Earnings!D65-'Regulated revenue'!D51)/(Return!D10*WACC!$B$4)</f>
        <v>0.68184232703672432</v>
      </c>
      <c r="E84" s="264">
        <f>(Earnings!E62-Earnings!E54-Earnings!E65-'Regulated revenue'!E51)/(Return!E10*WACC!$B$4)</f>
        <v>0.72305537305835688</v>
      </c>
      <c r="F84" s="264">
        <f>(Earnings!F62-Earnings!F54-Earnings!F65-'Regulated revenue'!F51)/(Return!F10*WACC!$B$4)</f>
        <v>0.80169230984211792</v>
      </c>
      <c r="G84" s="264">
        <f>(Earnings!G62-Earnings!G54-Earnings!G65-'Regulated revenue'!G51)/(Return!G10*WACC!$B$4)</f>
        <v>1.0206893744241268</v>
      </c>
      <c r="H84" s="264">
        <f>(Earnings!H62-Earnings!H54-Earnings!H65-'Regulated revenue'!H51)/(Return!H10*WACC!$B$4)</f>
        <v>0.65670519981767284</v>
      </c>
      <c r="I84" s="264">
        <f>AVERAGE(D84:H84)</f>
        <v>0.77679691683579966</v>
      </c>
    </row>
    <row r="85" spans="1:9">
      <c r="A85" s="230" t="s">
        <v>323</v>
      </c>
      <c r="B85" s="230" t="s">
        <v>319</v>
      </c>
      <c r="C85" s="265" t="s">
        <v>236</v>
      </c>
      <c r="D85" s="262">
        <f>(Earnings!D62-Earnings!D46-Earnings!D65-'Regulated revenue'!D51)/Earnings!D54</f>
        <v>3.9298059515890005</v>
      </c>
      <c r="E85" s="262">
        <f>(Earnings!E62-Earnings!E46-Earnings!E65-'Regulated revenue'!E51)/Earnings!E54</f>
        <v>3.9081387121634124</v>
      </c>
      <c r="F85" s="262">
        <f>(Earnings!F62-Earnings!F46-Earnings!F65-'Regulated revenue'!F51)/Earnings!F54</f>
        <v>3.9341799330499252</v>
      </c>
      <c r="G85" s="262">
        <f>(Earnings!G62-Earnings!G46-Earnings!G65-'Regulated revenue'!G51)/Earnings!G54</f>
        <v>4.0476795183752508</v>
      </c>
      <c r="H85" s="262">
        <f>(Earnings!H62-Earnings!H46-Earnings!H65-'Regulated revenue'!H51)/Earnings!H54</f>
        <v>4.3174895673416236</v>
      </c>
      <c r="I85" s="262">
        <f>AVERAGE(D85:H85)</f>
        <v>4.027458736503843</v>
      </c>
    </row>
    <row r="86" spans="1:9">
      <c r="A86"/>
      <c r="B86"/>
      <c r="C86"/>
      <c r="D86"/>
      <c r="E86"/>
      <c r="F86"/>
      <c r="G86"/>
      <c r="H86"/>
      <c r="I86"/>
    </row>
    <row r="87" spans="1:9" ht="28.5">
      <c r="A87" s="259" t="s">
        <v>697</v>
      </c>
      <c r="B87" s="259" t="s">
        <v>313</v>
      </c>
      <c r="C87" s="260" t="s">
        <v>324</v>
      </c>
      <c r="D87" s="260" t="s">
        <v>5</v>
      </c>
      <c r="E87" s="260" t="s">
        <v>6</v>
      </c>
      <c r="F87" s="260" t="s">
        <v>7</v>
      </c>
      <c r="G87" s="260" t="s">
        <v>8</v>
      </c>
      <c r="H87" s="260" t="s">
        <v>9</v>
      </c>
      <c r="I87" s="260" t="s">
        <v>237</v>
      </c>
    </row>
    <row r="88" spans="1:9">
      <c r="A88" s="230" t="s">
        <v>698</v>
      </c>
      <c r="B88" s="230" t="s">
        <v>317</v>
      </c>
      <c r="C88" s="237">
        <v>1.8</v>
      </c>
      <c r="D88" s="262">
        <f>Earnings!D71/Earnings!D54</f>
        <v>10.274252344777475</v>
      </c>
      <c r="E88" s="262">
        <f>Earnings!E71/Earnings!E54</f>
        <v>10.131064270047858</v>
      </c>
      <c r="F88" s="262">
        <f>Earnings!F71/Earnings!F54</f>
        <v>10.604604969809325</v>
      </c>
      <c r="G88" s="262">
        <f>Earnings!G71/Earnings!G54</f>
        <v>26.425386437975686</v>
      </c>
      <c r="H88" s="262">
        <f>Earnings!H71/Earnings!H54</f>
        <v>10.408421182920819</v>
      </c>
      <c r="I88" s="262">
        <f>AVERAGE(D88:H88)</f>
        <v>13.568745841106232</v>
      </c>
    </row>
    <row r="89" spans="1:9">
      <c r="A89" s="230" t="s">
        <v>699</v>
      </c>
      <c r="B89" s="230" t="s">
        <v>317</v>
      </c>
      <c r="C89" s="237">
        <v>1.8</v>
      </c>
      <c r="D89" s="262">
        <f>(Earnings!D71-'Regulated revenue'!D51)/Earnings!D54</f>
        <v>9.1146942757393461</v>
      </c>
      <c r="E89" s="262">
        <f>(Earnings!E71-'Regulated revenue'!E51)/Earnings!E54</f>
        <v>8.8428816881330086</v>
      </c>
      <c r="F89" s="262">
        <f>(Earnings!F71-'Regulated revenue'!F51)/Earnings!F54</f>
        <v>9.2099901557418065</v>
      </c>
      <c r="G89" s="262">
        <f>(Earnings!G71-'Regulated revenue'!G51)/Earnings!G54</f>
        <v>24.668693437902451</v>
      </c>
      <c r="H89" s="262">
        <f>(Earnings!H71-'Regulated revenue'!H51)/Earnings!H54</f>
        <v>7.7945243160713584</v>
      </c>
      <c r="I89" s="262">
        <f>AVERAGE(D89:H89)</f>
        <v>11.926156774717594</v>
      </c>
    </row>
    <row r="90" spans="1:9">
      <c r="A90"/>
      <c r="B90"/>
      <c r="C90"/>
      <c r="D90"/>
      <c r="E90"/>
      <c r="F90"/>
      <c r="G90"/>
      <c r="H90"/>
      <c r="I90"/>
    </row>
    <row r="91" spans="1:9">
      <c r="A91" s="259" t="s">
        <v>636</v>
      </c>
      <c r="B91" s="259" t="s">
        <v>313</v>
      </c>
      <c r="C91"/>
      <c r="D91"/>
      <c r="E91"/>
      <c r="F91"/>
      <c r="G91"/>
      <c r="H91"/>
      <c r="I91"/>
    </row>
    <row r="92" spans="1:9">
      <c r="A92" s="279" t="s">
        <v>320</v>
      </c>
      <c r="B92" s="279" t="s">
        <v>314</v>
      </c>
      <c r="C92" s="420" t="s">
        <v>235</v>
      </c>
      <c r="D92" s="421">
        <f>Earnings!D63/(Earnings!D23+'DD forecasts'!D66)</f>
        <v>1.4334926820068808E-2</v>
      </c>
      <c r="E92" s="421">
        <f>Earnings!E63/(Earnings!E23+'DD forecasts'!E66)</f>
        <v>1.3695124829228087E-2</v>
      </c>
      <c r="F92" s="421">
        <f>Earnings!F63/(Earnings!F23+'DD forecasts'!F66)</f>
        <v>1.2925344391269151E-2</v>
      </c>
      <c r="G92" s="421">
        <f>Earnings!G63/(Earnings!G23+'DD forecasts'!G66)</f>
        <v>1.0753662987158316E-2</v>
      </c>
      <c r="H92" s="421">
        <f>Earnings!H63/(Earnings!H23+'DD forecasts'!H66)</f>
        <v>9.0106514948143628E-3</v>
      </c>
      <c r="I92" s="421">
        <f>AVERAGE(D92:H92)</f>
        <v>1.2143942104507744E-2</v>
      </c>
    </row>
    <row r="93" spans="1:9">
      <c r="A93" s="230" t="s">
        <v>321</v>
      </c>
      <c r="B93" s="230" t="s">
        <v>315</v>
      </c>
      <c r="C93" s="253" t="s">
        <v>235</v>
      </c>
      <c r="D93" s="261">
        <f>Earnings!D63/(Earnings!D23)</f>
        <v>2.0920489524693889E-2</v>
      </c>
      <c r="E93" s="261">
        <f>Earnings!E63/(Earnings!E23)</f>
        <v>1.9410076730070894E-2</v>
      </c>
      <c r="F93" s="261">
        <f>Earnings!F63/(Earnings!F23)</f>
        <v>1.8189937734756263E-2</v>
      </c>
      <c r="G93" s="261">
        <f>Earnings!G63/(Earnings!G23)</f>
        <v>1.4871601897512321E-2</v>
      </c>
      <c r="H93" s="261">
        <f>Earnings!H63/(Earnings!H23)</f>
        <v>1.2635429112663901E-2</v>
      </c>
      <c r="I93" s="261">
        <f>AVERAGE(D93:H93)</f>
        <v>1.7205506999939453E-2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R94"/>
  <sheetViews>
    <sheetView showGridLines="0" zoomScale="70" zoomScaleNormal="80" workbookViewId="0">
      <selection activeCell="M47" sqref="M47"/>
    </sheetView>
  </sheetViews>
  <sheetFormatPr defaultColWidth="8.6640625" defaultRowHeight="14.25"/>
  <cols>
    <col min="1" max="1" width="31" customWidth="1"/>
    <col min="2" max="2" width="15" customWidth="1"/>
    <col min="3" max="3" width="14" customWidth="1"/>
    <col min="4" max="18" width="9.6640625" customWidth="1"/>
  </cols>
  <sheetData>
    <row r="1" spans="1:18" ht="18">
      <c r="A1" s="267" t="s">
        <v>714</v>
      </c>
      <c r="B1" s="267"/>
      <c r="C1" s="268"/>
    </row>
    <row r="3" spans="1:18">
      <c r="A3" s="65" t="s">
        <v>339</v>
      </c>
      <c r="B3" s="1" t="s">
        <v>10</v>
      </c>
      <c r="C3" s="1" t="s">
        <v>11</v>
      </c>
      <c r="D3" s="238" t="s">
        <v>35</v>
      </c>
      <c r="E3" s="238" t="s">
        <v>36</v>
      </c>
      <c r="F3" s="238" t="s">
        <v>37</v>
      </c>
      <c r="G3" s="238" t="s">
        <v>15</v>
      </c>
      <c r="H3" s="238" t="s">
        <v>16</v>
      </c>
      <c r="I3" s="238" t="s">
        <v>0</v>
      </c>
      <c r="J3" s="238" t="s">
        <v>1</v>
      </c>
      <c r="K3" s="238" t="s">
        <v>2</v>
      </c>
      <c r="L3" s="238" t="s">
        <v>3</v>
      </c>
      <c r="M3" s="238" t="s">
        <v>4</v>
      </c>
      <c r="N3" s="238" t="s">
        <v>5</v>
      </c>
      <c r="O3" s="238" t="s">
        <v>6</v>
      </c>
      <c r="P3" s="238" t="s">
        <v>7</v>
      </c>
      <c r="Q3" s="238" t="s">
        <v>8</v>
      </c>
      <c r="R3" s="238" t="s">
        <v>9</v>
      </c>
    </row>
    <row r="4" spans="1:18">
      <c r="A4" s="234" t="s">
        <v>332</v>
      </c>
      <c r="B4" s="63" t="s">
        <v>40</v>
      </c>
      <c r="C4" t="s">
        <v>52</v>
      </c>
      <c r="D4" s="236">
        <f>RAB!D384</f>
        <v>18916.576112074305</v>
      </c>
      <c r="E4" s="236">
        <f>RAB!E384</f>
        <v>17191.074126635736</v>
      </c>
      <c r="F4" s="236">
        <f>RAB!F384</f>
        <v>15438.145893995457</v>
      </c>
      <c r="G4" s="236">
        <f>RAB!G384</f>
        <v>12329.246935164629</v>
      </c>
      <c r="H4" s="236">
        <f>RAB!H384</f>
        <v>10118.337764552385</v>
      </c>
      <c r="I4" s="236">
        <f>RAB!I384</f>
        <v>6574.2342859411483</v>
      </c>
      <c r="J4" s="236">
        <f>RAB!J384</f>
        <v>5223.4008484215756</v>
      </c>
      <c r="K4" s="236">
        <f>RAB!K384</f>
        <v>4822.697180829723</v>
      </c>
      <c r="L4" s="236">
        <f>RAB!L384</f>
        <v>4265.9597091615587</v>
      </c>
      <c r="M4" s="236">
        <f>RAB!M384</f>
        <v>4138.2933468421006</v>
      </c>
      <c r="N4" s="236">
        <f>RAB!N384</f>
        <v>4698.9385917889367</v>
      </c>
      <c r="O4" s="236">
        <f>RAB!O384</f>
        <v>7344.5194210172449</v>
      </c>
      <c r="P4" s="236">
        <f>RAB!P384</f>
        <v>8179.6103040788557</v>
      </c>
      <c r="Q4" s="236">
        <f>RAB!Q384</f>
        <v>8308.6361518087087</v>
      </c>
      <c r="R4" s="236">
        <f>RAB!R384</f>
        <v>7790.7855355573938</v>
      </c>
    </row>
    <row r="5" spans="1:18">
      <c r="A5" s="234" t="s">
        <v>60</v>
      </c>
      <c r="B5" s="63" t="s">
        <v>40</v>
      </c>
      <c r="C5" t="s">
        <v>52</v>
      </c>
      <c r="D5" s="236">
        <f>RAB!D385</f>
        <v>928.97307001795321</v>
      </c>
      <c r="E5" s="236">
        <f>RAB!E385</f>
        <v>1295.2199281867145</v>
      </c>
      <c r="F5" s="236">
        <f>RAB!F385</f>
        <v>274.36041292639135</v>
      </c>
      <c r="G5" s="236">
        <f>RAB!G385</f>
        <v>1589.5175044883301</v>
      </c>
      <c r="H5" s="236">
        <f>RAB!H385</f>
        <v>422.66606822262116</v>
      </c>
      <c r="I5" s="236">
        <f>RAB!I385</f>
        <v>1187.4489636292531</v>
      </c>
      <c r="J5" s="236">
        <f>RAB!J385</f>
        <v>1070.5458740711774</v>
      </c>
      <c r="K5" s="236">
        <f>RAB!K385</f>
        <v>782.0725459522879</v>
      </c>
      <c r="L5" s="236">
        <f>RAB!L385</f>
        <v>1290.4522096206495</v>
      </c>
      <c r="M5" s="236">
        <f>RAB!M385</f>
        <v>1948.5043410246383</v>
      </c>
      <c r="N5" s="236">
        <f>RAB!N385</f>
        <v>4353.8928608792303</v>
      </c>
      <c r="O5" s="236">
        <f>RAB!O385</f>
        <v>3054.9437803956412</v>
      </c>
      <c r="P5" s="236">
        <f>RAB!P385</f>
        <v>2773.2137490699411</v>
      </c>
      <c r="Q5" s="236">
        <f>RAB!Q385</f>
        <v>2494.5860519043326</v>
      </c>
      <c r="R5" s="236">
        <f>RAB!R385</f>
        <v>2386.1238186734649</v>
      </c>
    </row>
    <row r="6" spans="1:18">
      <c r="A6" s="234" t="s">
        <v>61</v>
      </c>
      <c r="B6" s="63" t="s">
        <v>40</v>
      </c>
      <c r="C6" t="s">
        <v>52</v>
      </c>
      <c r="D6" s="236">
        <f>RAB!D386</f>
        <v>3228.6923767998187</v>
      </c>
      <c r="E6" s="236">
        <f>RAB!E386</f>
        <v>3481.2825145663446</v>
      </c>
      <c r="F6" s="236">
        <f>RAB!F386</f>
        <v>3682.2086521562064</v>
      </c>
      <c r="G6" s="236">
        <f>RAB!G386</f>
        <v>3890.6289109861195</v>
      </c>
      <c r="H6" s="236">
        <f>RAB!H386</f>
        <v>4052.2798627183256</v>
      </c>
      <c r="I6" s="236">
        <f>RAB!I386</f>
        <v>2715.8703087817826</v>
      </c>
      <c r="J6" s="236">
        <f>RAB!J386</f>
        <v>1628.1553133668215</v>
      </c>
      <c r="K6" s="236">
        <f>RAB!K386</f>
        <v>1464.6277050870494</v>
      </c>
      <c r="L6" s="236">
        <f>RAB!L386</f>
        <v>1480.3485470805911</v>
      </c>
      <c r="M6" s="236">
        <f>RAB!M386</f>
        <v>1479.9951468971933</v>
      </c>
      <c r="N6" s="236">
        <f>RAB!N386</f>
        <v>1852.32221637675</v>
      </c>
      <c r="O6" s="236">
        <f>RAB!O386</f>
        <v>2380.237413100283</v>
      </c>
      <c r="P6" s="236">
        <f>RAB!P386</f>
        <v>2807.1023356892779</v>
      </c>
      <c r="Q6" s="236">
        <f>RAB!Q386</f>
        <v>3165.1971688528511</v>
      </c>
      <c r="R6" s="236">
        <f>RAB!R386</f>
        <v>3361.7790849260236</v>
      </c>
    </row>
    <row r="7" spans="1:18">
      <c r="A7" s="234" t="s">
        <v>333</v>
      </c>
      <c r="B7" s="63" t="s">
        <v>40</v>
      </c>
      <c r="C7" t="s">
        <v>52</v>
      </c>
      <c r="D7" s="236">
        <f>RAB!D387</f>
        <v>16616.856805292438</v>
      </c>
      <c r="E7" s="236">
        <f>RAB!E387</f>
        <v>15005.011540256108</v>
      </c>
      <c r="F7" s="236">
        <f>RAB!F387</f>
        <v>12030.297654765644</v>
      </c>
      <c r="G7" s="236">
        <f>RAB!G387</f>
        <v>10028.13552866684</v>
      </c>
      <c r="H7" s="236">
        <f>RAB!H387</f>
        <v>6488.7239700566797</v>
      </c>
      <c r="I7" s="236">
        <f>RAB!I387</f>
        <v>5045.8129407886172</v>
      </c>
      <c r="J7" s="236">
        <f>RAB!J387</f>
        <v>4665.7914091259318</v>
      </c>
      <c r="K7" s="236">
        <f>RAB!K387</f>
        <v>4140.1420216949618</v>
      </c>
      <c r="L7" s="236">
        <f>RAB!L387</f>
        <v>4076.0633717016176</v>
      </c>
      <c r="M7" s="236">
        <f>RAB!M387</f>
        <v>4606.8025409695465</v>
      </c>
      <c r="N7" s="236">
        <f>RAB!N387</f>
        <v>7200.5092362914165</v>
      </c>
      <c r="O7" s="236">
        <f>RAB!O387</f>
        <v>8019.225788312604</v>
      </c>
      <c r="P7" s="236">
        <f>RAB!P387</f>
        <v>8145.7217174595189</v>
      </c>
      <c r="Q7" s="236">
        <f>RAB!Q387</f>
        <v>7638.0250348601894</v>
      </c>
      <c r="R7" s="236">
        <f>RAB!R387</f>
        <v>6815.1302693048374</v>
      </c>
    </row>
    <row r="8" spans="1:18">
      <c r="A8" s="234" t="s">
        <v>237</v>
      </c>
      <c r="B8" s="63" t="s">
        <v>40</v>
      </c>
      <c r="C8" t="s">
        <v>52</v>
      </c>
      <c r="D8" s="236">
        <f>RAB!D388</f>
        <v>17766.716458683368</v>
      </c>
      <c r="E8" s="236">
        <f>RAB!E388</f>
        <v>16098.042833445921</v>
      </c>
      <c r="F8" s="236">
        <f>RAB!F388</f>
        <v>13734.22177438055</v>
      </c>
      <c r="G8" s="236">
        <f>RAB!G388</f>
        <v>11178.691231915735</v>
      </c>
      <c r="H8" s="236">
        <f>RAB!H388</f>
        <v>8303.5308673045311</v>
      </c>
      <c r="I8" s="236">
        <f>RAB!I388</f>
        <v>5810.0236133648832</v>
      </c>
      <c r="J8" s="236">
        <f>RAB!J388</f>
        <v>4944.5961287737537</v>
      </c>
      <c r="K8" s="236">
        <f>RAB!K388</f>
        <v>4481.4196012623433</v>
      </c>
      <c r="L8" s="236">
        <f>RAB!L388</f>
        <v>4171.0115404315875</v>
      </c>
      <c r="M8" s="236">
        <f>RAB!M388</f>
        <v>4372.5479439058236</v>
      </c>
      <c r="N8" s="236">
        <f>RAB!N388</f>
        <v>5949.7239140401771</v>
      </c>
      <c r="O8" s="236">
        <f>RAB!O388</f>
        <v>7681.8726046649244</v>
      </c>
      <c r="P8" s="236">
        <f>RAB!P388</f>
        <v>8162.6660107691869</v>
      </c>
      <c r="Q8" s="236">
        <f>RAB!Q388</f>
        <v>7973.3305933344491</v>
      </c>
      <c r="R8" s="236">
        <f>RAB!R388</f>
        <v>7302.9579024311161</v>
      </c>
    </row>
    <row r="9" spans="1:18">
      <c r="A9" s="63"/>
      <c r="B9" s="63"/>
      <c r="C9" s="63"/>
      <c r="D9" s="63"/>
      <c r="E9" s="63"/>
      <c r="F9" s="63"/>
      <c r="G9" s="63"/>
      <c r="H9" s="63"/>
      <c r="I9" s="63"/>
      <c r="J9" s="63"/>
      <c r="K9" s="63"/>
      <c r="L9" s="63"/>
      <c r="M9" s="63"/>
      <c r="N9" s="63"/>
      <c r="O9" s="63"/>
      <c r="P9" s="63"/>
      <c r="Q9" s="63"/>
      <c r="R9" s="63"/>
    </row>
    <row r="10" spans="1:18">
      <c r="A10" s="65" t="s">
        <v>340</v>
      </c>
      <c r="B10" s="1" t="s">
        <v>10</v>
      </c>
      <c r="C10" s="1" t="s">
        <v>11</v>
      </c>
      <c r="D10" s="238" t="s">
        <v>35</v>
      </c>
      <c r="E10" s="238" t="s">
        <v>36</v>
      </c>
      <c r="F10" s="238" t="s">
        <v>37</v>
      </c>
      <c r="G10" s="238" t="s">
        <v>15</v>
      </c>
      <c r="H10" s="238" t="s">
        <v>16</v>
      </c>
      <c r="I10" s="238" t="s">
        <v>0</v>
      </c>
      <c r="J10" s="238" t="s">
        <v>1</v>
      </c>
      <c r="K10" s="238" t="s">
        <v>2</v>
      </c>
      <c r="L10" s="238" t="s">
        <v>3</v>
      </c>
      <c r="M10" s="238" t="s">
        <v>4</v>
      </c>
      <c r="N10" s="238" t="s">
        <v>5</v>
      </c>
      <c r="O10" s="238" t="s">
        <v>6</v>
      </c>
      <c r="P10" s="238" t="s">
        <v>7</v>
      </c>
      <c r="Q10" s="238" t="s">
        <v>8</v>
      </c>
      <c r="R10" s="238" t="s">
        <v>9</v>
      </c>
    </row>
    <row r="11" spans="1:18">
      <c r="A11" s="234" t="s">
        <v>332</v>
      </c>
      <c r="B11" s="63" t="s">
        <v>40</v>
      </c>
      <c r="C11" t="s">
        <v>52</v>
      </c>
      <c r="D11" s="236">
        <f>RAB!D391</f>
        <v>0</v>
      </c>
      <c r="E11" s="236">
        <f>RAB!E391</f>
        <v>1351.447710951526</v>
      </c>
      <c r="F11" s="236">
        <f>RAB!F391</f>
        <v>2724.1637342908439</v>
      </c>
      <c r="G11" s="236">
        <f>RAB!G391</f>
        <v>2675.5309515260324</v>
      </c>
      <c r="H11" s="236">
        <f>RAB!H391</f>
        <v>2582.2233393177739</v>
      </c>
      <c r="I11" s="236">
        <f>RAB!I391</f>
        <v>2497.3320646319571</v>
      </c>
      <c r="J11" s="236">
        <f>RAB!J391</f>
        <v>2578.6555324437431</v>
      </c>
      <c r="K11" s="236">
        <f>RAB!K391</f>
        <v>2567.158147972189</v>
      </c>
      <c r="L11" s="236">
        <f>RAB!L391</f>
        <v>2538.8864631618198</v>
      </c>
      <c r="M11" s="236">
        <f>RAB!M391</f>
        <v>2480.6442120338652</v>
      </c>
      <c r="N11" s="236">
        <f>RAB!N391</f>
        <v>2571.7694781022724</v>
      </c>
      <c r="O11" s="236">
        <f>RAB!O391</f>
        <v>2498.0989636585</v>
      </c>
      <c r="P11" s="236">
        <f>RAB!P391</f>
        <v>2418.418624180772</v>
      </c>
      <c r="Q11" s="236">
        <f>RAB!Q391</f>
        <v>2292.342317105391</v>
      </c>
      <c r="R11" s="236">
        <f>RAB!R391</f>
        <v>2159.8100150867485</v>
      </c>
    </row>
    <row r="12" spans="1:18">
      <c r="A12" s="234" t="s">
        <v>60</v>
      </c>
      <c r="B12" s="63" t="s">
        <v>40</v>
      </c>
      <c r="C12" t="s">
        <v>52</v>
      </c>
      <c r="D12" s="236">
        <f>RAB!D392</f>
        <v>1332.9658886894074</v>
      </c>
      <c r="E12" s="236">
        <f>RAB!E392</f>
        <v>1379.0282764811491</v>
      </c>
      <c r="F12" s="236">
        <f>RAB!F392</f>
        <v>0</v>
      </c>
      <c r="G12" s="236">
        <f>RAB!G392</f>
        <v>0</v>
      </c>
      <c r="H12" s="236">
        <f>RAB!H392</f>
        <v>0</v>
      </c>
      <c r="I12" s="236">
        <f>RAB!I392</f>
        <v>98</v>
      </c>
      <c r="J12" s="236">
        <f>RAB!J392</f>
        <v>13</v>
      </c>
      <c r="K12" s="236">
        <f>RAB!K392</f>
        <v>8.5</v>
      </c>
      <c r="L12" s="236">
        <f>RAB!L392</f>
        <v>19.5</v>
      </c>
      <c r="M12" s="236">
        <f>RAB!M392</f>
        <v>157.5</v>
      </c>
      <c r="N12" s="236">
        <f>RAB!N392</f>
        <v>48.882561153485263</v>
      </c>
      <c r="O12" s="236">
        <f>RAB!O392</f>
        <v>49.860212376554969</v>
      </c>
      <c r="P12" s="236">
        <f>RAB!P392</f>
        <v>10.706824552439171</v>
      </c>
      <c r="Q12" s="236">
        <f>RAB!Q392</f>
        <v>10.920961043487953</v>
      </c>
      <c r="R12" s="236">
        <f>RAB!R392</f>
        <v>11.139380264357715</v>
      </c>
    </row>
    <row r="13" spans="1:18">
      <c r="A13" s="234" t="s">
        <v>61</v>
      </c>
      <c r="B13" s="63" t="s">
        <v>40</v>
      </c>
      <c r="C13" t="s">
        <v>52</v>
      </c>
      <c r="D13" s="236">
        <f>RAB!D393</f>
        <v>26.65931777378815</v>
      </c>
      <c r="E13" s="236">
        <f>RAB!E393</f>
        <v>82.741696588868948</v>
      </c>
      <c r="F13" s="236">
        <f>RAB!F393</f>
        <v>113.50682226211849</v>
      </c>
      <c r="G13" s="236">
        <f>RAB!G393</f>
        <v>116.32743267504488</v>
      </c>
      <c r="H13" s="236">
        <f>RAB!H393</f>
        <v>117.3737881508079</v>
      </c>
      <c r="I13" s="236">
        <f>RAB!I393</f>
        <v>104.34700853146055</v>
      </c>
      <c r="J13" s="236">
        <f>RAB!J393</f>
        <v>108.01951227472541</v>
      </c>
      <c r="K13" s="236">
        <f>RAB!K393</f>
        <v>111.65209749904177</v>
      </c>
      <c r="L13" s="236">
        <f>RAB!L393</f>
        <v>115.04517160966691</v>
      </c>
      <c r="M13" s="236">
        <f>RAB!M393</f>
        <v>116.8015864434023</v>
      </c>
      <c r="N13" s="236">
        <f>RAB!N393</f>
        <v>171.53540821801258</v>
      </c>
      <c r="O13" s="236">
        <f>RAB!O393</f>
        <v>176.96052487743506</v>
      </c>
      <c r="P13" s="236">
        <f>RAB!P393</f>
        <v>181.73102019851424</v>
      </c>
      <c r="Q13" s="236">
        <f>RAB!Q393</f>
        <v>185.80247904422407</v>
      </c>
      <c r="R13" s="236">
        <f>RAB!R393</f>
        <v>189.96410383568286</v>
      </c>
    </row>
    <row r="14" spans="1:18">
      <c r="A14" s="234" t="s">
        <v>333</v>
      </c>
      <c r="B14" s="63" t="s">
        <v>40</v>
      </c>
      <c r="C14" t="s">
        <v>52</v>
      </c>
      <c r="D14" s="236">
        <f>RAB!D394</f>
        <v>1306.3065709156192</v>
      </c>
      <c r="E14" s="236">
        <f>RAB!E394</f>
        <v>2647.7342908438063</v>
      </c>
      <c r="F14" s="236">
        <f>RAB!F394</f>
        <v>2610.6569120287254</v>
      </c>
      <c r="G14" s="236">
        <f>RAB!G394</f>
        <v>2559.2035188509876</v>
      </c>
      <c r="H14" s="236">
        <f>RAB!H394</f>
        <v>2464.8495511669662</v>
      </c>
      <c r="I14" s="236">
        <f>RAB!I394</f>
        <v>2490.9850561004969</v>
      </c>
      <c r="J14" s="236">
        <f>RAB!J394</f>
        <v>2483.6360201690177</v>
      </c>
      <c r="K14" s="236">
        <f>RAB!K394</f>
        <v>2464.0060504731468</v>
      </c>
      <c r="L14" s="236">
        <f>RAB!L394</f>
        <v>2443.3412915521526</v>
      </c>
      <c r="M14" s="236">
        <f>RAB!M394</f>
        <v>2521.3426255904628</v>
      </c>
      <c r="N14" s="236">
        <f>RAB!N394</f>
        <v>2449.1166310377453</v>
      </c>
      <c r="O14" s="236">
        <f>RAB!O394</f>
        <v>2370.9986511576199</v>
      </c>
      <c r="P14" s="236">
        <f>RAB!P394</f>
        <v>2247.3944285346975</v>
      </c>
      <c r="Q14" s="236">
        <f>RAB!Q394</f>
        <v>2117.4607991046551</v>
      </c>
      <c r="R14" s="236">
        <f>RAB!R394</f>
        <v>1980.9852915154233</v>
      </c>
    </row>
    <row r="15" spans="1:18">
      <c r="A15" s="234" t="s">
        <v>237</v>
      </c>
      <c r="B15" s="63" t="s">
        <v>40</v>
      </c>
      <c r="C15" t="s">
        <v>52</v>
      </c>
      <c r="D15" s="236">
        <f>RAB!D395</f>
        <v>653.1532854578096</v>
      </c>
      <c r="E15" s="236">
        <f>RAB!E395</f>
        <v>1999.5910008976659</v>
      </c>
      <c r="F15" s="236">
        <f>RAB!F395</f>
        <v>2667.4103231597851</v>
      </c>
      <c r="G15" s="236">
        <f>RAB!G395</f>
        <v>2617.3672351885098</v>
      </c>
      <c r="H15" s="236">
        <f>RAB!H395</f>
        <v>2523.5364452423705</v>
      </c>
      <c r="I15" s="236">
        <f>RAB!I395</f>
        <v>2494.158560366227</v>
      </c>
      <c r="J15" s="236">
        <f>RAB!J395</f>
        <v>2531.1457763063804</v>
      </c>
      <c r="K15" s="236">
        <f>RAB!K395</f>
        <v>2515.5820992226677</v>
      </c>
      <c r="L15" s="236">
        <f>RAB!L395</f>
        <v>2491.113877356986</v>
      </c>
      <c r="M15" s="236">
        <f>RAB!M395</f>
        <v>2500.9934188121638</v>
      </c>
      <c r="N15" s="236">
        <f>RAB!N395</f>
        <v>2510.4430545700088</v>
      </c>
      <c r="O15" s="236">
        <f>RAB!O395</f>
        <v>2434.5488074080595</v>
      </c>
      <c r="P15" s="236">
        <f>RAB!P395</f>
        <v>2332.9065263577349</v>
      </c>
      <c r="Q15" s="236">
        <f>RAB!Q395</f>
        <v>2204.901558105023</v>
      </c>
      <c r="R15" s="236">
        <f>RAB!R395</f>
        <v>2070.3976533010859</v>
      </c>
    </row>
    <row r="16" spans="1:18">
      <c r="A16" s="63"/>
      <c r="B16" s="63"/>
      <c r="C16" s="63"/>
      <c r="D16" s="63"/>
      <c r="E16" s="63"/>
      <c r="F16" s="63"/>
      <c r="G16" s="63"/>
      <c r="H16" s="63"/>
      <c r="I16" s="63"/>
      <c r="J16" s="63"/>
      <c r="K16" s="63"/>
      <c r="L16" s="63"/>
      <c r="M16" s="63"/>
      <c r="N16" s="63"/>
      <c r="O16" s="63"/>
      <c r="P16" s="63"/>
      <c r="Q16" s="63"/>
      <c r="R16" s="63"/>
    </row>
    <row r="17" spans="1:18">
      <c r="A17" s="65" t="s">
        <v>348</v>
      </c>
      <c r="B17" s="1" t="s">
        <v>10</v>
      </c>
      <c r="C17" s="1" t="s">
        <v>11</v>
      </c>
      <c r="D17" s="238" t="s">
        <v>35</v>
      </c>
      <c r="E17" s="238" t="s">
        <v>36</v>
      </c>
      <c r="F17" s="238" t="s">
        <v>37</v>
      </c>
      <c r="G17" s="238" t="s">
        <v>15</v>
      </c>
      <c r="H17" s="238" t="s">
        <v>16</v>
      </c>
      <c r="I17" s="238" t="s">
        <v>0</v>
      </c>
      <c r="J17" s="238" t="s">
        <v>1</v>
      </c>
      <c r="K17" s="238" t="s">
        <v>2</v>
      </c>
      <c r="L17" s="238" t="s">
        <v>3</v>
      </c>
      <c r="M17" s="238" t="s">
        <v>4</v>
      </c>
      <c r="N17" s="238" t="s">
        <v>5</v>
      </c>
      <c r="O17" s="238" t="s">
        <v>6</v>
      </c>
      <c r="P17" s="238" t="s">
        <v>7</v>
      </c>
      <c r="Q17" s="238" t="s">
        <v>8</v>
      </c>
      <c r="R17" s="238" t="s">
        <v>9</v>
      </c>
    </row>
    <row r="18" spans="1:18">
      <c r="A18" s="234" t="s">
        <v>332</v>
      </c>
      <c r="B18" s="63" t="s">
        <v>40</v>
      </c>
      <c r="C18" t="s">
        <v>52</v>
      </c>
      <c r="D18" s="236">
        <f>RAB!D398</f>
        <v>0</v>
      </c>
      <c r="E18" s="236">
        <f>RAB!E398</f>
        <v>0</v>
      </c>
      <c r="F18" s="236">
        <f>RAB!F398</f>
        <v>0</v>
      </c>
      <c r="G18" s="236">
        <f>RAB!G398</f>
        <v>0</v>
      </c>
      <c r="H18" s="236">
        <f>RAB!H398</f>
        <v>0</v>
      </c>
      <c r="I18" s="236">
        <f>RAB!I398</f>
        <v>1550.8165819319515</v>
      </c>
      <c r="J18" s="236">
        <f>RAB!J398</f>
        <v>3426.0607013517019</v>
      </c>
      <c r="K18" s="236">
        <f>RAB!K398</f>
        <v>6280.930854760084</v>
      </c>
      <c r="L18" s="236">
        <f>RAB!L398</f>
        <v>8351.7178275710266</v>
      </c>
      <c r="M18" s="236">
        <f>RAB!M398</f>
        <v>9864.2560467844633</v>
      </c>
      <c r="N18" s="236">
        <f>RAB!N398</f>
        <v>12467.583694612002</v>
      </c>
      <c r="O18" s="236">
        <f>RAB!O398</f>
        <v>17078.424138714065</v>
      </c>
      <c r="P18" s="236">
        <f>RAB!P398</f>
        <v>20630.137466857319</v>
      </c>
      <c r="Q18" s="236">
        <f>RAB!Q398</f>
        <v>22776.577193676407</v>
      </c>
      <c r="R18" s="236">
        <f>RAB!R398</f>
        <v>16740.883382362914</v>
      </c>
    </row>
    <row r="19" spans="1:18">
      <c r="A19" s="234" t="s">
        <v>60</v>
      </c>
      <c r="B19" s="63" t="s">
        <v>40</v>
      </c>
      <c r="C19" t="s">
        <v>52</v>
      </c>
      <c r="D19" s="236">
        <f>RAB!D399</f>
        <v>0</v>
      </c>
      <c r="E19" s="236">
        <f>RAB!E399</f>
        <v>0</v>
      </c>
      <c r="F19" s="236">
        <f>RAB!F399</f>
        <v>0</v>
      </c>
      <c r="G19" s="236">
        <f>RAB!G399</f>
        <v>0</v>
      </c>
      <c r="H19" s="236">
        <f>RAB!H399</f>
        <v>1530.6452874462261</v>
      </c>
      <c r="I19" s="236">
        <f>RAB!I399</f>
        <v>1758.7631199650732</v>
      </c>
      <c r="J19" s="236">
        <f>RAB!J399</f>
        <v>2650.520955059018</v>
      </c>
      <c r="K19" s="236">
        <f>RAB!K399</f>
        <v>1824.4663567999996</v>
      </c>
      <c r="L19" s="236">
        <f>RAB!L399</f>
        <v>1364.203541818182</v>
      </c>
      <c r="M19" s="236">
        <f>RAB!M399</f>
        <v>3509.389162896683</v>
      </c>
      <c r="N19" s="236">
        <f>RAB!N399</f>
        <v>5221.9557886868288</v>
      </c>
      <c r="O19" s="236">
        <f>RAB!O399</f>
        <v>4189.4609443503114</v>
      </c>
      <c r="P19" s="236">
        <f>RAB!P399</f>
        <v>3532.914425530581</v>
      </c>
      <c r="Q19" s="236">
        <f>RAB!Q399</f>
        <v>3040.5215655960101</v>
      </c>
      <c r="R19" s="236">
        <f>RAB!R399</f>
        <v>2394.6668504451759</v>
      </c>
    </row>
    <row r="20" spans="1:18">
      <c r="A20" s="234" t="s">
        <v>64</v>
      </c>
      <c r="B20" s="63" t="s">
        <v>40</v>
      </c>
      <c r="C20" t="s">
        <v>52</v>
      </c>
      <c r="D20" s="236">
        <f>RAB!D400</f>
        <v>0</v>
      </c>
      <c r="E20" s="236">
        <f>RAB!E400</f>
        <v>0</v>
      </c>
      <c r="F20" s="236">
        <f>RAB!F400</f>
        <v>0</v>
      </c>
      <c r="G20" s="236">
        <f>RAB!G400</f>
        <v>0</v>
      </c>
      <c r="H20" s="236">
        <f>RAB!H400</f>
        <v>0</v>
      </c>
      <c r="I20" s="236">
        <f>RAB!I400</f>
        <v>0</v>
      </c>
      <c r="J20" s="236">
        <f>RAB!J400</f>
        <v>0</v>
      </c>
      <c r="K20" s="236">
        <f>RAB!K400</f>
        <v>0</v>
      </c>
      <c r="L20" s="236">
        <f>RAB!L400</f>
        <v>0</v>
      </c>
      <c r="M20" s="236">
        <f>RAB!M400</f>
        <v>828.76868702290096</v>
      </c>
      <c r="N20" s="236">
        <f>RAB!N400</f>
        <v>945.98640612817621</v>
      </c>
      <c r="O20" s="236">
        <f>RAB!O400</f>
        <v>1042.2601155572008</v>
      </c>
      <c r="P20" s="236">
        <f>RAB!P400</f>
        <v>1833.0742515286784</v>
      </c>
      <c r="Q20" s="236">
        <f>RAB!Q400</f>
        <v>9404.4679922499545</v>
      </c>
      <c r="R20" s="236">
        <f>RAB!R400</f>
        <v>10040.317594951888</v>
      </c>
    </row>
    <row r="21" spans="1:18">
      <c r="A21" s="234" t="s">
        <v>246</v>
      </c>
      <c r="B21" s="63" t="s">
        <v>40</v>
      </c>
      <c r="C21" t="s">
        <v>52</v>
      </c>
      <c r="D21" s="236">
        <f>RAB!D401</f>
        <v>0</v>
      </c>
      <c r="E21" s="236">
        <f>RAB!E401</f>
        <v>0</v>
      </c>
      <c r="F21" s="236">
        <f>RAB!F401</f>
        <v>0</v>
      </c>
      <c r="G21" s="236">
        <f>RAB!G401</f>
        <v>0</v>
      </c>
      <c r="H21" s="236">
        <f>RAB!H401</f>
        <v>0</v>
      </c>
      <c r="I21" s="236">
        <f>RAB!I401</f>
        <v>0</v>
      </c>
      <c r="J21" s="236">
        <f>RAB!J401</f>
        <v>0</v>
      </c>
      <c r="K21" s="236">
        <f>RAB!K401</f>
        <v>0</v>
      </c>
      <c r="L21" s="236">
        <f>RAB!L401</f>
        <v>0</v>
      </c>
      <c r="M21" s="236">
        <f>RAB!M401</f>
        <v>321.75525343079295</v>
      </c>
      <c r="N21" s="236">
        <f>RAB!N401</f>
        <v>0</v>
      </c>
      <c r="O21" s="236">
        <f>RAB!O401</f>
        <v>0</v>
      </c>
      <c r="P21" s="236">
        <f>RAB!P401</f>
        <v>0</v>
      </c>
      <c r="Q21" s="236">
        <f>RAB!Q401</f>
        <v>0</v>
      </c>
      <c r="R21" s="236">
        <f>RAB!R401</f>
        <v>0</v>
      </c>
    </row>
    <row r="22" spans="1:18">
      <c r="A22" s="234" t="s">
        <v>333</v>
      </c>
      <c r="B22" s="63" t="s">
        <v>40</v>
      </c>
      <c r="C22" t="s">
        <v>52</v>
      </c>
      <c r="D22" s="236">
        <f>RAB!D402</f>
        <v>0</v>
      </c>
      <c r="E22" s="236">
        <f>RAB!E402</f>
        <v>0</v>
      </c>
      <c r="F22" s="236">
        <f>RAB!F402</f>
        <v>0</v>
      </c>
      <c r="G22" s="236">
        <f>RAB!G402</f>
        <v>0</v>
      </c>
      <c r="H22" s="236">
        <f>RAB!H402</f>
        <v>1530.6452874462261</v>
      </c>
      <c r="I22" s="236">
        <f>RAB!I402</f>
        <v>3309.5797018970247</v>
      </c>
      <c r="J22" s="236">
        <f>RAB!J402</f>
        <v>6076.5816564107208</v>
      </c>
      <c r="K22" s="236">
        <f>RAB!K402</f>
        <v>8105.3972115600836</v>
      </c>
      <c r="L22" s="236">
        <f>RAB!L402</f>
        <v>9715.921369389207</v>
      </c>
      <c r="M22" s="236">
        <f>RAB!M402</f>
        <v>12223.121269227451</v>
      </c>
      <c r="N22" s="236">
        <f>RAB!N402</f>
        <v>16743.553077170654</v>
      </c>
      <c r="O22" s="236">
        <f>RAB!O402</f>
        <v>20225.624967507178</v>
      </c>
      <c r="P22" s="236">
        <f>RAB!P402</f>
        <v>22329.977640859222</v>
      </c>
      <c r="Q22" s="236">
        <f>RAB!Q402</f>
        <v>16412.630767022463</v>
      </c>
      <c r="R22" s="236">
        <f>RAB!R402</f>
        <v>9095.2326378562047</v>
      </c>
    </row>
    <row r="23" spans="1:18">
      <c r="A23" s="234" t="s">
        <v>237</v>
      </c>
      <c r="B23" s="63" t="s">
        <v>40</v>
      </c>
      <c r="C23" t="s">
        <v>52</v>
      </c>
      <c r="D23" s="236">
        <f>RAB!D403</f>
        <v>0</v>
      </c>
      <c r="E23" s="236">
        <f>RAB!E403</f>
        <v>0</v>
      </c>
      <c r="F23" s="236">
        <f>RAB!F403</f>
        <v>0</v>
      </c>
      <c r="G23" s="236">
        <f>RAB!G403</f>
        <v>0</v>
      </c>
      <c r="H23" s="236">
        <f>RAB!H403</f>
        <v>765.32264372311306</v>
      </c>
      <c r="I23" s="236">
        <f>RAB!I403</f>
        <v>2430.1981419144881</v>
      </c>
      <c r="J23" s="236">
        <f>RAB!J403</f>
        <v>4751.3211788812105</v>
      </c>
      <c r="K23" s="236">
        <f>RAB!K403</f>
        <v>7193.1640331600838</v>
      </c>
      <c r="L23" s="236">
        <f>RAB!L403</f>
        <v>9033.8195984801168</v>
      </c>
      <c r="M23" s="236">
        <f>RAB!M403</f>
        <v>11043.688658005958</v>
      </c>
      <c r="N23" s="236">
        <f>RAB!N403</f>
        <v>14605.568385891327</v>
      </c>
      <c r="O23" s="236">
        <f>RAB!O403</f>
        <v>18652.024553110619</v>
      </c>
      <c r="P23" s="236">
        <f>RAB!P403</f>
        <v>21480.057553858271</v>
      </c>
      <c r="Q23" s="236">
        <f>RAB!Q403</f>
        <v>19594.603980349431</v>
      </c>
      <c r="R23" s="236">
        <f>RAB!R403</f>
        <v>12918.05801010956</v>
      </c>
    </row>
    <row r="24" spans="1:18">
      <c r="A24" s="63"/>
      <c r="B24" s="63"/>
      <c r="C24" s="63"/>
      <c r="D24" s="63"/>
      <c r="E24" s="63"/>
      <c r="F24" s="63"/>
      <c r="G24" s="63"/>
      <c r="H24" s="63"/>
      <c r="I24" s="63"/>
      <c r="J24" s="63"/>
      <c r="K24" s="63"/>
      <c r="L24" s="63"/>
      <c r="M24" s="63"/>
      <c r="N24" s="63"/>
      <c r="O24" s="63"/>
      <c r="P24" s="63"/>
      <c r="Q24" s="63"/>
      <c r="R24" s="63"/>
    </row>
    <row r="25" spans="1:18">
      <c r="A25" s="65" t="s">
        <v>345</v>
      </c>
      <c r="B25" s="1" t="s">
        <v>10</v>
      </c>
      <c r="C25" s="1" t="s">
        <v>11</v>
      </c>
      <c r="D25" s="238" t="s">
        <v>35</v>
      </c>
      <c r="E25" s="238" t="s">
        <v>36</v>
      </c>
      <c r="F25" s="238" t="s">
        <v>37</v>
      </c>
      <c r="G25" s="238" t="s">
        <v>15</v>
      </c>
      <c r="H25" s="238" t="s">
        <v>16</v>
      </c>
      <c r="I25" s="238" t="s">
        <v>0</v>
      </c>
      <c r="J25" s="238" t="s">
        <v>1</v>
      </c>
      <c r="K25" s="238" t="s">
        <v>2</v>
      </c>
      <c r="L25" s="238" t="s">
        <v>3</v>
      </c>
      <c r="M25" s="238" t="s">
        <v>4</v>
      </c>
      <c r="N25" s="238" t="s">
        <v>5</v>
      </c>
      <c r="O25" s="238" t="s">
        <v>6</v>
      </c>
      <c r="P25" s="238" t="s">
        <v>7</v>
      </c>
      <c r="Q25" s="238" t="s">
        <v>8</v>
      </c>
      <c r="R25" s="238" t="s">
        <v>9</v>
      </c>
    </row>
    <row r="26" spans="1:18">
      <c r="A26" s="234" t="s">
        <v>332</v>
      </c>
      <c r="B26" s="63" t="s">
        <v>40</v>
      </c>
      <c r="C26" t="s">
        <v>52</v>
      </c>
      <c r="D26" s="236">
        <f>RAB!D406</f>
        <v>0</v>
      </c>
      <c r="E26" s="236">
        <f>RAB!E406</f>
        <v>0</v>
      </c>
      <c r="F26" s="236">
        <f>RAB!F406</f>
        <v>0</v>
      </c>
      <c r="G26" s="236">
        <f>RAB!G406</f>
        <v>0</v>
      </c>
      <c r="H26" s="236">
        <f>RAB!H406</f>
        <v>0</v>
      </c>
      <c r="I26" s="236">
        <f>RAB!I406</f>
        <v>0</v>
      </c>
      <c r="J26" s="236">
        <f>RAB!J406</f>
        <v>0</v>
      </c>
      <c r="K26" s="236">
        <f>RAB!K406</f>
        <v>0</v>
      </c>
      <c r="L26" s="236">
        <f>RAB!L406</f>
        <v>0</v>
      </c>
      <c r="M26" s="236">
        <f>RAB!M406</f>
        <v>0</v>
      </c>
      <c r="N26" s="236">
        <f>RAB!N406</f>
        <v>21206.323066947203</v>
      </c>
      <c r="O26" s="236">
        <f>RAB!O406</f>
        <v>16420.16580742352</v>
      </c>
      <c r="P26" s="236">
        <f>RAB!P406</f>
        <v>11343.620976003174</v>
      </c>
      <c r="Q26" s="236">
        <f>RAB!Q406</f>
        <v>6002.7320898665375</v>
      </c>
      <c r="R26" s="236">
        <f>RAB!R406</f>
        <v>388.31941301176903</v>
      </c>
    </row>
    <row r="27" spans="1:18">
      <c r="A27" s="234" t="s">
        <v>60</v>
      </c>
      <c r="B27" s="63" t="s">
        <v>40</v>
      </c>
      <c r="C27" t="s">
        <v>52</v>
      </c>
      <c r="D27" s="236">
        <f>RAB!D407</f>
        <v>0</v>
      </c>
      <c r="E27" s="236">
        <f>RAB!E407</f>
        <v>0</v>
      </c>
      <c r="F27" s="236">
        <f>RAB!F407</f>
        <v>0</v>
      </c>
      <c r="G27" s="236">
        <f>RAB!G407</f>
        <v>0</v>
      </c>
      <c r="H27" s="236">
        <f>RAB!H407</f>
        <v>0</v>
      </c>
      <c r="I27" s="236">
        <f>RAB!I407</f>
        <v>0</v>
      </c>
      <c r="J27" s="236">
        <f>RAB!J407</f>
        <v>0</v>
      </c>
      <c r="K27" s="236">
        <f>RAB!K407</f>
        <v>0</v>
      </c>
      <c r="L27" s="236">
        <f>RAB!L407</f>
        <v>0</v>
      </c>
      <c r="M27" s="236">
        <f>RAB!M407</f>
        <v>25988.141013415687</v>
      </c>
      <c r="N27" s="236">
        <f>RAB!N407</f>
        <v>241.82433971680504</v>
      </c>
      <c r="O27" s="236">
        <f>RAB!O407</f>
        <v>197.46971905934265</v>
      </c>
      <c r="P27" s="236">
        <f>RAB!P407</f>
        <v>184.72218207454949</v>
      </c>
      <c r="Q27" s="236">
        <f>RAB!Q407</f>
        <v>167.68893547560816</v>
      </c>
      <c r="R27" s="236">
        <f>RAB!R407</f>
        <v>162.93324535266794</v>
      </c>
    </row>
    <row r="28" spans="1:18">
      <c r="A28" s="234" t="s">
        <v>61</v>
      </c>
      <c r="B28" s="63" t="s">
        <v>40</v>
      </c>
      <c r="C28" t="s">
        <v>52</v>
      </c>
      <c r="D28" s="236">
        <f>RAB!D408</f>
        <v>0</v>
      </c>
      <c r="E28" s="236">
        <f>RAB!E408</f>
        <v>0</v>
      </c>
      <c r="F28" s="236">
        <f>RAB!F408</f>
        <v>0</v>
      </c>
      <c r="G28" s="236">
        <f>RAB!G408</f>
        <v>0</v>
      </c>
      <c r="H28" s="236">
        <f>RAB!H408</f>
        <v>0</v>
      </c>
      <c r="I28" s="236">
        <f>RAB!I408</f>
        <v>0</v>
      </c>
      <c r="J28" s="236">
        <f>RAB!J408</f>
        <v>0</v>
      </c>
      <c r="K28" s="236">
        <f>RAB!K408</f>
        <v>0</v>
      </c>
      <c r="L28" s="236">
        <f>RAB!L408</f>
        <v>0</v>
      </c>
      <c r="M28" s="236">
        <f>RAB!M408</f>
        <v>5197.6282026831377</v>
      </c>
      <c r="N28" s="236">
        <f>RAB!N408</f>
        <v>5349.9456346801617</v>
      </c>
      <c r="O28" s="236">
        <f>RAB!O408</f>
        <v>5496.4384911856341</v>
      </c>
      <c r="P28" s="236">
        <f>RAB!P408</f>
        <v>5643.3116974242557</v>
      </c>
      <c r="Q28" s="236">
        <f>RAB!Q408</f>
        <v>5789.7157184678617</v>
      </c>
      <c r="R28" s="236">
        <f>RAB!R408</f>
        <v>199.49516115438232</v>
      </c>
    </row>
    <row r="29" spans="1:18">
      <c r="A29" s="234" t="s">
        <v>333</v>
      </c>
      <c r="B29" s="63" t="s">
        <v>40</v>
      </c>
      <c r="C29" t="s">
        <v>52</v>
      </c>
      <c r="D29" s="236">
        <f>RAB!D409</f>
        <v>0</v>
      </c>
      <c r="E29" s="236">
        <f>RAB!E409</f>
        <v>0</v>
      </c>
      <c r="F29" s="236">
        <f>RAB!F409</f>
        <v>0</v>
      </c>
      <c r="G29" s="236">
        <f>RAB!G409</f>
        <v>0</v>
      </c>
      <c r="H29" s="236">
        <f>RAB!H409</f>
        <v>0</v>
      </c>
      <c r="I29" s="236">
        <f>RAB!I409</f>
        <v>0</v>
      </c>
      <c r="J29" s="236">
        <f>RAB!J409</f>
        <v>0</v>
      </c>
      <c r="K29" s="236">
        <f>RAB!K409</f>
        <v>0</v>
      </c>
      <c r="L29" s="236">
        <f>RAB!L409</f>
        <v>0</v>
      </c>
      <c r="M29" s="236">
        <f>RAB!M409</f>
        <v>20790.512810732551</v>
      </c>
      <c r="N29" s="236">
        <f>RAB!N409</f>
        <v>16098.201771983844</v>
      </c>
      <c r="O29" s="236">
        <f>RAB!O409</f>
        <v>11121.197035297231</v>
      </c>
      <c r="P29" s="236">
        <f>RAB!P409</f>
        <v>5885.0314606534685</v>
      </c>
      <c r="Q29" s="236">
        <f>RAB!Q409</f>
        <v>380.70530687428334</v>
      </c>
      <c r="R29" s="236">
        <f>RAB!R409</f>
        <v>351.75749721005474</v>
      </c>
    </row>
    <row r="30" spans="1:18">
      <c r="A30" s="234" t="s">
        <v>237</v>
      </c>
      <c r="B30" s="63" t="s">
        <v>40</v>
      </c>
      <c r="C30" t="s">
        <v>52</v>
      </c>
      <c r="D30" s="236">
        <f>RAB!D410</f>
        <v>0</v>
      </c>
      <c r="E30" s="236">
        <f>RAB!E410</f>
        <v>0</v>
      </c>
      <c r="F30" s="236">
        <f>RAB!F410</f>
        <v>0</v>
      </c>
      <c r="G30" s="236">
        <f>RAB!G410</f>
        <v>0</v>
      </c>
      <c r="H30" s="236">
        <f>RAB!H410</f>
        <v>0</v>
      </c>
      <c r="I30" s="236">
        <f>RAB!I410</f>
        <v>0</v>
      </c>
      <c r="J30" s="236">
        <f>RAB!J410</f>
        <v>0</v>
      </c>
      <c r="K30" s="236">
        <f>RAB!K410</f>
        <v>0</v>
      </c>
      <c r="L30" s="236">
        <f>RAB!L410</f>
        <v>0</v>
      </c>
      <c r="M30" s="236">
        <f>RAB!M410</f>
        <v>10395.256405366275</v>
      </c>
      <c r="N30" s="236">
        <f>RAB!N410</f>
        <v>18652.262419465522</v>
      </c>
      <c r="O30" s="236">
        <f>RAB!O410</f>
        <v>13770.681421360376</v>
      </c>
      <c r="P30" s="236">
        <f>RAB!P410</f>
        <v>8614.3262183283223</v>
      </c>
      <c r="Q30" s="236">
        <f>RAB!Q410</f>
        <v>3191.71869837041</v>
      </c>
      <c r="R30" s="236">
        <f>RAB!R410</f>
        <v>370.03845511091191</v>
      </c>
    </row>
    <row r="31" spans="1:18" s="299" customFormat="1">
      <c r="A31" s="234"/>
      <c r="B31" s="300"/>
      <c r="D31" s="236"/>
      <c r="E31" s="236"/>
      <c r="F31" s="236"/>
      <c r="G31" s="236"/>
      <c r="H31" s="236"/>
      <c r="I31" s="236"/>
      <c r="J31" s="236"/>
      <c r="K31" s="236"/>
      <c r="L31" s="236"/>
      <c r="M31" s="236"/>
      <c r="N31" s="236"/>
      <c r="O31" s="236"/>
      <c r="P31" s="236"/>
      <c r="Q31" s="236"/>
      <c r="R31" s="236"/>
    </row>
    <row r="32" spans="1:18" s="299" customFormat="1">
      <c r="A32" s="65" t="s">
        <v>802</v>
      </c>
      <c r="B32" s="1" t="s">
        <v>10</v>
      </c>
      <c r="C32" s="1" t="s">
        <v>11</v>
      </c>
      <c r="D32" s="238" t="s">
        <v>35</v>
      </c>
      <c r="E32" s="238" t="s">
        <v>36</v>
      </c>
      <c r="F32" s="238" t="s">
        <v>37</v>
      </c>
      <c r="G32" s="238" t="s">
        <v>15</v>
      </c>
      <c r="H32" s="238" t="s">
        <v>16</v>
      </c>
      <c r="I32" s="238" t="s">
        <v>0</v>
      </c>
      <c r="J32" s="238" t="s">
        <v>1</v>
      </c>
      <c r="K32" s="238" t="s">
        <v>2</v>
      </c>
      <c r="L32" s="238" t="s">
        <v>3</v>
      </c>
      <c r="M32" s="238" t="s">
        <v>4</v>
      </c>
      <c r="N32" s="238" t="s">
        <v>5</v>
      </c>
      <c r="O32" s="238" t="s">
        <v>6</v>
      </c>
      <c r="P32" s="238" t="s">
        <v>7</v>
      </c>
      <c r="Q32" s="238" t="s">
        <v>8</v>
      </c>
      <c r="R32" s="238" t="s">
        <v>9</v>
      </c>
    </row>
    <row r="33" spans="1:18" s="299" customFormat="1">
      <c r="A33" s="300" t="s">
        <v>332</v>
      </c>
      <c r="B33" s="300" t="s">
        <v>40</v>
      </c>
      <c r="C33" s="299" t="s">
        <v>52</v>
      </c>
      <c r="D33" s="236">
        <f>RAB!D413</f>
        <v>0</v>
      </c>
      <c r="E33" s="236">
        <f>RAB!E413</f>
        <v>0</v>
      </c>
      <c r="F33" s="236">
        <f>RAB!F413</f>
        <v>0</v>
      </c>
      <c r="G33" s="236">
        <f>RAB!G413</f>
        <v>0</v>
      </c>
      <c r="H33" s="236">
        <f>RAB!H413</f>
        <v>0</v>
      </c>
      <c r="I33" s="236">
        <f>RAB!I413</f>
        <v>0</v>
      </c>
      <c r="J33" s="236">
        <f>RAB!J413</f>
        <v>0</v>
      </c>
      <c r="K33" s="236">
        <f>RAB!K413</f>
        <v>0</v>
      </c>
      <c r="L33" s="236">
        <f>RAB!L413</f>
        <v>1916.0735236605399</v>
      </c>
      <c r="M33" s="236">
        <f>RAB!M413</f>
        <v>972.66327727806038</v>
      </c>
      <c r="N33" s="236">
        <f>RAB!N413</f>
        <v>0</v>
      </c>
      <c r="O33" s="236">
        <f>RAB!O413</f>
        <v>0</v>
      </c>
      <c r="P33" s="236">
        <f>RAB!P413</f>
        <v>0</v>
      </c>
      <c r="Q33" s="236">
        <f>RAB!Q413</f>
        <v>0</v>
      </c>
      <c r="R33" s="236">
        <f>RAB!R413</f>
        <v>0</v>
      </c>
    </row>
    <row r="34" spans="1:18" s="299" customFormat="1">
      <c r="A34" s="300" t="s">
        <v>60</v>
      </c>
      <c r="B34" s="300" t="s">
        <v>40</v>
      </c>
      <c r="C34" s="299" t="s">
        <v>52</v>
      </c>
      <c r="D34" s="236">
        <f>RAB!D414</f>
        <v>0</v>
      </c>
      <c r="E34" s="236">
        <f>RAB!E414</f>
        <v>0</v>
      </c>
      <c r="F34" s="236">
        <f>RAB!F414</f>
        <v>0</v>
      </c>
      <c r="G34" s="236">
        <f>RAB!G414</f>
        <v>0</v>
      </c>
      <c r="H34" s="236">
        <f>RAB!H414</f>
        <v>0</v>
      </c>
      <c r="I34" s="236">
        <f>RAB!I414</f>
        <v>0</v>
      </c>
      <c r="J34" s="236">
        <f>RAB!J414</f>
        <v>0</v>
      </c>
      <c r="K34" s="236">
        <f>RAB!K414</f>
        <v>0</v>
      </c>
      <c r="L34" s="236">
        <f>RAB!L414</f>
        <v>0</v>
      </c>
      <c r="M34" s="236">
        <f>RAB!M414</f>
        <v>0</v>
      </c>
      <c r="N34" s="236">
        <f>RAB!N414</f>
        <v>0</v>
      </c>
      <c r="O34" s="236">
        <f>RAB!O414</f>
        <v>0</v>
      </c>
      <c r="P34" s="236">
        <f>RAB!P414</f>
        <v>0</v>
      </c>
      <c r="Q34" s="236">
        <f>RAB!Q414</f>
        <v>0</v>
      </c>
      <c r="R34" s="236">
        <f>RAB!R414</f>
        <v>0</v>
      </c>
    </row>
    <row r="35" spans="1:18" s="299" customFormat="1">
      <c r="A35" s="300" t="s">
        <v>61</v>
      </c>
      <c r="B35" s="300" t="s">
        <v>40</v>
      </c>
      <c r="C35" s="299" t="s">
        <v>52</v>
      </c>
      <c r="D35" s="236">
        <f>RAB!D415</f>
        <v>0</v>
      </c>
      <c r="E35" s="236">
        <f>RAB!E415</f>
        <v>0</v>
      </c>
      <c r="F35" s="236">
        <f>RAB!F415</f>
        <v>0</v>
      </c>
      <c r="G35" s="236">
        <f>RAB!G415</f>
        <v>0</v>
      </c>
      <c r="H35" s="236">
        <f>RAB!H415</f>
        <v>0</v>
      </c>
      <c r="I35" s="236">
        <f>RAB!I415</f>
        <v>0</v>
      </c>
      <c r="J35" s="236">
        <f>RAB!J415</f>
        <v>0</v>
      </c>
      <c r="K35" s="236">
        <f>RAB!K415</f>
        <v>0</v>
      </c>
      <c r="L35" s="236">
        <f>RAB!L415</f>
        <v>958.03676183026994</v>
      </c>
      <c r="M35" s="236">
        <f>RAB!M415</f>
        <v>972.66327727806038</v>
      </c>
      <c r="N35" s="236">
        <f>RAB!N415</f>
        <v>0</v>
      </c>
      <c r="O35" s="236">
        <f>RAB!O415</f>
        <v>0</v>
      </c>
      <c r="P35" s="236">
        <f>RAB!P415</f>
        <v>0</v>
      </c>
      <c r="Q35" s="236">
        <f>RAB!Q415</f>
        <v>0</v>
      </c>
      <c r="R35" s="236">
        <f>RAB!R415</f>
        <v>0</v>
      </c>
    </row>
    <row r="36" spans="1:18" s="299" customFormat="1">
      <c r="A36" s="300" t="s">
        <v>333</v>
      </c>
      <c r="B36" s="300" t="s">
        <v>40</v>
      </c>
      <c r="C36" s="299" t="s">
        <v>52</v>
      </c>
      <c r="D36" s="236">
        <f>RAB!D416</f>
        <v>0</v>
      </c>
      <c r="E36" s="236">
        <f>RAB!E416</f>
        <v>0</v>
      </c>
      <c r="F36" s="236">
        <f>RAB!F416</f>
        <v>0</v>
      </c>
      <c r="G36" s="236">
        <f>RAB!G416</f>
        <v>0</v>
      </c>
      <c r="H36" s="236">
        <f>RAB!H416</f>
        <v>0</v>
      </c>
      <c r="I36" s="236">
        <f>RAB!I416</f>
        <v>0</v>
      </c>
      <c r="J36" s="236">
        <f>RAB!J416</f>
        <v>0</v>
      </c>
      <c r="K36" s="236">
        <f>RAB!K416</f>
        <v>0</v>
      </c>
      <c r="L36" s="236">
        <f>RAB!L416</f>
        <v>958.03676183026994</v>
      </c>
      <c r="M36" s="236">
        <f>RAB!M416</f>
        <v>0</v>
      </c>
      <c r="N36" s="236">
        <f>RAB!N416</f>
        <v>0</v>
      </c>
      <c r="O36" s="236">
        <f>RAB!O416</f>
        <v>0</v>
      </c>
      <c r="P36" s="236">
        <f>RAB!P416</f>
        <v>0</v>
      </c>
      <c r="Q36" s="236">
        <f>RAB!Q416</f>
        <v>0</v>
      </c>
      <c r="R36" s="236">
        <f>RAB!R416</f>
        <v>0</v>
      </c>
    </row>
    <row r="37" spans="1:18" s="299" customFormat="1">
      <c r="A37" s="300" t="s">
        <v>237</v>
      </c>
      <c r="B37" s="300" t="s">
        <v>40</v>
      </c>
      <c r="C37" s="299" t="s">
        <v>52</v>
      </c>
      <c r="D37" s="236">
        <f>RAB!D417</f>
        <v>0</v>
      </c>
      <c r="E37" s="236">
        <f>RAB!E417</f>
        <v>0</v>
      </c>
      <c r="F37" s="236">
        <f>RAB!F417</f>
        <v>0</v>
      </c>
      <c r="G37" s="236">
        <f>RAB!G417</f>
        <v>0</v>
      </c>
      <c r="H37" s="236">
        <f>RAB!H417</f>
        <v>0</v>
      </c>
      <c r="I37" s="236">
        <f>RAB!I417</f>
        <v>0</v>
      </c>
      <c r="J37" s="236">
        <f>RAB!J417</f>
        <v>0</v>
      </c>
      <c r="K37" s="236">
        <f>RAB!K417</f>
        <v>0</v>
      </c>
      <c r="L37" s="236">
        <f>RAB!L417</f>
        <v>1437.0551427454047</v>
      </c>
      <c r="M37" s="236">
        <f>RAB!M417</f>
        <v>486.33163863903019</v>
      </c>
      <c r="N37" s="236">
        <f>RAB!N417</f>
        <v>0</v>
      </c>
      <c r="O37" s="236">
        <f>RAB!O417</f>
        <v>0</v>
      </c>
      <c r="P37" s="236">
        <f>RAB!P417</f>
        <v>0</v>
      </c>
      <c r="Q37" s="236">
        <f>RAB!Q417</f>
        <v>0</v>
      </c>
      <c r="R37" s="236">
        <f>RAB!R417</f>
        <v>0</v>
      </c>
    </row>
    <row r="38" spans="1:18" s="299" customFormat="1">
      <c r="A38" s="234"/>
      <c r="B38" s="300"/>
      <c r="D38" s="236"/>
      <c r="E38" s="236"/>
      <c r="F38" s="236"/>
      <c r="G38" s="236"/>
      <c r="H38" s="236"/>
      <c r="I38" s="236"/>
      <c r="J38" s="236"/>
      <c r="K38" s="236"/>
      <c r="L38" s="236"/>
      <c r="M38" s="236"/>
      <c r="N38" s="236"/>
      <c r="O38" s="236"/>
      <c r="P38" s="236"/>
      <c r="Q38" s="236"/>
      <c r="R38" s="236"/>
    </row>
    <row r="39" spans="1:18" s="299" customFormat="1">
      <c r="A39" s="234"/>
      <c r="B39" s="300"/>
      <c r="D39" s="236"/>
      <c r="E39" s="236"/>
      <c r="F39" s="236"/>
      <c r="G39" s="236"/>
      <c r="H39" s="236"/>
      <c r="I39" s="236"/>
      <c r="J39" s="236"/>
      <c r="K39" s="236"/>
      <c r="L39" s="236"/>
      <c r="M39" s="236"/>
      <c r="N39" s="236"/>
      <c r="O39" s="236"/>
      <c r="P39" s="236"/>
      <c r="Q39" s="236"/>
      <c r="R39" s="236"/>
    </row>
    <row r="40" spans="1:18">
      <c r="A40" s="65" t="s">
        <v>417</v>
      </c>
      <c r="B40" s="1" t="s">
        <v>10</v>
      </c>
      <c r="C40" s="1" t="s">
        <v>11</v>
      </c>
      <c r="D40" s="238" t="s">
        <v>35</v>
      </c>
      <c r="E40" s="238" t="s">
        <v>36</v>
      </c>
      <c r="F40" s="238" t="s">
        <v>37</v>
      </c>
      <c r="G40" s="238" t="s">
        <v>15</v>
      </c>
      <c r="H40" s="238" t="s">
        <v>16</v>
      </c>
      <c r="I40" s="238" t="s">
        <v>0</v>
      </c>
      <c r="J40" s="238" t="s">
        <v>1</v>
      </c>
      <c r="K40" s="238" t="s">
        <v>2</v>
      </c>
      <c r="L40" s="238" t="s">
        <v>3</v>
      </c>
      <c r="M40" s="238" t="s">
        <v>4</v>
      </c>
      <c r="N40" s="238" t="s">
        <v>5</v>
      </c>
      <c r="O40" s="238" t="s">
        <v>6</v>
      </c>
      <c r="P40" s="238" t="s">
        <v>7</v>
      </c>
      <c r="Q40" s="238" t="s">
        <v>8</v>
      </c>
      <c r="R40" s="238" t="s">
        <v>9</v>
      </c>
    </row>
    <row r="41" spans="1:18">
      <c r="A41" s="234" t="s">
        <v>332</v>
      </c>
      <c r="B41" s="63" t="s">
        <v>40</v>
      </c>
      <c r="C41" t="s">
        <v>52</v>
      </c>
      <c r="D41" s="266">
        <f>D4+D11+D18+D26+D33</f>
        <v>18916.576112074305</v>
      </c>
      <c r="E41" s="266">
        <f t="shared" ref="E41:R41" si="0">E4+E11+E18+E26+E33</f>
        <v>18542.521837587261</v>
      </c>
      <c r="F41" s="266">
        <f t="shared" si="0"/>
        <v>18162.309628286301</v>
      </c>
      <c r="G41" s="266">
        <f t="shared" si="0"/>
        <v>15004.777886690661</v>
      </c>
      <c r="H41" s="266">
        <f t="shared" si="0"/>
        <v>12700.561103870159</v>
      </c>
      <c r="I41" s="266">
        <f t="shared" si="0"/>
        <v>10622.382932505057</v>
      </c>
      <c r="J41" s="266">
        <f t="shared" si="0"/>
        <v>11228.117082217021</v>
      </c>
      <c r="K41" s="266">
        <f t="shared" si="0"/>
        <v>13670.786183561995</v>
      </c>
      <c r="L41" s="266">
        <f t="shared" si="0"/>
        <v>17072.637523554946</v>
      </c>
      <c r="M41" s="266">
        <f t="shared" si="0"/>
        <v>17455.856882938489</v>
      </c>
      <c r="N41" s="266">
        <f t="shared" si="0"/>
        <v>40944.61483145041</v>
      </c>
      <c r="O41" s="266">
        <f t="shared" si="0"/>
        <v>43341.20833081333</v>
      </c>
      <c r="P41" s="266">
        <f t="shared" si="0"/>
        <v>42571.787371120125</v>
      </c>
      <c r="Q41" s="266">
        <f t="shared" si="0"/>
        <v>39380.287752457043</v>
      </c>
      <c r="R41" s="266">
        <f t="shared" si="0"/>
        <v>27079.798346018826</v>
      </c>
    </row>
    <row r="42" spans="1:18">
      <c r="A42" s="234" t="s">
        <v>60</v>
      </c>
      <c r="B42" s="63" t="s">
        <v>40</v>
      </c>
      <c r="C42" t="s">
        <v>52</v>
      </c>
      <c r="D42" s="266">
        <f>D5+D12+D19+D27+D34</f>
        <v>2261.9389587073606</v>
      </c>
      <c r="E42" s="266">
        <f t="shared" ref="E42:R42" si="1">E5+E12+E19+E27+E34</f>
        <v>2674.2482046678633</v>
      </c>
      <c r="F42" s="266">
        <f t="shared" si="1"/>
        <v>274.36041292639135</v>
      </c>
      <c r="G42" s="266">
        <f t="shared" si="1"/>
        <v>1589.5175044883301</v>
      </c>
      <c r="H42" s="266">
        <f t="shared" si="1"/>
        <v>1953.3113556688472</v>
      </c>
      <c r="I42" s="266">
        <f t="shared" si="1"/>
        <v>3044.212083594326</v>
      </c>
      <c r="J42" s="266">
        <f t="shared" si="1"/>
        <v>3734.0668291301954</v>
      </c>
      <c r="K42" s="266">
        <f t="shared" si="1"/>
        <v>2615.0389027522874</v>
      </c>
      <c r="L42" s="266">
        <f t="shared" si="1"/>
        <v>2674.1557514388314</v>
      </c>
      <c r="M42" s="266">
        <f t="shared" si="1"/>
        <v>31603.534517337008</v>
      </c>
      <c r="N42" s="266">
        <f t="shared" si="1"/>
        <v>9866.5555504363474</v>
      </c>
      <c r="O42" s="266">
        <f t="shared" si="1"/>
        <v>7491.7346561818495</v>
      </c>
      <c r="P42" s="266">
        <f t="shared" si="1"/>
        <v>6501.5571812275111</v>
      </c>
      <c r="Q42" s="266">
        <f t="shared" si="1"/>
        <v>5713.7175140194386</v>
      </c>
      <c r="R42" s="266">
        <f t="shared" si="1"/>
        <v>4954.8632947356664</v>
      </c>
    </row>
    <row r="43" spans="1:18">
      <c r="A43" s="234" t="s">
        <v>61</v>
      </c>
      <c r="B43" s="63" t="s">
        <v>40</v>
      </c>
      <c r="C43" t="s">
        <v>52</v>
      </c>
      <c r="D43" s="266">
        <f>D6+D13+D28+D35</f>
        <v>3255.3516945736069</v>
      </c>
      <c r="E43" s="266">
        <f t="shared" ref="E43:R43" si="2">E6+E13+E28+E35</f>
        <v>3564.0242111552134</v>
      </c>
      <c r="F43" s="266">
        <f t="shared" si="2"/>
        <v>3795.7154744183249</v>
      </c>
      <c r="G43" s="266">
        <f t="shared" si="2"/>
        <v>4006.9563436611643</v>
      </c>
      <c r="H43" s="266">
        <f t="shared" si="2"/>
        <v>4169.6536508691333</v>
      </c>
      <c r="I43" s="266">
        <f t="shared" si="2"/>
        <v>2820.2173173132433</v>
      </c>
      <c r="J43" s="266">
        <f t="shared" si="2"/>
        <v>1736.1748256415469</v>
      </c>
      <c r="K43" s="266">
        <f t="shared" si="2"/>
        <v>1576.2798025860911</v>
      </c>
      <c r="L43" s="266">
        <f t="shared" si="2"/>
        <v>2553.4304805205279</v>
      </c>
      <c r="M43" s="266">
        <f t="shared" si="2"/>
        <v>7767.088213301794</v>
      </c>
      <c r="N43" s="266">
        <f t="shared" si="2"/>
        <v>7373.8032592749241</v>
      </c>
      <c r="O43" s="266">
        <f t="shared" si="2"/>
        <v>8053.6364291633527</v>
      </c>
      <c r="P43" s="266">
        <f t="shared" si="2"/>
        <v>8632.1450533120478</v>
      </c>
      <c r="Q43" s="266">
        <f t="shared" si="2"/>
        <v>9140.7153663649369</v>
      </c>
      <c r="R43" s="266">
        <f t="shared" si="2"/>
        <v>3751.2383499160892</v>
      </c>
    </row>
    <row r="44" spans="1:18">
      <c r="A44" s="234" t="s">
        <v>337</v>
      </c>
      <c r="B44" s="63" t="s">
        <v>40</v>
      </c>
      <c r="C44" t="s">
        <v>52</v>
      </c>
      <c r="D44" s="266">
        <f>D20</f>
        <v>0</v>
      </c>
      <c r="E44" s="266">
        <f t="shared" ref="E44:R44" si="3">E20</f>
        <v>0</v>
      </c>
      <c r="F44" s="266">
        <f t="shared" si="3"/>
        <v>0</v>
      </c>
      <c r="G44" s="266">
        <f t="shared" si="3"/>
        <v>0</v>
      </c>
      <c r="H44" s="266">
        <f t="shared" si="3"/>
        <v>0</v>
      </c>
      <c r="I44" s="266">
        <f t="shared" si="3"/>
        <v>0</v>
      </c>
      <c r="J44" s="266">
        <f t="shared" si="3"/>
        <v>0</v>
      </c>
      <c r="K44" s="266">
        <f t="shared" si="3"/>
        <v>0</v>
      </c>
      <c r="L44" s="266">
        <f t="shared" si="3"/>
        <v>0</v>
      </c>
      <c r="M44" s="266">
        <f t="shared" si="3"/>
        <v>828.76868702290096</v>
      </c>
      <c r="N44" s="266">
        <f t="shared" si="3"/>
        <v>945.98640612817621</v>
      </c>
      <c r="O44" s="266">
        <f t="shared" si="3"/>
        <v>1042.2601155572008</v>
      </c>
      <c r="P44" s="266">
        <f t="shared" si="3"/>
        <v>1833.0742515286784</v>
      </c>
      <c r="Q44" s="266">
        <f t="shared" si="3"/>
        <v>9404.4679922499545</v>
      </c>
      <c r="R44" s="266">
        <f t="shared" si="3"/>
        <v>10040.317594951888</v>
      </c>
    </row>
    <row r="45" spans="1:18">
      <c r="A45" s="234" t="s">
        <v>246</v>
      </c>
      <c r="B45" s="63" t="s">
        <v>40</v>
      </c>
      <c r="C45" t="s">
        <v>52</v>
      </c>
      <c r="D45" s="266">
        <f>D21</f>
        <v>0</v>
      </c>
      <c r="E45" s="266">
        <f t="shared" ref="E45:R45" si="4">E21</f>
        <v>0</v>
      </c>
      <c r="F45" s="266">
        <f t="shared" si="4"/>
        <v>0</v>
      </c>
      <c r="G45" s="266">
        <f t="shared" si="4"/>
        <v>0</v>
      </c>
      <c r="H45" s="266">
        <f t="shared" si="4"/>
        <v>0</v>
      </c>
      <c r="I45" s="266">
        <f t="shared" si="4"/>
        <v>0</v>
      </c>
      <c r="J45" s="266">
        <f t="shared" si="4"/>
        <v>0</v>
      </c>
      <c r="K45" s="266">
        <f t="shared" si="4"/>
        <v>0</v>
      </c>
      <c r="L45" s="266">
        <f t="shared" si="4"/>
        <v>0</v>
      </c>
      <c r="M45" s="266">
        <f t="shared" si="4"/>
        <v>321.75525343079295</v>
      </c>
      <c r="N45" s="266">
        <f t="shared" si="4"/>
        <v>0</v>
      </c>
      <c r="O45" s="266">
        <f t="shared" si="4"/>
        <v>0</v>
      </c>
      <c r="P45" s="266">
        <f t="shared" si="4"/>
        <v>0</v>
      </c>
      <c r="Q45" s="266">
        <f t="shared" si="4"/>
        <v>0</v>
      </c>
      <c r="R45" s="266">
        <f t="shared" si="4"/>
        <v>0</v>
      </c>
    </row>
    <row r="46" spans="1:18">
      <c r="A46" s="234" t="s">
        <v>333</v>
      </c>
      <c r="B46" s="63" t="s">
        <v>40</v>
      </c>
      <c r="C46" t="s">
        <v>52</v>
      </c>
      <c r="D46" s="266">
        <f>D7+D14+D22+D29+D36</f>
        <v>17923.163376208056</v>
      </c>
      <c r="E46" s="266">
        <f t="shared" ref="E46:R46" si="5">E7+E14+E22+E29+E36</f>
        <v>17652.745831099914</v>
      </c>
      <c r="F46" s="266">
        <f t="shared" si="5"/>
        <v>14640.954566794369</v>
      </c>
      <c r="G46" s="266">
        <f t="shared" si="5"/>
        <v>12587.339047517828</v>
      </c>
      <c r="H46" s="266">
        <f t="shared" si="5"/>
        <v>10484.218808669873</v>
      </c>
      <c r="I46" s="266">
        <f t="shared" si="5"/>
        <v>10846.377698786138</v>
      </c>
      <c r="J46" s="266">
        <f t="shared" si="5"/>
        <v>13226.009085705671</v>
      </c>
      <c r="K46" s="266">
        <f t="shared" si="5"/>
        <v>14709.545283728192</v>
      </c>
      <c r="L46" s="266">
        <f t="shared" si="5"/>
        <v>17193.362794473247</v>
      </c>
      <c r="M46" s="266">
        <f t="shared" si="5"/>
        <v>40141.779246520011</v>
      </c>
      <c r="N46" s="266">
        <f t="shared" si="5"/>
        <v>42491.380716483662</v>
      </c>
      <c r="O46" s="266">
        <f t="shared" si="5"/>
        <v>41737.04644227463</v>
      </c>
      <c r="P46" s="266">
        <f t="shared" si="5"/>
        <v>38608.125247506905</v>
      </c>
      <c r="Q46" s="266">
        <f t="shared" si="5"/>
        <v>26548.821907861591</v>
      </c>
      <c r="R46" s="266">
        <f t="shared" si="5"/>
        <v>18243.105695886523</v>
      </c>
    </row>
    <row r="47" spans="1:18">
      <c r="A47" s="234" t="s">
        <v>237</v>
      </c>
      <c r="B47" s="63" t="s">
        <v>40</v>
      </c>
      <c r="C47" t="s">
        <v>52</v>
      </c>
      <c r="D47" s="266">
        <f>D8+D15+D23+D30+D37</f>
        <v>18419.869744141179</v>
      </c>
      <c r="E47" s="266">
        <f t="shared" ref="E47:R47" si="6">E8+E15+E23+E30+E37</f>
        <v>18097.633834343585</v>
      </c>
      <c r="F47" s="266">
        <f t="shared" si="6"/>
        <v>16401.632097540336</v>
      </c>
      <c r="G47" s="266">
        <f t="shared" si="6"/>
        <v>13796.058467104245</v>
      </c>
      <c r="H47" s="266">
        <f t="shared" si="6"/>
        <v>11592.389956270015</v>
      </c>
      <c r="I47" s="266">
        <f t="shared" si="6"/>
        <v>10734.3803156456</v>
      </c>
      <c r="J47" s="266">
        <f t="shared" si="6"/>
        <v>12227.063083961344</v>
      </c>
      <c r="K47" s="266">
        <f t="shared" si="6"/>
        <v>14190.165733645095</v>
      </c>
      <c r="L47" s="266">
        <f t="shared" si="6"/>
        <v>17133.000159014096</v>
      </c>
      <c r="M47" s="266">
        <f t="shared" si="6"/>
        <v>28798.81806472925</v>
      </c>
      <c r="N47" s="266">
        <f t="shared" si="6"/>
        <v>41717.997773967036</v>
      </c>
      <c r="O47" s="266">
        <f t="shared" si="6"/>
        <v>42539.12738654398</v>
      </c>
      <c r="P47" s="266">
        <f t="shared" si="6"/>
        <v>40589.956309313515</v>
      </c>
      <c r="Q47" s="266">
        <f t="shared" si="6"/>
        <v>32964.554830159315</v>
      </c>
      <c r="R47" s="266">
        <f t="shared" si="6"/>
        <v>22661.452020952675</v>
      </c>
    </row>
    <row r="48" spans="1:18">
      <c r="D48" s="266"/>
      <c r="E48" s="266"/>
      <c r="F48" s="266"/>
      <c r="G48" s="266"/>
      <c r="H48" s="266"/>
      <c r="I48" s="266"/>
      <c r="J48" s="266"/>
      <c r="K48" s="266"/>
      <c r="L48" s="266"/>
      <c r="M48" s="266"/>
      <c r="N48" s="266"/>
      <c r="O48" s="266"/>
      <c r="P48" s="266"/>
      <c r="Q48" s="266"/>
      <c r="R48" s="266"/>
    </row>
    <row r="49" spans="1:18" ht="18">
      <c r="A49" s="267" t="s">
        <v>335</v>
      </c>
      <c r="B49" s="267"/>
      <c r="I49" s="304"/>
      <c r="J49" s="304"/>
      <c r="K49" s="304"/>
      <c r="L49" s="304"/>
      <c r="M49" s="304"/>
      <c r="N49" s="304"/>
      <c r="O49" s="304"/>
      <c r="P49" s="304"/>
      <c r="Q49" s="304"/>
      <c r="R49" s="304"/>
    </row>
    <row r="51" spans="1:18">
      <c r="A51" s="65" t="s">
        <v>339</v>
      </c>
      <c r="B51" s="1" t="s">
        <v>10</v>
      </c>
      <c r="C51" s="1" t="s">
        <v>11</v>
      </c>
      <c r="D51" s="238" t="s">
        <v>0</v>
      </c>
      <c r="E51" s="238" t="s">
        <v>1</v>
      </c>
      <c r="F51" s="238" t="s">
        <v>2</v>
      </c>
      <c r="G51" s="238" t="s">
        <v>3</v>
      </c>
      <c r="H51" s="238" t="s">
        <v>4</v>
      </c>
      <c r="I51" s="238" t="s">
        <v>5</v>
      </c>
      <c r="J51" s="238" t="s">
        <v>6</v>
      </c>
      <c r="K51" s="238" t="s">
        <v>7</v>
      </c>
      <c r="L51" s="238" t="s">
        <v>8</v>
      </c>
      <c r="M51" s="238" t="s">
        <v>9</v>
      </c>
    </row>
    <row r="52" spans="1:18">
      <c r="A52" s="234" t="s">
        <v>332</v>
      </c>
      <c r="B52" s="63" t="s">
        <v>40</v>
      </c>
      <c r="C52" t="s">
        <v>54</v>
      </c>
      <c r="D52" s="236">
        <f>I4*(RAB!$I$5/RAB!F$5)</f>
        <v>7035.4934710427242</v>
      </c>
      <c r="E52" s="236">
        <f>J4*(RAB!$I$5/RAB!G$5)</f>
        <v>5446.7057129332725</v>
      </c>
      <c r="F52" s="236">
        <f>K4*(RAB!$I$5/RAB!H$5)</f>
        <v>4919.3576991710943</v>
      </c>
      <c r="G52" s="236">
        <f>L4*(RAB!$I$5/RAB!I$5)</f>
        <v>4265.9597091615587</v>
      </c>
      <c r="H52" s="236">
        <f>M4*(RAB!$I$5/RAB!J$5)</f>
        <v>4101.6736423640596</v>
      </c>
      <c r="I52" s="236">
        <f>N4*(RAB!$I$5/RAB!K$5)</f>
        <v>4566.0370046723847</v>
      </c>
      <c r="J52" s="236">
        <f>O4*(RAB!$I$5/RAB!L$5)</f>
        <v>6996.8549243958023</v>
      </c>
      <c r="K52" s="236">
        <f>P4*(RAB!$I$5/RAB!M$5)</f>
        <v>7639.6229937432017</v>
      </c>
      <c r="L52" s="236">
        <f>Q4*(RAB!$I$5/RAB!N$5)</f>
        <v>7607.9716049926346</v>
      </c>
      <c r="M52" s="236">
        <f>R4*(RAB!$I$5/RAB!O$5)</f>
        <v>6993.9129023948472</v>
      </c>
    </row>
    <row r="53" spans="1:18">
      <c r="A53" s="234" t="s">
        <v>60</v>
      </c>
      <c r="B53" s="63" t="s">
        <v>40</v>
      </c>
      <c r="C53" t="s">
        <v>54</v>
      </c>
      <c r="D53" s="236">
        <f>I5*(RAB!$I$5/RAB!F$5)</f>
        <v>1270.7623530660474</v>
      </c>
      <c r="E53" s="236">
        <f>J5*(RAB!$I$5/RAB!G$5)</f>
        <v>1116.3126280118136</v>
      </c>
      <c r="F53" s="236">
        <f>K5*(RAB!$I$5/RAB!H$5)</f>
        <v>797.74749605547845</v>
      </c>
      <c r="G53" s="236">
        <f>L5*(RAB!$I$5/RAB!I$5)</f>
        <v>1290.4522096206495</v>
      </c>
      <c r="H53" s="236">
        <f>M5*(RAB!$I$5/RAB!J$5)</f>
        <v>1931.2620512297519</v>
      </c>
      <c r="I53" s="236">
        <f>N5*(RAB!$I$5/RAB!K$5)</f>
        <v>4230.7503128243552</v>
      </c>
      <c r="J53" s="236">
        <f>O5*(RAB!$I$5/RAB!L$5)</f>
        <v>2910.3331625002425</v>
      </c>
      <c r="K53" s="236">
        <f>P5*(RAB!$I$5/RAB!M$5)</f>
        <v>2590.1365390713931</v>
      </c>
      <c r="L53" s="236">
        <f>Q5*(RAB!$I$5/RAB!N$5)</f>
        <v>2284.2184327649684</v>
      </c>
      <c r="M53" s="236">
        <f>R5*(RAB!$I$5/RAB!O$5)</f>
        <v>2142.0615528390408</v>
      </c>
    </row>
    <row r="54" spans="1:18">
      <c r="A54" s="234" t="s">
        <v>61</v>
      </c>
      <c r="B54" s="63" t="s">
        <v>40</v>
      </c>
      <c r="C54" t="s">
        <v>54</v>
      </c>
      <c r="D54" s="236">
        <f>I6*(RAB!$I$5/RAB!F$5)</f>
        <v>2906.4202756652512</v>
      </c>
      <c r="E54" s="236">
        <f>J6*(RAB!$I$5/RAB!G$5)</f>
        <v>1697.7603488994177</v>
      </c>
      <c r="F54" s="236">
        <f>K6*(RAB!$I$5/RAB!H$5)</f>
        <v>1493.9829948434945</v>
      </c>
      <c r="G54" s="236">
        <f>L6*(RAB!$I$5/RAB!I$5)</f>
        <v>1480.3485470805911</v>
      </c>
      <c r="H54" s="236">
        <f>M6*(RAB!$I$5/RAB!J$5)</f>
        <v>1466.8986889214273</v>
      </c>
      <c r="I54" s="236">
        <f>N6*(RAB!$I$5/RAB!K$5)</f>
        <v>1799.9323931009371</v>
      </c>
      <c r="J54" s="236">
        <f>O6*(RAB!$I$5/RAB!L$5)</f>
        <v>2267.5650931528439</v>
      </c>
      <c r="K54" s="236">
        <f>P6*(RAB!$I$5/RAB!M$5)</f>
        <v>2621.7879278219602</v>
      </c>
      <c r="L54" s="236">
        <f>Q6*(RAB!$I$5/RAB!N$5)</f>
        <v>2898.277135362755</v>
      </c>
      <c r="M54" s="236">
        <f>R6*(RAB!$I$5/RAB!O$5)</f>
        <v>3017.9229051750667</v>
      </c>
    </row>
    <row r="55" spans="1:18">
      <c r="A55" s="234" t="s">
        <v>333</v>
      </c>
      <c r="B55" s="63" t="s">
        <v>40</v>
      </c>
      <c r="C55" t="s">
        <v>54</v>
      </c>
      <c r="D55" s="236">
        <f>I7*(RAB!$I$5/RAB!F$5)</f>
        <v>5399.8355484435187</v>
      </c>
      <c r="E55" s="236">
        <f>J7*(RAB!$I$5/RAB!G$5)</f>
        <v>4865.2579920456683</v>
      </c>
      <c r="F55" s="236">
        <f>K7*(RAB!$I$5/RAB!H$5)</f>
        <v>4223.1222003830781</v>
      </c>
      <c r="G55" s="236">
        <f>L7*(RAB!$I$5/RAB!I$5)</f>
        <v>4076.0633717016176</v>
      </c>
      <c r="H55" s="236">
        <f>M7*(RAB!$I$5/RAB!J$5)</f>
        <v>4566.0370046723856</v>
      </c>
      <c r="I55" s="236">
        <f>N7*(RAB!$I$5/RAB!K$5)</f>
        <v>6996.8549243958023</v>
      </c>
      <c r="J55" s="236">
        <f>O7*(RAB!$I$5/RAB!L$5)</f>
        <v>7639.6229937432017</v>
      </c>
      <c r="K55" s="236">
        <f>P7*(RAB!$I$5/RAB!M$5)</f>
        <v>7607.9716049926346</v>
      </c>
      <c r="L55" s="236">
        <f>Q7*(RAB!$I$5/RAB!N$5)</f>
        <v>6993.9129023948472</v>
      </c>
      <c r="M55" s="236">
        <f>R7*(RAB!$I$5/RAB!O$5)</f>
        <v>6118.0515500588235</v>
      </c>
    </row>
    <row r="56" spans="1:18">
      <c r="A56" s="234" t="s">
        <v>237</v>
      </c>
      <c r="B56" s="63" t="s">
        <v>40</v>
      </c>
      <c r="C56" t="s">
        <v>54</v>
      </c>
      <c r="D56" s="236">
        <f>I8*(RAB!$I$5/RAB!F$5)</f>
        <v>6217.6645097431219</v>
      </c>
      <c r="E56" s="236">
        <f>J8*(RAB!$I$5/RAB!G$5)</f>
        <v>5155.9818524894699</v>
      </c>
      <c r="F56" s="236">
        <f>K8*(RAB!$I$5/RAB!H$5)</f>
        <v>4571.2399497770875</v>
      </c>
      <c r="G56" s="236">
        <f>L8*(RAB!$I$5/RAB!I$5)</f>
        <v>4171.0115404315875</v>
      </c>
      <c r="H56" s="236">
        <f>M8*(RAB!$I$5/RAB!J$5)</f>
        <v>4333.8553235182226</v>
      </c>
      <c r="I56" s="236">
        <f>N8*(RAB!$I$5/RAB!K$5)</f>
        <v>5781.4459645340939</v>
      </c>
      <c r="J56" s="236">
        <f>O8*(RAB!$I$5/RAB!L$5)</f>
        <v>7318.238959069502</v>
      </c>
      <c r="K56" s="236">
        <f>P8*(RAB!$I$5/RAB!M$5)</f>
        <v>7623.7972993679177</v>
      </c>
      <c r="L56" s="236">
        <f>Q8*(RAB!$I$5/RAB!N$5)</f>
        <v>7300.9422536937409</v>
      </c>
      <c r="M56" s="236">
        <f>R8*(RAB!$I$5/RAB!O$5)</f>
        <v>6555.9822262268353</v>
      </c>
    </row>
    <row r="57" spans="1:18">
      <c r="A57" s="63"/>
      <c r="B57" s="63"/>
      <c r="C57" s="63"/>
      <c r="D57" s="63"/>
      <c r="E57" s="63"/>
      <c r="F57" s="63"/>
      <c r="G57" s="63"/>
      <c r="H57" s="63"/>
      <c r="I57" s="63"/>
      <c r="J57" s="63"/>
      <c r="K57" s="63"/>
      <c r="L57" s="63"/>
      <c r="M57" s="63"/>
    </row>
    <row r="58" spans="1:18">
      <c r="A58" s="65" t="s">
        <v>340</v>
      </c>
      <c r="B58" s="1" t="s">
        <v>10</v>
      </c>
      <c r="C58" s="1" t="s">
        <v>11</v>
      </c>
      <c r="D58" s="238" t="s">
        <v>0</v>
      </c>
      <c r="E58" s="238" t="s">
        <v>1</v>
      </c>
      <c r="F58" s="238" t="s">
        <v>2</v>
      </c>
      <c r="G58" s="238" t="s">
        <v>3</v>
      </c>
      <c r="H58" s="238" t="s">
        <v>4</v>
      </c>
      <c r="I58" s="238" t="s">
        <v>5</v>
      </c>
      <c r="J58" s="238" t="s">
        <v>6</v>
      </c>
      <c r="K58" s="238" t="s">
        <v>7</v>
      </c>
      <c r="L58" s="238" t="s">
        <v>8</v>
      </c>
      <c r="M58" s="238" t="s">
        <v>9</v>
      </c>
    </row>
    <row r="59" spans="1:18">
      <c r="A59" s="234" t="s">
        <v>332</v>
      </c>
      <c r="B59" s="63" t="s">
        <v>40</v>
      </c>
      <c r="C59" t="s">
        <v>54</v>
      </c>
      <c r="D59" s="236">
        <f>I11*(RAB!$I$5/RAB!F$5)</f>
        <v>2672.5490257195052</v>
      </c>
      <c r="E59" s="236">
        <f>J11*(RAB!$I$5/RAB!G$5)</f>
        <v>2688.8952672457722</v>
      </c>
      <c r="F59" s="236">
        <f>K11*(RAB!$I$5/RAB!H$5)</f>
        <v>2618.611272218438</v>
      </c>
      <c r="G59" s="236">
        <f>L11*(RAB!$I$5/RAB!I$5)</f>
        <v>2538.8864631618198</v>
      </c>
      <c r="H59" s="236">
        <f>M11*(RAB!$I$5/RAB!J$5)</f>
        <v>2458.6930233804164</v>
      </c>
      <c r="I59" s="236">
        <f>N11*(RAB!$I$5/RAB!K$5)</f>
        <v>2499.0312972001093</v>
      </c>
      <c r="J59" s="236">
        <f>O11*(RAB!$I$5/RAB!L$5)</f>
        <v>2379.8474799432333</v>
      </c>
      <c r="K59" s="236">
        <f>P11*(RAB!$I$5/RAB!M$5)</f>
        <v>2258.7636626863573</v>
      </c>
      <c r="L59" s="236">
        <f>Q11*(RAB!$I$5/RAB!N$5)</f>
        <v>2099.0298454294816</v>
      </c>
      <c r="M59" s="236">
        <f>R11*(RAB!$I$5/RAB!O$5)</f>
        <v>1938.8960281726061</v>
      </c>
    </row>
    <row r="60" spans="1:18">
      <c r="A60" s="234" t="s">
        <v>60</v>
      </c>
      <c r="B60" s="63" t="s">
        <v>40</v>
      </c>
      <c r="C60" t="s">
        <v>54</v>
      </c>
      <c r="D60" s="236">
        <f>I12*(RAB!$I$5/RAB!F$5)</f>
        <v>104.87584259609076</v>
      </c>
      <c r="E60" s="236">
        <f>J12*(RAB!$I$5/RAB!G$5)</f>
        <v>13.555761145447851</v>
      </c>
      <c r="F60" s="236">
        <f>K12*(RAB!$I$5/RAB!H$5)</f>
        <v>8.6703640877904551</v>
      </c>
      <c r="G60" s="236">
        <f>L12*(RAB!$I$5/RAB!I$5)</f>
        <v>19.5</v>
      </c>
      <c r="H60" s="236">
        <f>M12*(RAB!$I$5/RAB!J$5)</f>
        <v>156.10628453038674</v>
      </c>
      <c r="I60" s="236">
        <f>N12*(RAB!$I$5/RAB!K$5)</f>
        <v>47.500000000000007</v>
      </c>
      <c r="J60" s="236">
        <f>O12*(RAB!$I$5/RAB!L$5)</f>
        <v>47.5</v>
      </c>
      <c r="K60" s="236">
        <f>P12*(RAB!$I$5/RAB!M$5)</f>
        <v>10</v>
      </c>
      <c r="L60" s="236">
        <f>Q12*(RAB!$I$5/RAB!N$5)</f>
        <v>9.9999999999999982</v>
      </c>
      <c r="M60" s="236">
        <f>R12*(RAB!$I$5/RAB!O$5)</f>
        <v>10.000000000000002</v>
      </c>
    </row>
    <row r="61" spans="1:18">
      <c r="A61" s="234" t="s">
        <v>61</v>
      </c>
      <c r="B61" s="63" t="s">
        <v>40</v>
      </c>
      <c r="C61" t="s">
        <v>54</v>
      </c>
      <c r="D61" s="236">
        <f>I13*(RAB!$I$5/RAB!F$5)</f>
        <v>111.66816777671832</v>
      </c>
      <c r="E61" s="236">
        <f>J13*(RAB!$I$5/RAB!G$5)</f>
        <v>112.63743903415001</v>
      </c>
      <c r="F61" s="236">
        <f>K13*(RAB!$I$5/RAB!H$5)</f>
        <v>113.88992193907885</v>
      </c>
      <c r="G61" s="236">
        <f>L13*(RAB!$I$5/RAB!I$5)</f>
        <v>115.04517160966691</v>
      </c>
      <c r="H61" s="236">
        <f>M13*(RAB!$I$5/RAB!J$5)</f>
        <v>115.76801071069411</v>
      </c>
      <c r="I61" s="236">
        <f>N13*(RAB!$I$5/RAB!K$5)</f>
        <v>166.6838172568759</v>
      </c>
      <c r="J61" s="236">
        <f>O13*(RAB!$I$5/RAB!L$5)</f>
        <v>168.58381725687593</v>
      </c>
      <c r="K61" s="236">
        <f>P13*(RAB!$I$5/RAB!M$5)</f>
        <v>169.73381725687591</v>
      </c>
      <c r="L61" s="236">
        <f>Q13*(RAB!$I$5/RAB!N$5)</f>
        <v>170.13381725687594</v>
      </c>
      <c r="M61" s="236">
        <f>R13*(RAB!$I$5/RAB!O$5)</f>
        <v>170.53381725687592</v>
      </c>
    </row>
    <row r="62" spans="1:18">
      <c r="A62" s="234" t="s">
        <v>333</v>
      </c>
      <c r="B62" s="63" t="s">
        <v>40</v>
      </c>
      <c r="C62" t="s">
        <v>54</v>
      </c>
      <c r="D62" s="236">
        <f>I14*(RAB!$I$5/RAB!F$5)</f>
        <v>2665.7567005388778</v>
      </c>
      <c r="E62" s="236">
        <f>J14*(RAB!$I$5/RAB!G$5)</f>
        <v>2589.8135893570698</v>
      </c>
      <c r="F62" s="236">
        <f>K14*(RAB!$I$5/RAB!H$5)</f>
        <v>2513.3917143671492</v>
      </c>
      <c r="G62" s="236">
        <f>L14*(RAB!$I$5/RAB!I$5)</f>
        <v>2443.3412915521526</v>
      </c>
      <c r="H62" s="236">
        <f>M14*(RAB!$I$5/RAB!J$5)</f>
        <v>2499.0312972001088</v>
      </c>
      <c r="I62" s="236">
        <f>N14*(RAB!$I$5/RAB!K$5)</f>
        <v>2379.8474799432338</v>
      </c>
      <c r="J62" s="236">
        <f>O14*(RAB!$I$5/RAB!L$5)</f>
        <v>2258.7636626863573</v>
      </c>
      <c r="K62" s="236">
        <f>P14*(RAB!$I$5/RAB!M$5)</f>
        <v>2099.0298454294821</v>
      </c>
      <c r="L62" s="236">
        <f>Q14*(RAB!$I$5/RAB!N$5)</f>
        <v>1938.8960281726058</v>
      </c>
      <c r="M62" s="236">
        <f>R14*(RAB!$I$5/RAB!O$5)</f>
        <v>1778.36221091573</v>
      </c>
    </row>
    <row r="63" spans="1:18">
      <c r="A63" s="234" t="s">
        <v>237</v>
      </c>
      <c r="B63" s="63" t="s">
        <v>40</v>
      </c>
      <c r="C63" t="s">
        <v>54</v>
      </c>
      <c r="D63" s="236">
        <f>I15*(RAB!$I$5/RAB!F$5)</f>
        <v>2669.1528631291912</v>
      </c>
      <c r="E63" s="236">
        <f>J15*(RAB!$I$5/RAB!G$5)</f>
        <v>2639.3544283014207</v>
      </c>
      <c r="F63" s="236">
        <f>K15*(RAB!$I$5/RAB!H$5)</f>
        <v>2566.0014932927934</v>
      </c>
      <c r="G63" s="236">
        <f>L15*(RAB!$I$5/RAB!I$5)</f>
        <v>2491.113877356986</v>
      </c>
      <c r="H63" s="236">
        <f>M15*(RAB!$I$5/RAB!J$5)</f>
        <v>2478.8621602902626</v>
      </c>
      <c r="I63" s="236">
        <f>N15*(RAB!$I$5/RAB!K$5)</f>
        <v>2439.4393885716713</v>
      </c>
      <c r="J63" s="236">
        <f>O15*(RAB!$I$5/RAB!L$5)</f>
        <v>2319.3055713147951</v>
      </c>
      <c r="K63" s="236">
        <f>P15*(RAB!$I$5/RAB!M$5)</f>
        <v>2178.8967540579197</v>
      </c>
      <c r="L63" s="236">
        <f>Q15*(RAB!$I$5/RAB!N$5)</f>
        <v>2018.9629368010437</v>
      </c>
      <c r="M63" s="236">
        <f>R15*(RAB!$I$5/RAB!O$5)</f>
        <v>1858.6291195441679</v>
      </c>
    </row>
    <row r="64" spans="1:18">
      <c r="A64" s="63"/>
      <c r="B64" s="63"/>
      <c r="C64" s="63"/>
      <c r="D64" s="63"/>
      <c r="E64" s="63"/>
      <c r="F64" s="63"/>
      <c r="G64" s="63"/>
      <c r="H64" s="63"/>
      <c r="I64" s="63"/>
      <c r="J64" s="63"/>
      <c r="K64" s="63"/>
      <c r="L64" s="63"/>
      <c r="M64" s="63"/>
    </row>
    <row r="65" spans="1:13">
      <c r="A65" s="65" t="s">
        <v>348</v>
      </c>
      <c r="B65" s="1" t="s">
        <v>10</v>
      </c>
      <c r="C65" s="1" t="s">
        <v>11</v>
      </c>
      <c r="D65" s="238" t="s">
        <v>0</v>
      </c>
      <c r="E65" s="238" t="s">
        <v>1</v>
      </c>
      <c r="F65" s="238" t="s">
        <v>2</v>
      </c>
      <c r="G65" s="238" t="s">
        <v>3</v>
      </c>
      <c r="H65" s="238" t="s">
        <v>4</v>
      </c>
      <c r="I65" s="238" t="s">
        <v>5</v>
      </c>
      <c r="J65" s="238" t="s">
        <v>6</v>
      </c>
      <c r="K65" s="238" t="s">
        <v>7</v>
      </c>
      <c r="L65" s="238" t="s">
        <v>8</v>
      </c>
      <c r="M65" s="238" t="s">
        <v>9</v>
      </c>
    </row>
    <row r="66" spans="1:13">
      <c r="A66" s="234" t="s">
        <v>332</v>
      </c>
      <c r="B66" s="63" t="s">
        <v>40</v>
      </c>
      <c r="C66" t="s">
        <v>54</v>
      </c>
      <c r="D66" s="236">
        <f>I18*(RAB!$I$5/RAB!F$5)</f>
        <v>1659.6244463479882</v>
      </c>
      <c r="E66" s="236">
        <f>J18*(RAB!$I$5/RAB!G$5)</f>
        <v>3572.5277336407089</v>
      </c>
      <c r="F66" s="236">
        <f>K18*(RAB!$I$5/RAB!H$5)</f>
        <v>6406.8185083537455</v>
      </c>
      <c r="G66" s="236">
        <f>L18*(RAB!$I$5/RAB!I$5)</f>
        <v>8351.7178275710266</v>
      </c>
      <c r="H66" s="236">
        <f>M18*(RAB!$I$5/RAB!J$5)</f>
        <v>9776.9673721899908</v>
      </c>
      <c r="I66" s="236">
        <f>N18*(RAB!$I$5/RAB!K$5)</f>
        <v>12114.959026688524</v>
      </c>
      <c r="J66" s="236">
        <f>O18*(RAB!$I$5/RAB!L$5)</f>
        <v>16269.989795919291</v>
      </c>
      <c r="K66" s="236">
        <f>P18*(RAB!$I$5/RAB!M$5)</f>
        <v>19268.21287284237</v>
      </c>
      <c r="L66" s="236">
        <f>Q18*(RAB!$I$5/RAB!N$5)</f>
        <v>20855.835949765449</v>
      </c>
      <c r="M66" s="236">
        <f>R18*(RAB!$I$5/RAB!O$5)</f>
        <v>15028.559026688527</v>
      </c>
    </row>
    <row r="67" spans="1:13">
      <c r="A67" s="234" t="s">
        <v>60</v>
      </c>
      <c r="B67" s="63" t="s">
        <v>40</v>
      </c>
      <c r="C67" t="s">
        <v>54</v>
      </c>
      <c r="D67" s="236">
        <f>I19*(RAB!$I$5/RAB!F$5)</f>
        <v>1882.1608585027195</v>
      </c>
      <c r="E67" s="236">
        <f>J19*(RAB!$I$5/RAB!G$5)</f>
        <v>2763.832998291105</v>
      </c>
      <c r="F67" s="236">
        <f>K19*(RAB!$I$5/RAB!H$5)</f>
        <v>1861.0338328683063</v>
      </c>
      <c r="G67" s="236">
        <f>L19*(RAB!$I$5/RAB!I$5)</f>
        <v>1364.203541818182</v>
      </c>
      <c r="H67" s="236">
        <f>M19*(RAB!$I$5/RAB!J$5)</f>
        <v>3478.3346234349547</v>
      </c>
      <c r="I67" s="236">
        <f>N19*(RAB!$I$5/RAB!K$5)</f>
        <v>5074.2615384615392</v>
      </c>
      <c r="J67" s="236">
        <f>O19*(RAB!$I$5/RAB!L$5)</f>
        <v>3991.1461538461544</v>
      </c>
      <c r="K67" s="236">
        <f>P19*(RAB!$I$5/RAB!M$5)</f>
        <v>3299.6846153846159</v>
      </c>
      <c r="L67" s="236">
        <f>Q19*(RAB!$I$5/RAB!N$5)</f>
        <v>2784.1153846153848</v>
      </c>
      <c r="M67" s="236">
        <f>R19*(RAB!$I$5/RAB!O$5)</f>
        <v>2149.7307692307695</v>
      </c>
    </row>
    <row r="68" spans="1:13">
      <c r="A68" s="234" t="s">
        <v>64</v>
      </c>
      <c r="B68" s="63" t="s">
        <v>40</v>
      </c>
      <c r="C68" t="s">
        <v>54</v>
      </c>
      <c r="D68" s="236">
        <f>I20*(RAB!$I$5/RAB!F$5)</f>
        <v>0</v>
      </c>
      <c r="E68" s="236">
        <f>J20*(RAB!$I$5/RAB!G$5)</f>
        <v>0</v>
      </c>
      <c r="F68" s="236">
        <f>K20*(RAB!$I$5/RAB!H$5)</f>
        <v>0</v>
      </c>
      <c r="G68" s="236">
        <f>L20*(RAB!$I$5/RAB!I$5)</f>
        <v>0</v>
      </c>
      <c r="H68" s="236">
        <f>M20*(RAB!$I$5/RAB!J$5)</f>
        <v>821.43492359537788</v>
      </c>
      <c r="I68" s="236">
        <f>N20*(RAB!$I$5/RAB!K$5)</f>
        <v>919.23076923076917</v>
      </c>
      <c r="J68" s="236">
        <f>O20*(RAB!$I$5/RAB!L$5)</f>
        <v>992.92307692307691</v>
      </c>
      <c r="K68" s="236">
        <f>P20*(RAB!$I$5/RAB!M$5)</f>
        <v>1712.0615384615387</v>
      </c>
      <c r="L68" s="236">
        <f>Q20*(RAB!$I$5/RAB!N$5)</f>
        <v>8611.3923076923093</v>
      </c>
      <c r="M68" s="236">
        <f>R20*(RAB!$I$5/RAB!O$5)</f>
        <v>9013.3538461538483</v>
      </c>
    </row>
    <row r="69" spans="1:13">
      <c r="A69" s="234" t="s">
        <v>246</v>
      </c>
      <c r="B69" s="63" t="s">
        <v>40</v>
      </c>
      <c r="C69" t="s">
        <v>54</v>
      </c>
      <c r="D69" s="236">
        <f>I21*(RAB!$I$5/RAB!F$5)</f>
        <v>0</v>
      </c>
      <c r="E69" s="236">
        <f>J21*(RAB!$I$5/RAB!G$5)</f>
        <v>0</v>
      </c>
      <c r="F69" s="236">
        <f>K21*(RAB!$I$5/RAB!H$5)</f>
        <v>0</v>
      </c>
      <c r="G69" s="236">
        <f>L21*(RAB!$I$5/RAB!I$5)</f>
        <v>0</v>
      </c>
      <c r="H69" s="236">
        <f>M21*(RAB!$I$5/RAB!J$5)</f>
        <v>318.90804534104166</v>
      </c>
      <c r="I69" s="236">
        <f>N21*(RAB!$I$5/RAB!K$5)</f>
        <v>0</v>
      </c>
      <c r="J69" s="236">
        <f>O21*(RAB!$I$5/RAB!L$5)</f>
        <v>0</v>
      </c>
      <c r="K69" s="236">
        <f>P21*(RAB!$I$5/RAB!M$5)</f>
        <v>0</v>
      </c>
      <c r="L69" s="236">
        <f>Q21*(RAB!$I$5/RAB!N$5)</f>
        <v>0</v>
      </c>
      <c r="M69" s="236">
        <f>R21*(RAB!$I$5/RAB!O$5)</f>
        <v>0</v>
      </c>
    </row>
    <row r="70" spans="1:13">
      <c r="A70" s="234" t="s">
        <v>333</v>
      </c>
      <c r="B70" s="63" t="s">
        <v>40</v>
      </c>
      <c r="C70" t="s">
        <v>54</v>
      </c>
      <c r="D70" s="236">
        <f>I22*(RAB!$I$5/RAB!F$5)</f>
        <v>3541.7853048507077</v>
      </c>
      <c r="E70" s="236">
        <f>J22*(RAB!$I$5/RAB!G$5)</f>
        <v>6336.3607319318153</v>
      </c>
      <c r="F70" s="236">
        <f>K22*(RAB!$I$5/RAB!H$5)</f>
        <v>8267.8523412220511</v>
      </c>
      <c r="G70" s="236">
        <f>L22*(RAB!$I$5/RAB!I$5)</f>
        <v>9715.921369389207</v>
      </c>
      <c r="H70" s="236">
        <f>M22*(RAB!$I$5/RAB!J$5)</f>
        <v>12114.959026688524</v>
      </c>
      <c r="I70" s="236">
        <f>N22*(RAB!$I$5/RAB!K$5)</f>
        <v>16269.989795919295</v>
      </c>
      <c r="J70" s="236">
        <f>O22*(RAB!$I$5/RAB!L$5)</f>
        <v>19268.21287284237</v>
      </c>
      <c r="K70" s="236">
        <f>P22*(RAB!$I$5/RAB!M$5)</f>
        <v>20855.835949765449</v>
      </c>
      <c r="L70" s="236">
        <f>Q22*(RAB!$I$5/RAB!N$5)</f>
        <v>15028.559026688525</v>
      </c>
      <c r="M70" s="236">
        <f>R22*(RAB!$I$5/RAB!O$5)</f>
        <v>8164.9359497654486</v>
      </c>
    </row>
    <row r="71" spans="1:13">
      <c r="A71" s="234" t="s">
        <v>237</v>
      </c>
      <c r="B71" s="63" t="s">
        <v>40</v>
      </c>
      <c r="C71" t="s">
        <v>54</v>
      </c>
      <c r="D71" s="236">
        <f>I23*(RAB!$I$5/RAB!F$5)</f>
        <v>2600.7048755993478</v>
      </c>
      <c r="E71" s="236">
        <f>J23*(RAB!$I$5/RAB!G$5)</f>
        <v>4954.4442327862616</v>
      </c>
      <c r="F71" s="236">
        <f>K23*(RAB!$I$5/RAB!H$5)</f>
        <v>7337.3354247878988</v>
      </c>
      <c r="G71" s="236">
        <f>L23*(RAB!$I$5/RAB!I$5)</f>
        <v>9033.8195984801168</v>
      </c>
      <c r="H71" s="236">
        <f>M23*(RAB!$I$5/RAB!J$5)</f>
        <v>10945.963199439258</v>
      </c>
      <c r="I71" s="236">
        <f>N23*(RAB!$I$5/RAB!K$5)</f>
        <v>14192.474411303909</v>
      </c>
      <c r="J71" s="236">
        <f>O23*(RAB!$I$5/RAB!L$5)</f>
        <v>17769.10133438083</v>
      </c>
      <c r="K71" s="236">
        <f>P23*(RAB!$I$5/RAB!M$5)</f>
        <v>20062.024411303912</v>
      </c>
      <c r="L71" s="236">
        <f>Q23*(RAB!$I$5/RAB!N$5)</f>
        <v>17942.197488226982</v>
      </c>
      <c r="M71" s="236">
        <f>R23*(RAB!$I$5/RAB!O$5)</f>
        <v>11596.747488226989</v>
      </c>
    </row>
    <row r="72" spans="1:13">
      <c r="A72" s="63"/>
      <c r="B72" s="63"/>
      <c r="C72" s="63"/>
      <c r="D72" s="63"/>
      <c r="E72" s="63"/>
      <c r="F72" s="63"/>
      <c r="G72" s="63"/>
      <c r="H72" s="63"/>
      <c r="I72" s="63"/>
      <c r="J72" s="63"/>
      <c r="K72" s="63"/>
      <c r="L72" s="63"/>
      <c r="M72" s="63"/>
    </row>
    <row r="73" spans="1:13">
      <c r="A73" s="65" t="s">
        <v>345</v>
      </c>
      <c r="B73" s="1" t="s">
        <v>10</v>
      </c>
      <c r="C73" s="1" t="s">
        <v>11</v>
      </c>
      <c r="D73" s="238" t="s">
        <v>0</v>
      </c>
      <c r="E73" s="238" t="s">
        <v>1</v>
      </c>
      <c r="F73" s="238" t="s">
        <v>2</v>
      </c>
      <c r="G73" s="238" t="s">
        <v>3</v>
      </c>
      <c r="H73" s="238" t="s">
        <v>4</v>
      </c>
      <c r="I73" s="238" t="s">
        <v>5</v>
      </c>
      <c r="J73" s="238" t="s">
        <v>6</v>
      </c>
      <c r="K73" s="238" t="s">
        <v>7</v>
      </c>
      <c r="L73" s="238" t="s">
        <v>8</v>
      </c>
      <c r="M73" s="238" t="s">
        <v>9</v>
      </c>
    </row>
    <row r="74" spans="1:13">
      <c r="A74" s="234" t="s">
        <v>332</v>
      </c>
      <c r="B74" s="63" t="s">
        <v>40</v>
      </c>
      <c r="C74" t="s">
        <v>54</v>
      </c>
      <c r="D74" s="236">
        <f>I26*(RAB!$I$5/RAB!F$5)</f>
        <v>0</v>
      </c>
      <c r="E74" s="236">
        <f>J26*(RAB!$I$5/RAB!G$5)</f>
        <v>0</v>
      </c>
      <c r="F74" s="236">
        <f>K26*(RAB!$I$5/RAB!H$5)</f>
        <v>0</v>
      </c>
      <c r="G74" s="236">
        <f>L26*(RAB!$I$5/RAB!I$5)</f>
        <v>0</v>
      </c>
      <c r="H74" s="236">
        <f>M26*(RAB!$I$5/RAB!J$5)</f>
        <v>0</v>
      </c>
      <c r="I74" s="236">
        <f>N26*(RAB!$I$5/RAB!K$5)</f>
        <v>20606.537830888043</v>
      </c>
      <c r="J74" s="236">
        <f>O26*(RAB!$I$5/RAB!L$5)</f>
        <v>15642.891168657863</v>
      </c>
      <c r="K74" s="236">
        <f>P26*(RAB!$I$5/RAB!M$5)</f>
        <v>10594.757502978726</v>
      </c>
      <c r="L74" s="236">
        <f>Q26*(RAB!$I$5/RAB!N$5)</f>
        <v>5496.5236721963211</v>
      </c>
      <c r="M74" s="236">
        <f>R26*(RAB!$I$5/RAB!O$5)</f>
        <v>348.60055388741966</v>
      </c>
    </row>
    <row r="75" spans="1:13">
      <c r="A75" s="234" t="s">
        <v>60</v>
      </c>
      <c r="B75" s="63" t="s">
        <v>40</v>
      </c>
      <c r="C75" t="s">
        <v>54</v>
      </c>
      <c r="D75" s="236">
        <f>I27*(RAB!$I$5/RAB!F$5)</f>
        <v>0</v>
      </c>
      <c r="E75" s="236">
        <f>J27*(RAB!$I$5/RAB!G$5)</f>
        <v>0</v>
      </c>
      <c r="F75" s="236">
        <f>K27*(RAB!$I$5/RAB!H$5)</f>
        <v>0</v>
      </c>
      <c r="G75" s="236">
        <f>L27*(RAB!$I$5/RAB!I$5)</f>
        <v>0</v>
      </c>
      <c r="H75" s="236">
        <f>M27*(RAB!$I$5/RAB!J$5)</f>
        <v>25758.172288610047</v>
      </c>
      <c r="I75" s="236">
        <f>N27*(RAB!$I$5/RAB!K$5)</f>
        <v>234.98474436479597</v>
      </c>
      <c r="J75" s="236">
        <f>O27*(RAB!$I$5/RAB!L$5)</f>
        <v>188.12217614478729</v>
      </c>
      <c r="K75" s="236">
        <f>P27*(RAB!$I$5/RAB!M$5)</f>
        <v>172.52751380190224</v>
      </c>
      <c r="L75" s="236">
        <f>Q27*(RAB!$I$5/RAB!N$5)</f>
        <v>153.54778284425726</v>
      </c>
      <c r="M75" s="236">
        <f>R27*(RAB!$I$5/RAB!O$5)</f>
        <v>146.26778284425728</v>
      </c>
    </row>
    <row r="76" spans="1:13">
      <c r="A76" s="234" t="s">
        <v>61</v>
      </c>
      <c r="B76" s="63" t="s">
        <v>40</v>
      </c>
      <c r="C76" t="s">
        <v>54</v>
      </c>
      <c r="D76" s="236">
        <f>I28*(RAB!$I$5/RAB!F$5)</f>
        <v>0</v>
      </c>
      <c r="E76" s="236">
        <f>J28*(RAB!$I$5/RAB!G$5)</f>
        <v>0</v>
      </c>
      <c r="F76" s="236">
        <f>K28*(RAB!$I$5/RAB!H$5)</f>
        <v>0</v>
      </c>
      <c r="G76" s="236">
        <f>L28*(RAB!$I$5/RAB!I$5)</f>
        <v>0</v>
      </c>
      <c r="H76" s="236">
        <f>M28*(RAB!$I$5/RAB!J$5)</f>
        <v>5151.6344577220098</v>
      </c>
      <c r="I76" s="236">
        <f>N28*(RAB!$I$5/RAB!K$5)</f>
        <v>5198.6314065949691</v>
      </c>
      <c r="J76" s="236">
        <f>O28*(RAB!$I$5/RAB!L$5)</f>
        <v>5236.2558418239269</v>
      </c>
      <c r="K76" s="236">
        <f>P28*(RAB!$I$5/RAB!M$5)</f>
        <v>5270.7613445843072</v>
      </c>
      <c r="L76" s="236">
        <f>Q28*(RAB!$I$5/RAB!N$5)</f>
        <v>5301.4709011531577</v>
      </c>
      <c r="M76" s="236">
        <f>R28*(RAB!$I$5/RAB!O$5)</f>
        <v>179.09</v>
      </c>
    </row>
    <row r="77" spans="1:13">
      <c r="A77" s="234" t="s">
        <v>333</v>
      </c>
      <c r="B77" s="63" t="s">
        <v>40</v>
      </c>
      <c r="C77" t="s">
        <v>54</v>
      </c>
      <c r="D77" s="236">
        <f>I29*(RAB!$I$5/RAB!F$5)</f>
        <v>0</v>
      </c>
      <c r="E77" s="236">
        <f>J29*(RAB!$I$5/RAB!G$5)</f>
        <v>0</v>
      </c>
      <c r="F77" s="236">
        <f>K29*(RAB!$I$5/RAB!H$5)</f>
        <v>0</v>
      </c>
      <c r="G77" s="236">
        <f>L29*(RAB!$I$5/RAB!I$5)</f>
        <v>0</v>
      </c>
      <c r="H77" s="236">
        <f>M29*(RAB!$I$5/RAB!J$5)</f>
        <v>20606.537830888039</v>
      </c>
      <c r="I77" s="236">
        <f>N29*(RAB!$I$5/RAB!K$5)</f>
        <v>15642.891168657865</v>
      </c>
      <c r="J77" s="236">
        <f>O29*(RAB!$I$5/RAB!L$5)</f>
        <v>10594.757502978726</v>
      </c>
      <c r="K77" s="236">
        <f>P29*(RAB!$I$5/RAB!M$5)</f>
        <v>5496.5236721963211</v>
      </c>
      <c r="L77" s="236">
        <f>Q29*(RAB!$I$5/RAB!N$5)</f>
        <v>348.60055388741966</v>
      </c>
      <c r="M77" s="236">
        <f>R29*(RAB!$I$5/RAB!O$5)</f>
        <v>315.77833673167703</v>
      </c>
    </row>
    <row r="78" spans="1:13">
      <c r="A78" s="234" t="s">
        <v>237</v>
      </c>
      <c r="B78" s="63" t="s">
        <v>40</v>
      </c>
      <c r="C78" t="s">
        <v>54</v>
      </c>
      <c r="D78" s="236">
        <f>I30*(RAB!$I$5/RAB!F$5)</f>
        <v>0</v>
      </c>
      <c r="E78" s="236">
        <f>J30*(RAB!$I$5/RAB!G$5)</f>
        <v>0</v>
      </c>
      <c r="F78" s="236">
        <f>K30*(RAB!$I$5/RAB!H$5)</f>
        <v>0</v>
      </c>
      <c r="G78" s="236">
        <f>L30*(RAB!$I$5/RAB!I$5)</f>
        <v>0</v>
      </c>
      <c r="H78" s="236">
        <f>M30*(RAB!$I$5/RAB!J$5)</f>
        <v>10303.26891544402</v>
      </c>
      <c r="I78" s="236">
        <f>N30*(RAB!$I$5/RAB!K$5)</f>
        <v>18124.714499772952</v>
      </c>
      <c r="J78" s="236">
        <f>O30*(RAB!$I$5/RAB!L$5)</f>
        <v>13118.824335818295</v>
      </c>
      <c r="K78" s="236">
        <f>P30*(RAB!$I$5/RAB!M$5)</f>
        <v>8045.6405875875244</v>
      </c>
      <c r="L78" s="236">
        <f>Q30*(RAB!$I$5/RAB!N$5)</f>
        <v>2922.5621130418699</v>
      </c>
      <c r="M78" s="236">
        <f>R30*(RAB!$I$5/RAB!O$5)</f>
        <v>332.18944530954838</v>
      </c>
    </row>
    <row r="79" spans="1:13" s="299" customFormat="1">
      <c r="A79" s="234"/>
      <c r="B79" s="300"/>
      <c r="D79" s="236"/>
      <c r="E79" s="236"/>
      <c r="F79" s="236"/>
      <c r="G79" s="236"/>
      <c r="H79" s="236"/>
      <c r="I79" s="236"/>
      <c r="J79" s="236"/>
      <c r="K79" s="236"/>
      <c r="L79" s="236"/>
      <c r="M79" s="236"/>
    </row>
    <row r="80" spans="1:13" s="299" customFormat="1">
      <c r="A80" s="65" t="s">
        <v>802</v>
      </c>
      <c r="B80" s="1" t="s">
        <v>10</v>
      </c>
      <c r="C80" s="1" t="s">
        <v>11</v>
      </c>
      <c r="D80" s="238" t="s">
        <v>0</v>
      </c>
      <c r="E80" s="238" t="s">
        <v>1</v>
      </c>
      <c r="F80" s="238" t="s">
        <v>2</v>
      </c>
      <c r="G80" s="238" t="s">
        <v>3</v>
      </c>
      <c r="H80" s="238" t="s">
        <v>4</v>
      </c>
      <c r="I80" s="238" t="s">
        <v>5</v>
      </c>
      <c r="J80" s="238" t="s">
        <v>6</v>
      </c>
      <c r="K80" s="238" t="s">
        <v>7</v>
      </c>
      <c r="L80" s="238" t="s">
        <v>8</v>
      </c>
      <c r="M80" s="238" t="s">
        <v>9</v>
      </c>
    </row>
    <row r="81" spans="1:14" s="299" customFormat="1">
      <c r="A81" s="300" t="s">
        <v>332</v>
      </c>
      <c r="B81" s="300" t="s">
        <v>40</v>
      </c>
      <c r="C81" s="299" t="s">
        <v>54</v>
      </c>
      <c r="D81" s="236">
        <f>I33*(RAB!$I$5/RAB!F$5)</f>
        <v>0</v>
      </c>
      <c r="E81" s="236">
        <f>J33*(RAB!$I$5/RAB!G$5)</f>
        <v>0</v>
      </c>
      <c r="F81" s="236">
        <f>K33*(RAB!$I$5/RAB!H$5)</f>
        <v>0</v>
      </c>
      <c r="G81" s="236">
        <f>L33*(RAB!$I$5/RAB!I$5)</f>
        <v>1916.0735236605399</v>
      </c>
      <c r="H81" s="236">
        <f>M33*(RAB!$I$5/RAB!J$5)</f>
        <v>964.05619247636412</v>
      </c>
      <c r="I81" s="236">
        <f>N33*(RAB!$I$5/RAB!K$5)</f>
        <v>0</v>
      </c>
      <c r="J81" s="236">
        <f>O33*(RAB!$I$5/RAB!L$5)</f>
        <v>0</v>
      </c>
      <c r="K81" s="236">
        <f>P33*(RAB!$I$5/RAB!M$5)</f>
        <v>0</v>
      </c>
      <c r="L81" s="236">
        <f>Q33*(RAB!$I$5/RAB!N$5)</f>
        <v>0</v>
      </c>
      <c r="M81" s="236">
        <f>R33*(RAB!$I$5/RAB!O$5)</f>
        <v>0</v>
      </c>
    </row>
    <row r="82" spans="1:14" s="299" customFormat="1">
      <c r="A82" s="300" t="s">
        <v>60</v>
      </c>
      <c r="B82" s="300" t="s">
        <v>40</v>
      </c>
      <c r="C82" s="299" t="s">
        <v>54</v>
      </c>
      <c r="D82" s="236">
        <f>I34*(RAB!$I$5/RAB!F$5)</f>
        <v>0</v>
      </c>
      <c r="E82" s="236">
        <f>J34*(RAB!$I$5/RAB!G$5)</f>
        <v>0</v>
      </c>
      <c r="F82" s="236">
        <f>K34*(RAB!$I$5/RAB!H$5)</f>
        <v>0</v>
      </c>
      <c r="G82" s="236">
        <f>L34*(RAB!$I$5/RAB!I$5)</f>
        <v>0</v>
      </c>
      <c r="H82" s="236">
        <f>M34*(RAB!$I$5/RAB!J$5)</f>
        <v>0</v>
      </c>
      <c r="I82" s="236">
        <f>N34*(RAB!$I$5/RAB!K$5)</f>
        <v>0</v>
      </c>
      <c r="J82" s="236">
        <f>O34*(RAB!$I$5/RAB!L$5)</f>
        <v>0</v>
      </c>
      <c r="K82" s="236">
        <f>P34*(RAB!$I$5/RAB!M$5)</f>
        <v>0</v>
      </c>
      <c r="L82" s="236">
        <f>Q34*(RAB!$I$5/RAB!N$5)</f>
        <v>0</v>
      </c>
      <c r="M82" s="236">
        <f>R34*(RAB!$I$5/RAB!O$5)</f>
        <v>0</v>
      </c>
    </row>
    <row r="83" spans="1:14" s="299" customFormat="1">
      <c r="A83" s="300" t="s">
        <v>61</v>
      </c>
      <c r="B83" s="300" t="s">
        <v>40</v>
      </c>
      <c r="C83" s="299" t="s">
        <v>54</v>
      </c>
      <c r="D83" s="236">
        <f>I35*(RAB!$I$5/RAB!F$5)</f>
        <v>0</v>
      </c>
      <c r="E83" s="236">
        <f>J35*(RAB!$I$5/RAB!G$5)</f>
        <v>0</v>
      </c>
      <c r="F83" s="236">
        <f>K35*(RAB!$I$5/RAB!H$5)</f>
        <v>0</v>
      </c>
      <c r="G83" s="236">
        <f>L35*(RAB!$I$5/RAB!I$5)</f>
        <v>958.03676183026994</v>
      </c>
      <c r="H83" s="236">
        <f>M35*(RAB!$I$5/RAB!J$5)</f>
        <v>964.05619247636412</v>
      </c>
      <c r="I83" s="236">
        <f>N35*(RAB!$I$5/RAB!K$5)</f>
        <v>0</v>
      </c>
      <c r="J83" s="236">
        <f>O35*(RAB!$I$5/RAB!L$5)</f>
        <v>0</v>
      </c>
      <c r="K83" s="236">
        <f>P35*(RAB!$I$5/RAB!M$5)</f>
        <v>0</v>
      </c>
      <c r="L83" s="236">
        <f>Q35*(RAB!$I$5/RAB!N$5)</f>
        <v>0</v>
      </c>
      <c r="M83" s="236">
        <f>R35*(RAB!$I$5/RAB!O$5)</f>
        <v>0</v>
      </c>
    </row>
    <row r="84" spans="1:14" s="299" customFormat="1">
      <c r="A84" s="300" t="s">
        <v>333</v>
      </c>
      <c r="B84" s="300" t="s">
        <v>40</v>
      </c>
      <c r="C84" s="299" t="s">
        <v>54</v>
      </c>
      <c r="D84" s="236">
        <f>I36*(RAB!$I$5/RAB!F$5)</f>
        <v>0</v>
      </c>
      <c r="E84" s="236">
        <f>J36*(RAB!$I$5/RAB!G$5)</f>
        <v>0</v>
      </c>
      <c r="F84" s="236">
        <f>K36*(RAB!$I$5/RAB!H$5)</f>
        <v>0</v>
      </c>
      <c r="G84" s="236">
        <f>L36*(RAB!$I$5/RAB!I$5)</f>
        <v>958.03676183026994</v>
      </c>
      <c r="H84" s="236">
        <f>M36*(RAB!$I$5/RAB!J$5)</f>
        <v>0</v>
      </c>
      <c r="I84" s="236">
        <f>N36*(RAB!$I$5/RAB!K$5)</f>
        <v>0</v>
      </c>
      <c r="J84" s="236">
        <f>O36*(RAB!$I$5/RAB!L$5)</f>
        <v>0</v>
      </c>
      <c r="K84" s="236">
        <f>P36*(RAB!$I$5/RAB!M$5)</f>
        <v>0</v>
      </c>
      <c r="L84" s="236">
        <f>Q36*(RAB!$I$5/RAB!N$5)</f>
        <v>0</v>
      </c>
      <c r="M84" s="236">
        <f>R36*(RAB!$I$5/RAB!O$5)</f>
        <v>0</v>
      </c>
    </row>
    <row r="85" spans="1:14" s="299" customFormat="1">
      <c r="A85" s="300" t="s">
        <v>237</v>
      </c>
      <c r="B85" s="300" t="s">
        <v>40</v>
      </c>
      <c r="C85" s="299" t="s">
        <v>54</v>
      </c>
      <c r="D85" s="236">
        <f>I37*(RAB!$I$5/RAB!F$5)</f>
        <v>0</v>
      </c>
      <c r="E85" s="236">
        <f>J37*(RAB!$I$5/RAB!G$5)</f>
        <v>0</v>
      </c>
      <c r="F85" s="236">
        <f>K37*(RAB!$I$5/RAB!H$5)</f>
        <v>0</v>
      </c>
      <c r="G85" s="236">
        <f>L37*(RAB!$I$5/RAB!I$5)</f>
        <v>1437.0551427454047</v>
      </c>
      <c r="H85" s="236">
        <f>M37*(RAB!$I$5/RAB!J$5)</f>
        <v>482.02809623818206</v>
      </c>
      <c r="I85" s="236">
        <f>N37*(RAB!$I$5/RAB!K$5)</f>
        <v>0</v>
      </c>
      <c r="J85" s="236">
        <f>O37*(RAB!$I$5/RAB!L$5)</f>
        <v>0</v>
      </c>
      <c r="K85" s="236">
        <f>P37*(RAB!$I$5/RAB!M$5)</f>
        <v>0</v>
      </c>
      <c r="L85" s="236">
        <f>Q37*(RAB!$I$5/RAB!N$5)</f>
        <v>0</v>
      </c>
      <c r="M85" s="236">
        <f>R37*(RAB!$I$5/RAB!O$5)</f>
        <v>0</v>
      </c>
    </row>
    <row r="87" spans="1:14">
      <c r="A87" s="65" t="s">
        <v>336</v>
      </c>
      <c r="B87" s="1" t="s">
        <v>10</v>
      </c>
      <c r="C87" s="1" t="s">
        <v>11</v>
      </c>
      <c r="D87" s="238" t="s">
        <v>0</v>
      </c>
      <c r="E87" s="238" t="s">
        <v>1</v>
      </c>
      <c r="F87" s="238" t="s">
        <v>2</v>
      </c>
      <c r="G87" s="238" t="s">
        <v>3</v>
      </c>
      <c r="H87" s="238" t="s">
        <v>4</v>
      </c>
      <c r="I87" s="238" t="s">
        <v>5</v>
      </c>
      <c r="J87" s="238" t="s">
        <v>6</v>
      </c>
      <c r="K87" s="238" t="s">
        <v>7</v>
      </c>
      <c r="L87" s="238" t="s">
        <v>8</v>
      </c>
      <c r="M87" s="238" t="s">
        <v>9</v>
      </c>
    </row>
    <row r="88" spans="1:14">
      <c r="A88" s="234" t="s">
        <v>332</v>
      </c>
      <c r="B88" s="63" t="s">
        <v>40</v>
      </c>
      <c r="C88" t="s">
        <v>54</v>
      </c>
      <c r="D88" s="266">
        <f>D52+D59+D66+D74+D81</f>
        <v>11367.666943110218</v>
      </c>
      <c r="E88" s="266">
        <f t="shared" ref="E88:M88" si="7">E52+E59+E66+E74+E81</f>
        <v>11708.128713819753</v>
      </c>
      <c r="F88" s="266">
        <f t="shared" si="7"/>
        <v>13944.787479743278</v>
      </c>
      <c r="G88" s="266">
        <f t="shared" si="7"/>
        <v>17072.637523554946</v>
      </c>
      <c r="H88" s="266">
        <f t="shared" si="7"/>
        <v>17301.390230410831</v>
      </c>
      <c r="I88" s="266">
        <f t="shared" si="7"/>
        <v>39786.565159449063</v>
      </c>
      <c r="J88" s="266">
        <f t="shared" si="7"/>
        <v>41289.583368916188</v>
      </c>
      <c r="K88" s="266">
        <f t="shared" si="7"/>
        <v>39761.357032250657</v>
      </c>
      <c r="L88" s="266">
        <f t="shared" si="7"/>
        <v>36059.361072383886</v>
      </c>
      <c r="M88" s="266">
        <f t="shared" si="7"/>
        <v>24309.968511143397</v>
      </c>
      <c r="N88" s="266"/>
    </row>
    <row r="89" spans="1:14">
      <c r="A89" s="234" t="s">
        <v>60</v>
      </c>
      <c r="B89" s="63" t="s">
        <v>40</v>
      </c>
      <c r="C89" t="s">
        <v>54</v>
      </c>
      <c r="D89" s="266">
        <f>D53+D60+D67+D75+D82</f>
        <v>3257.7990541648578</v>
      </c>
      <c r="E89" s="266">
        <f t="shared" ref="E89:M89" si="8">E53+E60+E67+E75+E82</f>
        <v>3893.7013874483664</v>
      </c>
      <c r="F89" s="266">
        <f t="shared" si="8"/>
        <v>2667.4516930115751</v>
      </c>
      <c r="G89" s="266">
        <f t="shared" si="8"/>
        <v>2674.1557514388314</v>
      </c>
      <c r="H89" s="266">
        <f t="shared" si="8"/>
        <v>31323.875247805139</v>
      </c>
      <c r="I89" s="266">
        <f t="shared" si="8"/>
        <v>9587.4965956506894</v>
      </c>
      <c r="J89" s="266">
        <f t="shared" si="8"/>
        <v>7137.1014924911833</v>
      </c>
      <c r="K89" s="266">
        <f t="shared" si="8"/>
        <v>6072.3486682579114</v>
      </c>
      <c r="L89" s="266">
        <f t="shared" si="8"/>
        <v>5231.8816002246103</v>
      </c>
      <c r="M89" s="266">
        <f t="shared" si="8"/>
        <v>4448.0601049140678</v>
      </c>
      <c r="N89" s="266"/>
    </row>
    <row r="90" spans="1:14">
      <c r="A90" s="234" t="s">
        <v>61</v>
      </c>
      <c r="B90" s="63" t="s">
        <v>40</v>
      </c>
      <c r="C90" t="s">
        <v>54</v>
      </c>
      <c r="D90" s="266">
        <f>D54+D61+D76+D83</f>
        <v>3018.0884434419695</v>
      </c>
      <c r="E90" s="266">
        <f t="shared" ref="E90:M90" si="9">E54+E61+E76+E83</f>
        <v>1810.3977879335678</v>
      </c>
      <c r="F90" s="266">
        <f t="shared" si="9"/>
        <v>1607.8729167825734</v>
      </c>
      <c r="G90" s="266">
        <f t="shared" si="9"/>
        <v>2553.4304805205279</v>
      </c>
      <c r="H90" s="266">
        <f t="shared" si="9"/>
        <v>7698.3573498304959</v>
      </c>
      <c r="I90" s="266">
        <f t="shared" si="9"/>
        <v>7165.2476169527818</v>
      </c>
      <c r="J90" s="266">
        <f t="shared" si="9"/>
        <v>7672.4047522336468</v>
      </c>
      <c r="K90" s="266">
        <f t="shared" si="9"/>
        <v>8062.2830896631431</v>
      </c>
      <c r="L90" s="266">
        <f t="shared" si="9"/>
        <v>8369.8818537727893</v>
      </c>
      <c r="M90" s="266">
        <f t="shared" si="9"/>
        <v>3367.5467224319427</v>
      </c>
      <c r="N90" s="266"/>
    </row>
    <row r="91" spans="1:14">
      <c r="A91" s="234" t="s">
        <v>337</v>
      </c>
      <c r="B91" s="63" t="s">
        <v>40</v>
      </c>
      <c r="C91" t="s">
        <v>54</v>
      </c>
      <c r="D91" s="266">
        <f>D68</f>
        <v>0</v>
      </c>
      <c r="E91" s="266">
        <f t="shared" ref="E91:M91" si="10">E68</f>
        <v>0</v>
      </c>
      <c r="F91" s="266">
        <f t="shared" si="10"/>
        <v>0</v>
      </c>
      <c r="G91" s="266">
        <f t="shared" si="10"/>
        <v>0</v>
      </c>
      <c r="H91" s="266">
        <f t="shared" si="10"/>
        <v>821.43492359537788</v>
      </c>
      <c r="I91" s="266">
        <f t="shared" si="10"/>
        <v>919.23076923076917</v>
      </c>
      <c r="J91" s="266">
        <f t="shared" si="10"/>
        <v>992.92307692307691</v>
      </c>
      <c r="K91" s="266">
        <f t="shared" si="10"/>
        <v>1712.0615384615387</v>
      </c>
      <c r="L91" s="266">
        <f t="shared" si="10"/>
        <v>8611.3923076923093</v>
      </c>
      <c r="M91" s="266">
        <f t="shared" si="10"/>
        <v>9013.3538461538483</v>
      </c>
      <c r="N91" s="266"/>
    </row>
    <row r="92" spans="1:14">
      <c r="A92" s="234" t="s">
        <v>246</v>
      </c>
      <c r="B92" s="63" t="s">
        <v>40</v>
      </c>
      <c r="C92" t="s">
        <v>54</v>
      </c>
      <c r="D92" s="266">
        <f>D69</f>
        <v>0</v>
      </c>
      <c r="E92" s="266">
        <f t="shared" ref="E92:M92" si="11">E69</f>
        <v>0</v>
      </c>
      <c r="F92" s="266">
        <f t="shared" si="11"/>
        <v>0</v>
      </c>
      <c r="G92" s="266">
        <f t="shared" si="11"/>
        <v>0</v>
      </c>
      <c r="H92" s="266">
        <f t="shared" si="11"/>
        <v>318.90804534104166</v>
      </c>
      <c r="I92" s="266">
        <f t="shared" si="11"/>
        <v>0</v>
      </c>
      <c r="J92" s="266">
        <f t="shared" si="11"/>
        <v>0</v>
      </c>
      <c r="K92" s="266">
        <f t="shared" si="11"/>
        <v>0</v>
      </c>
      <c r="L92" s="266">
        <f t="shared" si="11"/>
        <v>0</v>
      </c>
      <c r="M92" s="266">
        <f t="shared" si="11"/>
        <v>0</v>
      </c>
      <c r="N92" s="266"/>
    </row>
    <row r="93" spans="1:14">
      <c r="A93" s="234" t="s">
        <v>333</v>
      </c>
      <c r="B93" s="63" t="s">
        <v>40</v>
      </c>
      <c r="C93" t="s">
        <v>54</v>
      </c>
      <c r="D93" s="266">
        <f>D55+D62+D70+D77+D84</f>
        <v>11607.377553833105</v>
      </c>
      <c r="E93" s="266">
        <f t="shared" ref="E93:M93" si="12">E55+E62+E70+E77+E84</f>
        <v>13791.432313334553</v>
      </c>
      <c r="F93" s="266">
        <f t="shared" si="12"/>
        <v>15004.366255972278</v>
      </c>
      <c r="G93" s="266">
        <f t="shared" si="12"/>
        <v>17193.362794473247</v>
      </c>
      <c r="H93" s="266">
        <f t="shared" si="12"/>
        <v>39786.565159449055</v>
      </c>
      <c r="I93" s="266">
        <f t="shared" si="12"/>
        <v>41289.583368916195</v>
      </c>
      <c r="J93" s="266">
        <f t="shared" si="12"/>
        <v>39761.357032250657</v>
      </c>
      <c r="K93" s="266">
        <f t="shared" si="12"/>
        <v>36059.361072383886</v>
      </c>
      <c r="L93" s="266">
        <f t="shared" si="12"/>
        <v>24309.968511143397</v>
      </c>
      <c r="M93" s="266">
        <f t="shared" si="12"/>
        <v>16377.12804747168</v>
      </c>
      <c r="N93" s="266"/>
    </row>
    <row r="94" spans="1:14">
      <c r="A94" s="234" t="s">
        <v>237</v>
      </c>
      <c r="B94" s="63" t="s">
        <v>40</v>
      </c>
      <c r="C94" t="s">
        <v>54</v>
      </c>
      <c r="D94" s="266">
        <f>D56+D63+D71+D78+D85</f>
        <v>11487.52224847166</v>
      </c>
      <c r="E94" s="266">
        <f t="shared" ref="E94:M94" si="13">E56+E63+E71+E78+E85</f>
        <v>12749.780513577152</v>
      </c>
      <c r="F94" s="266">
        <f t="shared" si="13"/>
        <v>14474.576867857781</v>
      </c>
      <c r="G94" s="266">
        <f t="shared" si="13"/>
        <v>17133.000159014096</v>
      </c>
      <c r="H94" s="266">
        <f t="shared" si="13"/>
        <v>28543.977694929945</v>
      </c>
      <c r="I94" s="266">
        <f t="shared" si="13"/>
        <v>40538.074264182622</v>
      </c>
      <c r="J94" s="266">
        <f t="shared" si="13"/>
        <v>40525.470200583426</v>
      </c>
      <c r="K94" s="266">
        <f t="shared" si="13"/>
        <v>37910.359052317275</v>
      </c>
      <c r="L94" s="266">
        <f t="shared" si="13"/>
        <v>30184.664791763636</v>
      </c>
      <c r="M94" s="266">
        <f t="shared" si="13"/>
        <v>20343.548279307539</v>
      </c>
      <c r="N94" s="26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M47"/>
  <sheetViews>
    <sheetView showGridLines="0" zoomScale="80" zoomScaleNormal="80" workbookViewId="0"/>
  </sheetViews>
  <sheetFormatPr defaultColWidth="8.6640625" defaultRowHeight="14.25"/>
  <cols>
    <col min="1" max="1" width="58.6640625" customWidth="1"/>
    <col min="5" max="5" width="10" customWidth="1"/>
    <col min="6" max="6" width="9.6640625" customWidth="1"/>
    <col min="7" max="7" width="9.6640625" bestFit="1" customWidth="1"/>
    <col min="8" max="8" width="10.33203125" bestFit="1" customWidth="1"/>
    <col min="9" max="10" width="9.6640625" bestFit="1" customWidth="1"/>
  </cols>
  <sheetData>
    <row r="1" spans="1:13" ht="18">
      <c r="A1" s="267" t="s">
        <v>212</v>
      </c>
      <c r="B1" s="267"/>
    </row>
    <row r="2" spans="1:13" ht="18">
      <c r="A2" s="62"/>
    </row>
    <row r="3" spans="1:13">
      <c r="A3" s="1" t="s">
        <v>625</v>
      </c>
      <c r="B3" s="255" t="s">
        <v>10</v>
      </c>
      <c r="C3" s="255" t="s">
        <v>11</v>
      </c>
      <c r="D3" s="1"/>
      <c r="E3" s="228" t="s">
        <v>5</v>
      </c>
      <c r="F3" s="228" t="s">
        <v>6</v>
      </c>
      <c r="G3" s="228" t="s">
        <v>7</v>
      </c>
      <c r="H3" s="228" t="s">
        <v>8</v>
      </c>
      <c r="I3" s="228" t="s">
        <v>9</v>
      </c>
      <c r="J3" s="228" t="s">
        <v>237</v>
      </c>
    </row>
    <row r="4" spans="1:13" s="299" customFormat="1">
      <c r="A4" s="234" t="s">
        <v>713</v>
      </c>
      <c r="B4" s="300" t="s">
        <v>40</v>
      </c>
      <c r="C4" s="300" t="s">
        <v>54</v>
      </c>
      <c r="D4" s="65"/>
      <c r="E4" s="66">
        <f>Earnings!D66</f>
        <v>1572.9389631024674</v>
      </c>
      <c r="F4" s="66">
        <f>Earnings!E66</f>
        <v>1613.5773172095599</v>
      </c>
      <c r="G4" s="66">
        <f>Earnings!F66</f>
        <v>1557.1049182142942</v>
      </c>
      <c r="H4" s="66">
        <f>Earnings!G66</f>
        <v>1375.9923399007755</v>
      </c>
      <c r="I4" s="66">
        <f>Earnings!H66</f>
        <v>1144.9220205514312</v>
      </c>
      <c r="J4" s="66">
        <f t="shared" ref="J4:J11" si="0">AVERAGE(E4:I4)</f>
        <v>1452.9071117957058</v>
      </c>
    </row>
    <row r="5" spans="1:13">
      <c r="A5" s="222" t="s">
        <v>634</v>
      </c>
      <c r="B5" s="300" t="s">
        <v>40</v>
      </c>
      <c r="C5" s="299" t="s">
        <v>54</v>
      </c>
      <c r="D5" s="5"/>
      <c r="E5" s="66">
        <f>Earnings!D67</f>
        <v>1202.7472492361906</v>
      </c>
      <c r="F5" s="66">
        <f>Earnings!E67</f>
        <v>1202.4497841594919</v>
      </c>
      <c r="G5" s="66">
        <f>Earnings!F67</f>
        <v>1140.7312572594915</v>
      </c>
      <c r="H5" s="66">
        <f>Earnings!G67</f>
        <v>958.39924840500782</v>
      </c>
      <c r="I5" s="66">
        <f>Earnings!H67</f>
        <v>726.14173437825093</v>
      </c>
      <c r="J5" s="66">
        <f t="shared" si="0"/>
        <v>1046.0938546876866</v>
      </c>
      <c r="M5" s="1"/>
    </row>
    <row r="6" spans="1:13" s="299" customFormat="1">
      <c r="A6" s="222" t="s">
        <v>633</v>
      </c>
      <c r="B6" s="300" t="s">
        <v>40</v>
      </c>
      <c r="C6" s="299" t="s">
        <v>54</v>
      </c>
      <c r="D6" s="5"/>
      <c r="E6" s="66">
        <f>Earnings!D68</f>
        <v>1092.9742354078514</v>
      </c>
      <c r="F6" s="66">
        <f>Earnings!E68</f>
        <v>1092.6767703311527</v>
      </c>
      <c r="G6" s="66">
        <f>Earnings!F68</f>
        <v>1030.9582434311528</v>
      </c>
      <c r="H6" s="66">
        <f>Earnings!G68</f>
        <v>848.62623457666882</v>
      </c>
      <c r="I6" s="66">
        <f>Earnings!H68</f>
        <v>616.36872054991193</v>
      </c>
      <c r="J6" s="66">
        <f t="shared" si="0"/>
        <v>936.32084085934753</v>
      </c>
      <c r="M6" s="1"/>
    </row>
    <row r="7" spans="1:13">
      <c r="A7" t="s">
        <v>46</v>
      </c>
      <c r="B7" s="63" t="s">
        <v>40</v>
      </c>
      <c r="C7" s="299" t="s">
        <v>54</v>
      </c>
      <c r="D7" s="5"/>
      <c r="E7" s="66">
        <f>Return!D10</f>
        <v>40538.074264182622</v>
      </c>
      <c r="F7" s="66">
        <f>Return!E10</f>
        <v>40525.470200583426</v>
      </c>
      <c r="G7" s="66">
        <f>Return!F10</f>
        <v>37910.359052317268</v>
      </c>
      <c r="H7" s="66">
        <f>Return!G10</f>
        <v>30184.66479176364</v>
      </c>
      <c r="I7" s="66">
        <f>Return!H10</f>
        <v>20343.548279307539</v>
      </c>
      <c r="J7" s="66">
        <f t="shared" si="0"/>
        <v>33900.423317630906</v>
      </c>
    </row>
    <row r="8" spans="1:13">
      <c r="A8" t="s">
        <v>160</v>
      </c>
      <c r="B8" s="63" t="s">
        <v>40</v>
      </c>
      <c r="C8" s="299" t="s">
        <v>54</v>
      </c>
      <c r="D8" s="5"/>
      <c r="E8" s="66">
        <f>E7*(1-WACC!$B$4)</f>
        <v>28376.651984927834</v>
      </c>
      <c r="F8" s="66">
        <f>F7*(1-WACC!$B$4)</f>
        <v>28367.829140408398</v>
      </c>
      <c r="G8" s="66">
        <f>G7*(1-WACC!$B$4)</f>
        <v>26537.251336622085</v>
      </c>
      <c r="H8" s="66">
        <f>H7*(1-WACC!$B$4)</f>
        <v>21129.265354234547</v>
      </c>
      <c r="I8" s="66">
        <f>I7*(1-WACC!$B$4)</f>
        <v>14240.483795515276</v>
      </c>
      <c r="J8" s="66">
        <f t="shared" si="0"/>
        <v>23730.296322341626</v>
      </c>
    </row>
    <row r="9" spans="1:13" s="299" customFormat="1">
      <c r="A9" s="299" t="s">
        <v>719</v>
      </c>
      <c r="B9" s="299" t="s">
        <v>12</v>
      </c>
      <c r="D9" s="5"/>
      <c r="E9" s="284">
        <f t="shared" ref="E9:I11" si="1">E4/E$8</f>
        <v>5.5430745104740643E-2</v>
      </c>
      <c r="F9" s="284">
        <f t="shared" si="1"/>
        <v>5.6880535666760226E-2</v>
      </c>
      <c r="G9" s="284">
        <f t="shared" si="1"/>
        <v>5.8676194397927324E-2</v>
      </c>
      <c r="H9" s="284">
        <f t="shared" si="1"/>
        <v>6.5122583148638002E-2</v>
      </c>
      <c r="I9" s="284">
        <f t="shared" si="1"/>
        <v>8.0399095774540949E-2</v>
      </c>
      <c r="J9" s="284">
        <f t="shared" ref="J9" si="2">AVERAGE(E9:I9)</f>
        <v>6.3301830818521435E-2</v>
      </c>
    </row>
    <row r="10" spans="1:13">
      <c r="A10" t="s">
        <v>720</v>
      </c>
      <c r="B10" t="s">
        <v>12</v>
      </c>
      <c r="D10" s="2"/>
      <c r="E10" s="284">
        <f t="shared" si="1"/>
        <v>4.2385100605773572E-2</v>
      </c>
      <c r="F10" s="284">
        <f t="shared" si="1"/>
        <v>4.2387797043188929E-2</v>
      </c>
      <c r="G10" s="284">
        <f t="shared" si="1"/>
        <v>4.298603660150941E-2</v>
      </c>
      <c r="H10" s="284">
        <f t="shared" si="1"/>
        <v>4.5358853340962638E-2</v>
      </c>
      <c r="I10" s="284">
        <f t="shared" si="1"/>
        <v>5.0991366923006723E-2</v>
      </c>
      <c r="J10" s="284">
        <f t="shared" si="0"/>
        <v>4.482183090288825E-2</v>
      </c>
    </row>
    <row r="11" spans="1:13">
      <c r="A11" t="s">
        <v>721</v>
      </c>
      <c r="B11" t="s">
        <v>12</v>
      </c>
      <c r="D11" s="2"/>
      <c r="E11" s="284">
        <f t="shared" si="1"/>
        <v>3.8516673354854584E-2</v>
      </c>
      <c r="F11" s="284">
        <f t="shared" si="1"/>
        <v>3.85181666500767E-2</v>
      </c>
      <c r="G11" s="284">
        <f t="shared" si="1"/>
        <v>3.884947353264142E-2</v>
      </c>
      <c r="H11" s="284">
        <f t="shared" si="1"/>
        <v>4.0163546642505224E-2</v>
      </c>
      <c r="I11" s="284">
        <f t="shared" si="1"/>
        <v>4.3282849754305651E-2</v>
      </c>
      <c r="J11" s="284">
        <f t="shared" si="0"/>
        <v>3.986614198687672E-2</v>
      </c>
    </row>
    <row r="15" spans="1:13">
      <c r="A15" s="1" t="s">
        <v>239</v>
      </c>
      <c r="C15" s="3"/>
    </row>
    <row r="16" spans="1:13">
      <c r="C16" s="3"/>
      <c r="E16" s="1"/>
    </row>
    <row r="17" spans="1:12">
      <c r="A17" t="s">
        <v>410</v>
      </c>
      <c r="B17" t="s">
        <v>12</v>
      </c>
      <c r="C17" s="73">
        <v>0.25</v>
      </c>
    </row>
    <row r="19" spans="1:12">
      <c r="B19" s="255" t="s">
        <v>10</v>
      </c>
      <c r="C19" s="255" t="s">
        <v>11</v>
      </c>
      <c r="E19" s="238" t="s">
        <v>5</v>
      </c>
      <c r="F19" s="238" t="s">
        <v>6</v>
      </c>
      <c r="G19" s="238" t="s">
        <v>7</v>
      </c>
      <c r="H19" s="238" t="s">
        <v>8</v>
      </c>
      <c r="I19" s="238" t="s">
        <v>9</v>
      </c>
      <c r="J19" s="238" t="s">
        <v>237</v>
      </c>
    </row>
    <row r="20" spans="1:12">
      <c r="A20" t="s">
        <v>240</v>
      </c>
      <c r="B20" t="s">
        <v>12</v>
      </c>
      <c r="C20" s="299"/>
      <c r="E20" s="284">
        <f>Scenarios!D10</f>
        <v>-1.9189689560202186E-2</v>
      </c>
      <c r="F20" s="284">
        <f>Scenarios!E10</f>
        <v>-1.9356993217242099E-2</v>
      </c>
      <c r="G20" s="284">
        <f>Scenarios!F10</f>
        <v>-2.1436647205443814E-2</v>
      </c>
      <c r="H20" s="284">
        <f>Scenarios!G10</f>
        <v>-2.8044279126252562E-2</v>
      </c>
      <c r="I20" s="284">
        <f>Scenarios!H10</f>
        <v>-3.7376302343129338E-2</v>
      </c>
      <c r="J20" s="284">
        <f>AVERAGE(E20:I20)</f>
        <v>-2.5080782290454001E-2</v>
      </c>
      <c r="K20" s="1"/>
    </row>
    <row r="21" spans="1:12">
      <c r="A21" t="s">
        <v>787</v>
      </c>
      <c r="B21" t="s">
        <v>12</v>
      </c>
      <c r="C21" s="299"/>
      <c r="E21" s="284">
        <f>Scenarios!D17</f>
        <v>-9.594844780101093E-3</v>
      </c>
      <c r="F21" s="284">
        <f>Scenarios!E17</f>
        <v>-9.6784966086210494E-3</v>
      </c>
      <c r="G21" s="284">
        <f>Scenarios!F17</f>
        <v>-1.0718323602721907E-2</v>
      </c>
      <c r="H21" s="284">
        <f>Scenarios!G17</f>
        <v>-1.4022139563126281E-2</v>
      </c>
      <c r="I21" s="284">
        <f>Scenarios!H17</f>
        <v>-1.8688151171564669E-2</v>
      </c>
      <c r="J21" s="284">
        <f t="shared" ref="J21:J23" si="3">AVERAGE(E21:I21)</f>
        <v>-1.2540391145227E-2</v>
      </c>
    </row>
    <row r="22" spans="1:12">
      <c r="A22" t="s">
        <v>241</v>
      </c>
      <c r="B22" t="s">
        <v>12</v>
      </c>
      <c r="C22" s="299"/>
      <c r="E22" s="284">
        <f>Scenarios!D24</f>
        <v>1.9189689560202186E-2</v>
      </c>
      <c r="F22" s="284">
        <f>Scenarios!E24</f>
        <v>1.9356993217242099E-2</v>
      </c>
      <c r="G22" s="284">
        <f>Scenarios!F24</f>
        <v>2.1436647205443814E-2</v>
      </c>
      <c r="H22" s="284">
        <f>Scenarios!G24</f>
        <v>2.8044279126252562E-2</v>
      </c>
      <c r="I22" s="284">
        <f>Scenarios!H24</f>
        <v>3.7376302343129338E-2</v>
      </c>
      <c r="J22" s="284">
        <f t="shared" si="3"/>
        <v>2.5080782290454001E-2</v>
      </c>
    </row>
    <row r="23" spans="1:12">
      <c r="A23" t="s">
        <v>788</v>
      </c>
      <c r="B23" t="s">
        <v>12</v>
      </c>
      <c r="C23" s="299"/>
      <c r="E23" s="284">
        <f>Scenarios!D31</f>
        <v>9.594844780101093E-3</v>
      </c>
      <c r="F23" s="284">
        <f>Scenarios!E31</f>
        <v>9.6784966086210494E-3</v>
      </c>
      <c r="G23" s="284">
        <f>Scenarios!F31</f>
        <v>1.0718323602721907E-2</v>
      </c>
      <c r="H23" s="284">
        <f>Scenarios!G31</f>
        <v>1.4022139563126281E-2</v>
      </c>
      <c r="I23" s="284">
        <f>Scenarios!H31</f>
        <v>1.8688151171564669E-2</v>
      </c>
      <c r="J23" s="284">
        <f t="shared" si="3"/>
        <v>1.2540391145227E-2</v>
      </c>
      <c r="L23" s="1"/>
    </row>
    <row r="24" spans="1:12">
      <c r="E24" s="284"/>
      <c r="F24" s="284"/>
      <c r="G24" s="284"/>
      <c r="H24" s="284"/>
      <c r="I24" s="284"/>
      <c r="J24" s="284"/>
    </row>
    <row r="25" spans="1:12">
      <c r="A25" t="s">
        <v>585</v>
      </c>
      <c r="B25" s="299" t="s">
        <v>12</v>
      </c>
      <c r="C25" s="299"/>
      <c r="E25" s="284">
        <f>Scenarios!D40</f>
        <v>-2.8422128313506888E-2</v>
      </c>
      <c r="F25" s="284">
        <f>Scenarios!E40</f>
        <v>-2.7873498084244962E-2</v>
      </c>
      <c r="G25" s="284">
        <f>Scenarios!F40</f>
        <v>-2.9212011875021891E-2</v>
      </c>
      <c r="H25" s="284">
        <f>Scenarios!G40</f>
        <v>-3.5969370489707761E-2</v>
      </c>
      <c r="I25" s="284">
        <f>Scenarios!H40</f>
        <v>-5.2322961680389239E-2</v>
      </c>
      <c r="J25" s="284">
        <f t="shared" ref="J25:J38" si="4">AVERAGE(E25:I25)</f>
        <v>-3.475999408857415E-2</v>
      </c>
    </row>
    <row r="26" spans="1:12">
      <c r="A26" t="s">
        <v>587</v>
      </c>
      <c r="B26" s="299" t="s">
        <v>12</v>
      </c>
      <c r="C26" s="299"/>
      <c r="E26" s="284">
        <f>Scenarios!D47</f>
        <v>-1.4211064156753444E-2</v>
      </c>
      <c r="F26" s="284">
        <f>Scenarios!E47</f>
        <v>-1.3936749042122481E-2</v>
      </c>
      <c r="G26" s="284">
        <f>Scenarios!F47</f>
        <v>-1.4606005937510946E-2</v>
      </c>
      <c r="H26" s="284">
        <f>Scenarios!G47</f>
        <v>-1.798468524485388E-2</v>
      </c>
      <c r="I26" s="284">
        <f>Scenarios!H47</f>
        <v>-2.616148084019462E-2</v>
      </c>
      <c r="J26" s="284">
        <f t="shared" si="4"/>
        <v>-1.7379997044287075E-2</v>
      </c>
    </row>
    <row r="27" spans="1:12">
      <c r="A27" s="299" t="s">
        <v>586</v>
      </c>
      <c r="B27" s="299" t="s">
        <v>12</v>
      </c>
      <c r="C27" s="299"/>
      <c r="E27" s="284">
        <f>Scenarios!D54</f>
        <v>2.8422128313506888E-2</v>
      </c>
      <c r="F27" s="284">
        <f>Scenarios!E54</f>
        <v>2.7873498084244962E-2</v>
      </c>
      <c r="G27" s="284">
        <f>Scenarios!F54</f>
        <v>2.9212011875021891E-2</v>
      </c>
      <c r="H27" s="284">
        <f>Scenarios!G54</f>
        <v>3.5969370489707761E-2</v>
      </c>
      <c r="I27" s="284">
        <f>Scenarios!H54</f>
        <v>5.2322961680389239E-2</v>
      </c>
      <c r="J27" s="284">
        <f t="shared" si="4"/>
        <v>3.475999408857415E-2</v>
      </c>
    </row>
    <row r="28" spans="1:12">
      <c r="A28" t="s">
        <v>588</v>
      </c>
      <c r="B28" s="299" t="s">
        <v>12</v>
      </c>
      <c r="C28" s="299"/>
      <c r="E28" s="284">
        <f>Scenarios!D61</f>
        <v>1.4211064156753444E-2</v>
      </c>
      <c r="F28" s="284">
        <f>Scenarios!E61</f>
        <v>1.3936749042122481E-2</v>
      </c>
      <c r="G28" s="284">
        <f>Scenarios!F61</f>
        <v>1.4606005937510946E-2</v>
      </c>
      <c r="H28" s="284">
        <f>Scenarios!G61</f>
        <v>1.798468524485388E-2</v>
      </c>
      <c r="I28" s="284">
        <f>Scenarios!H61</f>
        <v>2.616148084019462E-2</v>
      </c>
      <c r="J28" s="284">
        <f t="shared" si="4"/>
        <v>1.7379997044287075E-2</v>
      </c>
    </row>
    <row r="29" spans="1:12">
      <c r="E29" s="284"/>
      <c r="F29" s="284"/>
      <c r="G29" s="284"/>
      <c r="H29" s="284"/>
      <c r="I29" s="284"/>
      <c r="J29" s="284"/>
    </row>
    <row r="30" spans="1:12">
      <c r="A30" t="s">
        <v>789</v>
      </c>
      <c r="B30" t="s">
        <v>12</v>
      </c>
      <c r="C30" s="299"/>
      <c r="E30" s="284">
        <f>Scenarios!D70</f>
        <v>-7.1142857142857136E-3</v>
      </c>
      <c r="F30" s="284">
        <f>Scenarios!E70</f>
        <v>-7.1142857142857145E-3</v>
      </c>
      <c r="G30" s="284">
        <f>Scenarios!F70</f>
        <v>-7.1142857142857154E-3</v>
      </c>
      <c r="H30" s="284">
        <f>Scenarios!G70</f>
        <v>-7.1142857142857145E-3</v>
      </c>
      <c r="I30" s="284">
        <f>Scenarios!H70</f>
        <v>-7.1142857142857136E-3</v>
      </c>
      <c r="J30" s="284">
        <f t="shared" si="4"/>
        <v>-7.1142857142857145E-3</v>
      </c>
    </row>
    <row r="31" spans="1:12">
      <c r="A31" t="s">
        <v>791</v>
      </c>
      <c r="B31" t="s">
        <v>12</v>
      </c>
      <c r="C31" s="299"/>
      <c r="E31" s="284">
        <f>Scenarios!D77</f>
        <v>-3.5571428571428568E-3</v>
      </c>
      <c r="F31" s="284">
        <f>Scenarios!E77</f>
        <v>-3.5571428571428572E-3</v>
      </c>
      <c r="G31" s="284">
        <f>Scenarios!F77</f>
        <v>-3.5571428571428577E-3</v>
      </c>
      <c r="H31" s="284">
        <f>Scenarios!G77</f>
        <v>-3.5571428571428572E-3</v>
      </c>
      <c r="I31" s="284">
        <f>Scenarios!H77</f>
        <v>-3.5571428571428568E-3</v>
      </c>
      <c r="J31" s="284">
        <f t="shared" si="4"/>
        <v>-3.5571428571428572E-3</v>
      </c>
    </row>
    <row r="32" spans="1:12">
      <c r="A32" t="s">
        <v>790</v>
      </c>
      <c r="B32" t="s">
        <v>12</v>
      </c>
      <c r="C32" s="299"/>
      <c r="E32" s="284">
        <f>Scenarios!D84</f>
        <v>7.1142857142857136E-3</v>
      </c>
      <c r="F32" s="284">
        <f>Scenarios!E84</f>
        <v>7.1142857142857145E-3</v>
      </c>
      <c r="G32" s="284">
        <f>Scenarios!F84</f>
        <v>7.1142857142857154E-3</v>
      </c>
      <c r="H32" s="284">
        <f>Scenarios!G84</f>
        <v>7.1142857142857145E-3</v>
      </c>
      <c r="I32" s="284">
        <f>Scenarios!H84</f>
        <v>7.1142857142857136E-3</v>
      </c>
      <c r="J32" s="284">
        <f t="shared" si="4"/>
        <v>7.1142857142857145E-3</v>
      </c>
    </row>
    <row r="33" spans="1:11">
      <c r="A33" t="s">
        <v>792</v>
      </c>
      <c r="B33" t="s">
        <v>12</v>
      </c>
      <c r="C33" s="299"/>
      <c r="E33" s="284">
        <f>Scenarios!D91</f>
        <v>3.5571428571428568E-3</v>
      </c>
      <c r="F33" s="284">
        <f>Scenarios!E91</f>
        <v>3.5571428571428572E-3</v>
      </c>
      <c r="G33" s="284">
        <f>Scenarios!F91</f>
        <v>3.5571428571428577E-3</v>
      </c>
      <c r="H33" s="284">
        <f>Scenarios!G91</f>
        <v>3.5571428571428572E-3</v>
      </c>
      <c r="I33" s="284">
        <f>Scenarios!H91</f>
        <v>3.5571428571428568E-3</v>
      </c>
      <c r="J33" s="284">
        <f t="shared" si="4"/>
        <v>3.5571428571428572E-3</v>
      </c>
    </row>
    <row r="34" spans="1:11">
      <c r="C34" s="3"/>
    </row>
    <row r="35" spans="1:11">
      <c r="A35" t="s">
        <v>326</v>
      </c>
      <c r="B35" t="s">
        <v>12</v>
      </c>
      <c r="C35" s="299"/>
      <c r="E35" s="225">
        <f>Scenarios!D105</f>
        <v>-1.2016708161820655E-3</v>
      </c>
      <c r="F35" s="225">
        <f>Scenarios!E105</f>
        <v>-1.2020445548535108E-3</v>
      </c>
      <c r="G35" s="225">
        <f>Scenarios!F105</f>
        <v>-1.2849633188718617E-3</v>
      </c>
      <c r="H35" s="225">
        <f>Scenarios!G105</f>
        <v>-1.6138466709354261E-3</v>
      </c>
      <c r="I35" s="225">
        <f>Scenarios!H105</f>
        <v>-2.3945390508419038E-3</v>
      </c>
      <c r="J35" s="284">
        <f t="shared" si="4"/>
        <v>-1.5394128823369535E-3</v>
      </c>
    </row>
    <row r="36" spans="1:11">
      <c r="A36" t="s">
        <v>327</v>
      </c>
      <c r="B36" t="s">
        <v>12</v>
      </c>
      <c r="C36" s="299"/>
      <c r="E36" s="225">
        <f>Scenarios!D117</f>
        <v>-6.0083540809103273E-4</v>
      </c>
      <c r="F36" s="225">
        <f>Scenarios!E117</f>
        <v>-6.0102227742675539E-4</v>
      </c>
      <c r="G36" s="225">
        <f>Scenarios!F117</f>
        <v>-6.4248165943593086E-4</v>
      </c>
      <c r="H36" s="225">
        <f>Scenarios!G117</f>
        <v>-8.0692333546771304E-4</v>
      </c>
      <c r="I36" s="225">
        <f>Scenarios!H117</f>
        <v>-1.1972695254209519E-3</v>
      </c>
      <c r="J36" s="284">
        <f t="shared" si="4"/>
        <v>-7.6970644116847674E-4</v>
      </c>
    </row>
    <row r="37" spans="1:11">
      <c r="A37" t="s">
        <v>328</v>
      </c>
      <c r="B37" t="s">
        <v>12</v>
      </c>
      <c r="C37" s="299"/>
      <c r="E37" s="225">
        <f>Scenarios!D129</f>
        <v>1.2016708161820655E-3</v>
      </c>
      <c r="F37" s="225">
        <f>Scenarios!E129</f>
        <v>1.2020445548535108E-3</v>
      </c>
      <c r="G37" s="225">
        <f>Scenarios!F129</f>
        <v>1.2849633188718617E-3</v>
      </c>
      <c r="H37" s="225">
        <f>Scenarios!G129</f>
        <v>1.6138466709354261E-3</v>
      </c>
      <c r="I37" s="225">
        <f>Scenarios!H129</f>
        <v>2.3945390508419038E-3</v>
      </c>
      <c r="J37" s="284">
        <f t="shared" si="4"/>
        <v>1.5394128823369535E-3</v>
      </c>
    </row>
    <row r="38" spans="1:11">
      <c r="A38" t="s">
        <v>329</v>
      </c>
      <c r="B38" t="s">
        <v>12</v>
      </c>
      <c r="C38" s="299"/>
      <c r="E38" s="225">
        <f>Scenarios!D141</f>
        <v>6.0083540809103273E-4</v>
      </c>
      <c r="F38" s="225">
        <f>Scenarios!E141</f>
        <v>6.0102227742675539E-4</v>
      </c>
      <c r="G38" s="225">
        <f>Scenarios!F141</f>
        <v>6.4248165943593086E-4</v>
      </c>
      <c r="H38" s="225">
        <f>Scenarios!G141</f>
        <v>8.0692333546771304E-4</v>
      </c>
      <c r="I38" s="225">
        <f>Scenarios!H141</f>
        <v>1.1972695254209519E-3</v>
      </c>
      <c r="J38" s="284">
        <f t="shared" si="4"/>
        <v>7.6970644116847674E-4</v>
      </c>
      <c r="K38" s="1"/>
    </row>
    <row r="39" spans="1:11">
      <c r="C39" s="3"/>
    </row>
    <row r="40" spans="1:11">
      <c r="A40" t="s">
        <v>793</v>
      </c>
      <c r="B40" t="s">
        <v>12</v>
      </c>
      <c r="C40" s="299"/>
      <c r="E40" s="225">
        <f>Scenarios!D151</f>
        <v>0</v>
      </c>
      <c r="F40" s="225">
        <f>Scenarios!E151</f>
        <v>0</v>
      </c>
      <c r="G40" s="225">
        <f>Scenarios!F151</f>
        <v>-9.5547130842723316E-3</v>
      </c>
      <c r="H40" s="225">
        <f>Scenarios!G151</f>
        <v>0</v>
      </c>
      <c r="I40" s="225">
        <f>Scenarios!H151</f>
        <v>0</v>
      </c>
      <c r="J40" s="282">
        <f>G40</f>
        <v>-9.5547130842723316E-3</v>
      </c>
    </row>
    <row r="41" spans="1:11">
      <c r="A41" t="s">
        <v>794</v>
      </c>
      <c r="B41" t="s">
        <v>12</v>
      </c>
      <c r="C41" s="299"/>
      <c r="E41" s="225">
        <f>Scenarios!D159</f>
        <v>0</v>
      </c>
      <c r="F41" s="225">
        <f>Scenarios!E159</f>
        <v>0</v>
      </c>
      <c r="G41" s="225">
        <f>Scenarios!F159</f>
        <v>-4.7773565421361658E-3</v>
      </c>
      <c r="H41" s="225">
        <f>Scenarios!G159</f>
        <v>0</v>
      </c>
      <c r="I41" s="225">
        <f>Scenarios!H159</f>
        <v>0</v>
      </c>
      <c r="J41" s="282">
        <f>G41</f>
        <v>-4.7773565421361658E-3</v>
      </c>
    </row>
    <row r="42" spans="1:11">
      <c r="C42" s="3"/>
    </row>
    <row r="43" spans="1:11">
      <c r="A43" s="1" t="s">
        <v>360</v>
      </c>
      <c r="C43" s="3"/>
    </row>
    <row r="44" spans="1:11">
      <c r="A44" t="s">
        <v>361</v>
      </c>
      <c r="B44" t="s">
        <v>12</v>
      </c>
      <c r="C44" s="299"/>
      <c r="E44" s="225">
        <f>E25+E30+E40</f>
        <v>-3.5536414027792604E-2</v>
      </c>
      <c r="F44" s="225">
        <f t="shared" ref="F44:I44" si="5">F25+F30+F40</f>
        <v>-3.4987783798530674E-2</v>
      </c>
      <c r="G44" s="225">
        <f t="shared" si="5"/>
        <v>-4.5881010673579942E-2</v>
      </c>
      <c r="H44" s="225">
        <f t="shared" si="5"/>
        <v>-4.3083656203993473E-2</v>
      </c>
      <c r="I44" s="225">
        <f t="shared" si="5"/>
        <v>-5.9437247394674951E-2</v>
      </c>
      <c r="J44" s="225">
        <f>J25+J30+J40</f>
        <v>-5.1428992887132194E-2</v>
      </c>
    </row>
    <row r="45" spans="1:11">
      <c r="A45" t="s">
        <v>362</v>
      </c>
      <c r="B45" t="s">
        <v>12</v>
      </c>
      <c r="C45" s="299"/>
      <c r="E45" s="225">
        <f t="shared" ref="E45:J45" si="6">E26+E31+E41</f>
        <v>-1.7768207013896302E-2</v>
      </c>
      <c r="F45" s="225">
        <f t="shared" si="6"/>
        <v>-1.7493891899265337E-2</v>
      </c>
      <c r="G45" s="225">
        <f t="shared" si="6"/>
        <v>-2.2940505336789971E-2</v>
      </c>
      <c r="H45" s="225">
        <f t="shared" si="6"/>
        <v>-2.1541828101996736E-2</v>
      </c>
      <c r="I45" s="225">
        <f t="shared" si="6"/>
        <v>-2.9718623697337476E-2</v>
      </c>
      <c r="J45" s="225">
        <f t="shared" si="6"/>
        <v>-2.5714496443566097E-2</v>
      </c>
    </row>
    <row r="46" spans="1:11">
      <c r="A46" t="s">
        <v>363</v>
      </c>
      <c r="B46" t="s">
        <v>12</v>
      </c>
      <c r="C46" s="299"/>
      <c r="E46" s="225">
        <f>E27+E32</f>
        <v>3.5536414027792604E-2</v>
      </c>
      <c r="F46" s="225">
        <f t="shared" ref="F46:J46" si="7">F27+F32</f>
        <v>3.4987783798530674E-2</v>
      </c>
      <c r="G46" s="225">
        <f t="shared" si="7"/>
        <v>3.632629758930761E-2</v>
      </c>
      <c r="H46" s="225">
        <f t="shared" si="7"/>
        <v>4.3083656203993473E-2</v>
      </c>
      <c r="I46" s="225">
        <f t="shared" si="7"/>
        <v>5.9437247394674951E-2</v>
      </c>
      <c r="J46" s="225">
        <f t="shared" si="7"/>
        <v>4.1874279802859862E-2</v>
      </c>
    </row>
    <row r="47" spans="1:11">
      <c r="A47" t="s">
        <v>364</v>
      </c>
      <c r="B47" t="s">
        <v>12</v>
      </c>
      <c r="C47" s="299"/>
      <c r="E47" s="225">
        <f t="shared" ref="E47:J47" si="8">E28+E33</f>
        <v>1.7768207013896302E-2</v>
      </c>
      <c r="F47" s="225">
        <f t="shared" si="8"/>
        <v>1.7493891899265337E-2</v>
      </c>
      <c r="G47" s="225">
        <f t="shared" si="8"/>
        <v>1.8163148794653805E-2</v>
      </c>
      <c r="H47" s="225">
        <f t="shared" si="8"/>
        <v>2.1541828101996736E-2</v>
      </c>
      <c r="I47" s="225">
        <f t="shared" si="8"/>
        <v>2.9718623697337476E-2</v>
      </c>
      <c r="J47" s="225">
        <f t="shared" si="8"/>
        <v>2.0937139901429931E-2</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
  <sheetViews>
    <sheetView showGridLines="0" topLeftCell="D1" workbookViewId="0">
      <selection activeCell="S30" sqref="S30"/>
    </sheetView>
  </sheetViews>
  <sheetFormatPr defaultColWidth="8.6640625" defaultRowHeight="14.25"/>
  <cols>
    <col min="1" max="16384" width="8.6640625" style="299"/>
  </cols>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CA8D0"/>
  </sheetPr>
  <dimension ref="A2:H33"/>
  <sheetViews>
    <sheetView showGridLines="0" workbookViewId="0"/>
  </sheetViews>
  <sheetFormatPr defaultColWidth="8.796875" defaultRowHeight="14.25"/>
  <cols>
    <col min="1" max="1" width="25.1328125" customWidth="1"/>
  </cols>
  <sheetData>
    <row r="2" spans="1:8">
      <c r="B2" s="228" t="s">
        <v>365</v>
      </c>
    </row>
    <row r="3" spans="1:8">
      <c r="A3" t="s">
        <v>816</v>
      </c>
      <c r="B3" s="74">
        <f>RoRE!J11</f>
        <v>3.986614198687672E-2</v>
      </c>
    </row>
    <row r="4" spans="1:8">
      <c r="A4" t="s">
        <v>366</v>
      </c>
      <c r="B4" s="74">
        <f>RoRE!J27</f>
        <v>3.475999408857415E-2</v>
      </c>
    </row>
    <row r="5" spans="1:8">
      <c r="A5" t="s">
        <v>368</v>
      </c>
      <c r="B5" s="74">
        <f>RoRE!J32</f>
        <v>7.1142857142857145E-3</v>
      </c>
    </row>
    <row r="6" spans="1:8">
      <c r="A6" t="s">
        <v>367</v>
      </c>
      <c r="B6" s="74">
        <f>RoRE!J25</f>
        <v>-3.475999408857415E-2</v>
      </c>
    </row>
    <row r="7" spans="1:8">
      <c r="A7" t="s">
        <v>369</v>
      </c>
      <c r="B7" s="74">
        <f>RoRE!J30</f>
        <v>-7.1142857142857145E-3</v>
      </c>
    </row>
    <row r="8" spans="1:8">
      <c r="B8" s="74"/>
      <c r="C8" s="74"/>
    </row>
    <row r="10" spans="1:8">
      <c r="B10" s="299"/>
      <c r="C10" s="299"/>
    </row>
    <row r="11" spans="1:8">
      <c r="B11" s="228" t="s">
        <v>374</v>
      </c>
      <c r="C11" s="228" t="s">
        <v>375</v>
      </c>
      <c r="D11" s="228" t="s">
        <v>378</v>
      </c>
      <c r="E11" s="228" t="s">
        <v>412</v>
      </c>
      <c r="F11" s="228" t="s">
        <v>413</v>
      </c>
    </row>
    <row r="12" spans="1:8" s="299" customFormat="1">
      <c r="A12" t="s">
        <v>401</v>
      </c>
      <c r="B12" s="283">
        <f>'RoRE inputs'!E18</f>
        <v>5.1045284888207969E-2</v>
      </c>
      <c r="C12" s="283">
        <f>'RoRE inputs'!F18</f>
        <v>4.5592820781085029E-2</v>
      </c>
      <c r="D12" s="283">
        <f>'RoRE inputs'!I18</f>
        <v>4.1491298939063108E-2</v>
      </c>
      <c r="E12" s="283">
        <f>'RoRE inputs'!S18</f>
        <v>4.7458275753595534E-2</v>
      </c>
      <c r="F12" s="283">
        <f>AVERAGE(B12:D12)</f>
        <v>4.6043134869452031E-2</v>
      </c>
      <c r="G12"/>
      <c r="H12"/>
    </row>
    <row r="13" spans="1:8">
      <c r="A13" t="s">
        <v>402</v>
      </c>
      <c r="B13" s="283">
        <f>'RoRE inputs'!E19</f>
        <v>-5.8188553106647029E-2</v>
      </c>
      <c r="C13" s="283">
        <f>'RoRE inputs'!F19</f>
        <v>-4.6386929211972683E-2</v>
      </c>
      <c r="D13" s="283">
        <f>'RoRE inputs'!I19</f>
        <v>-3.9946036151982403E-2</v>
      </c>
      <c r="E13" s="283">
        <f>'RoRE inputs'!S19</f>
        <v>-5.5897359838370499E-2</v>
      </c>
      <c r="F13" s="283">
        <f>AVERAGE(B13:D13)</f>
        <v>-4.8173839490200709E-2</v>
      </c>
    </row>
    <row r="14" spans="1:8">
      <c r="A14" t="s">
        <v>400</v>
      </c>
      <c r="B14" s="283">
        <f>'RoRE inputs'!E20</f>
        <v>3.9136370136326024E-2</v>
      </c>
      <c r="C14" s="283">
        <f>'RoRE inputs'!F20</f>
        <v>3.9014016727115283E-2</v>
      </c>
      <c r="D14" s="283">
        <f>'RoRE inputs'!I20</f>
        <v>3.8616331421237882E-2</v>
      </c>
      <c r="E14" s="283">
        <f>'RoRE inputs'!S20</f>
        <v>3.9726343748397439E-2</v>
      </c>
      <c r="F14" s="283">
        <f>AVERAGE(B14:D14)</f>
        <v>3.8922239428226396E-2</v>
      </c>
    </row>
    <row r="15" spans="1:8">
      <c r="A15" s="299" t="s">
        <v>430</v>
      </c>
      <c r="B15" s="283">
        <f>'RoRE inputs'!E21</f>
        <v>-4.6632276380639014E-2</v>
      </c>
      <c r="C15" s="283">
        <f>'RoRE inputs'!F21</f>
        <v>-3.4750561034139954E-2</v>
      </c>
      <c r="D15" s="283">
        <f>'RoRE inputs'!I21</f>
        <v>-2.8303015262114421E-2</v>
      </c>
      <c r="E15" s="283">
        <f>'RoRE inputs'!S21</f>
        <v>-4.3726134445913487E-2</v>
      </c>
      <c r="F15" s="283">
        <f>AVERAGE(B15:D15)</f>
        <v>-3.6561950892297801E-2</v>
      </c>
      <c r="G15" s="299"/>
      <c r="H15" s="299"/>
    </row>
    <row r="16" spans="1:8">
      <c r="A16" s="299" t="s">
        <v>431</v>
      </c>
      <c r="B16" s="283">
        <f>'RoRE inputs'!E22</f>
        <v>3.8707714274175506E-2</v>
      </c>
      <c r="C16" s="283">
        <f>'RoRE inputs'!F22</f>
        <v>3.3272162058440038E-2</v>
      </c>
      <c r="D16" s="283">
        <f>'RoRE inputs'!I22</f>
        <v>2.9145681961013394E-2</v>
      </c>
      <c r="E16" s="283">
        <f>'RoRE inputs'!S22</f>
        <v>3.5730943607199098E-2</v>
      </c>
      <c r="F16" s="283">
        <f t="shared" ref="F16:F18" si="0">AVERAGE(B16:D16)</f>
        <v>3.3708519431209644E-2</v>
      </c>
      <c r="G16" s="299"/>
      <c r="H16" s="299"/>
    </row>
    <row r="17" spans="1:8">
      <c r="A17" s="299" t="s">
        <v>432</v>
      </c>
      <c r="B17" s="283">
        <f>'RoRE inputs'!E23</f>
        <v>-1.1556276726008018E-2</v>
      </c>
      <c r="C17" s="283">
        <f>'RoRE inputs'!F23</f>
        <v>-1.1636368177832718E-2</v>
      </c>
      <c r="D17" s="283">
        <f>'RoRE inputs'!I23</f>
        <v>-1.1643020889867982E-2</v>
      </c>
      <c r="E17" s="283">
        <f>'RoRE inputs'!S23</f>
        <v>-1.2171225392457009E-2</v>
      </c>
      <c r="F17" s="283">
        <f t="shared" si="0"/>
        <v>-1.1611888597902907E-2</v>
      </c>
      <c r="G17" s="299"/>
      <c r="H17" s="299"/>
    </row>
    <row r="18" spans="1:8">
      <c r="A18" s="299" t="s">
        <v>433</v>
      </c>
      <c r="B18" s="283">
        <f>'RoRE inputs'!E24</f>
        <v>1.2337570614032463E-2</v>
      </c>
      <c r="C18" s="283">
        <f>'RoRE inputs'!F24</f>
        <v>1.2320658722644991E-2</v>
      </c>
      <c r="D18" s="283">
        <f>'RoRE inputs'!I24</f>
        <v>1.2345616978049714E-2</v>
      </c>
      <c r="E18" s="283">
        <f>'RoRE inputs'!S24</f>
        <v>1.172733214639644E-2</v>
      </c>
      <c r="F18" s="283">
        <f t="shared" si="0"/>
        <v>1.2334615438242389E-2</v>
      </c>
      <c r="G18" s="299"/>
      <c r="H18" s="299"/>
    </row>
    <row r="19" spans="1:8">
      <c r="A19" s="299"/>
      <c r="B19" s="283"/>
      <c r="C19" s="283"/>
      <c r="D19" s="283"/>
      <c r="E19" s="283"/>
      <c r="F19" s="283"/>
      <c r="G19" s="299"/>
      <c r="H19" s="299"/>
    </row>
    <row r="21" spans="1:8">
      <c r="B21" s="1" t="s">
        <v>370</v>
      </c>
      <c r="C21" s="228" t="s">
        <v>412</v>
      </c>
      <c r="D21" s="228" t="s">
        <v>414</v>
      </c>
      <c r="E21" s="228" t="s">
        <v>404</v>
      </c>
      <c r="F21" s="228" t="s">
        <v>405</v>
      </c>
      <c r="G21" s="228" t="s">
        <v>406</v>
      </c>
    </row>
    <row r="22" spans="1:8">
      <c r="A22" t="s">
        <v>429</v>
      </c>
      <c r="B22" s="74">
        <f>B6</f>
        <v>-3.475999408857415E-2</v>
      </c>
      <c r="C22" s="283">
        <f>E15</f>
        <v>-4.3726134445913487E-2</v>
      </c>
      <c r="D22" s="283">
        <f>F15</f>
        <v>-3.6561950892297801E-2</v>
      </c>
      <c r="E22" s="283">
        <f>B15</f>
        <v>-4.6632276380639014E-2</v>
      </c>
      <c r="F22" s="283">
        <f t="shared" ref="F22:G22" si="1">C15</f>
        <v>-3.4750561034139954E-2</v>
      </c>
      <c r="G22" s="283">
        <f t="shared" si="1"/>
        <v>-2.8303015262114421E-2</v>
      </c>
    </row>
    <row r="23" spans="1:8">
      <c r="A23" t="s">
        <v>394</v>
      </c>
      <c r="B23" s="74">
        <f>B7</f>
        <v>-7.1142857142857145E-3</v>
      </c>
      <c r="C23" s="283">
        <f>E17</f>
        <v>-1.2171225392457009E-2</v>
      </c>
      <c r="D23" s="283">
        <f>F17</f>
        <v>-1.1611888597902907E-2</v>
      </c>
      <c r="E23" s="283">
        <f>B17</f>
        <v>-1.1556276726008018E-2</v>
      </c>
      <c r="F23" s="283">
        <f t="shared" ref="F23:G23" si="2">C17</f>
        <v>-1.1636368177832718E-2</v>
      </c>
      <c r="G23" s="283">
        <f t="shared" si="2"/>
        <v>-1.1643020889867982E-2</v>
      </c>
    </row>
    <row r="24" spans="1:8">
      <c r="A24" s="299" t="s">
        <v>429</v>
      </c>
      <c r="B24" s="74">
        <f>B4</f>
        <v>3.475999408857415E-2</v>
      </c>
      <c r="C24" s="283">
        <f>E16</f>
        <v>3.5730943607199098E-2</v>
      </c>
      <c r="D24" s="283">
        <f>F16</f>
        <v>3.3708519431209644E-2</v>
      </c>
      <c r="E24" s="283">
        <f>B16</f>
        <v>3.8707714274175506E-2</v>
      </c>
      <c r="F24" s="283">
        <f t="shared" ref="F24:G24" si="3">C16</f>
        <v>3.3272162058440038E-2</v>
      </c>
      <c r="G24" s="283">
        <f t="shared" si="3"/>
        <v>2.9145681961013394E-2</v>
      </c>
    </row>
    <row r="25" spans="1:8">
      <c r="A25" s="299" t="s">
        <v>394</v>
      </c>
      <c r="B25" s="74">
        <f>B5</f>
        <v>7.1142857142857145E-3</v>
      </c>
      <c r="C25" s="283">
        <f>E18</f>
        <v>1.172733214639644E-2</v>
      </c>
      <c r="D25" s="283">
        <f>F18</f>
        <v>1.2334615438242389E-2</v>
      </c>
      <c r="E25" s="283">
        <f>B18</f>
        <v>1.2337570614032463E-2</v>
      </c>
      <c r="F25" s="283">
        <f t="shared" ref="F25:G25" si="4">C18</f>
        <v>1.2320658722644991E-2</v>
      </c>
      <c r="G25" s="283">
        <f t="shared" si="4"/>
        <v>1.2345616978049714E-2</v>
      </c>
    </row>
    <row r="29" spans="1:8" s="299" customFormat="1">
      <c r="A29"/>
      <c r="B29"/>
      <c r="C29"/>
      <c r="D29"/>
      <c r="E29"/>
      <c r="F29"/>
      <c r="G29"/>
      <c r="H29"/>
    </row>
    <row r="30" spans="1:8" s="299" customFormat="1"/>
    <row r="31" spans="1:8" s="299" customFormat="1"/>
    <row r="32" spans="1:8" s="299" customFormat="1"/>
    <row r="33" s="299" customFormat="1"/>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CA8D0"/>
  </sheetPr>
  <dimension ref="A1:S40"/>
  <sheetViews>
    <sheetView showGridLines="0" topLeftCell="A23" zoomScale="80" zoomScaleNormal="80" workbookViewId="0">
      <selection activeCell="O51" sqref="O51"/>
    </sheetView>
  </sheetViews>
  <sheetFormatPr defaultColWidth="8.6640625" defaultRowHeight="14.25"/>
  <cols>
    <col min="1" max="1" width="31" customWidth="1"/>
    <col min="2" max="2" width="15" customWidth="1"/>
    <col min="3" max="3" width="14" customWidth="1"/>
    <col min="4" max="11" width="10" customWidth="1"/>
    <col min="12" max="12" width="11.6640625" customWidth="1"/>
    <col min="13" max="13" width="10" customWidth="1"/>
  </cols>
  <sheetData>
    <row r="1" spans="1:19" ht="18">
      <c r="A1" s="267" t="s">
        <v>418</v>
      </c>
      <c r="B1" s="267"/>
    </row>
    <row r="4" spans="1:19">
      <c r="A4" s="65" t="s">
        <v>417</v>
      </c>
      <c r="B4" s="1" t="s">
        <v>10</v>
      </c>
      <c r="C4" s="1" t="s">
        <v>11</v>
      </c>
      <c r="D4" s="238" t="s">
        <v>35</v>
      </c>
      <c r="E4" s="238" t="s">
        <v>36</v>
      </c>
      <c r="F4" s="238" t="s">
        <v>37</v>
      </c>
      <c r="G4" s="238" t="s">
        <v>15</v>
      </c>
      <c r="H4" s="238" t="s">
        <v>16</v>
      </c>
      <c r="I4" s="238" t="s">
        <v>0</v>
      </c>
      <c r="J4" s="238" t="s">
        <v>1</v>
      </c>
      <c r="K4" s="238" t="s">
        <v>2</v>
      </c>
      <c r="L4" s="238" t="s">
        <v>3</v>
      </c>
      <c r="M4" s="238" t="s">
        <v>4</v>
      </c>
      <c r="N4" s="238" t="s">
        <v>5</v>
      </c>
      <c r="O4" s="238" t="s">
        <v>6</v>
      </c>
      <c r="P4" s="238" t="s">
        <v>7</v>
      </c>
      <c r="Q4" s="238" t="s">
        <v>8</v>
      </c>
      <c r="R4" s="238" t="s">
        <v>9</v>
      </c>
    </row>
    <row r="5" spans="1:19">
      <c r="A5" s="234" t="s">
        <v>332</v>
      </c>
      <c r="B5" s="63" t="s">
        <v>40</v>
      </c>
      <c r="C5" t="s">
        <v>52</v>
      </c>
      <c r="D5" s="266">
        <f>'RAB summary'!D41</f>
        <v>18916.576112074305</v>
      </c>
      <c r="E5" s="266">
        <f>'RAB summary'!E41</f>
        <v>18542.521837587261</v>
      </c>
      <c r="F5" s="266">
        <f>'RAB summary'!F41</f>
        <v>18162.309628286301</v>
      </c>
      <c r="G5" s="266">
        <f>'RAB summary'!G41</f>
        <v>15004.777886690661</v>
      </c>
      <c r="H5" s="266">
        <f>'RAB summary'!H41</f>
        <v>12700.561103870159</v>
      </c>
      <c r="I5" s="266">
        <f>'RAB summary'!I41</f>
        <v>10622.382932505057</v>
      </c>
      <c r="J5" s="266">
        <f>'RAB summary'!J41</f>
        <v>11228.117082217021</v>
      </c>
      <c r="K5" s="266">
        <f>'RAB summary'!K41</f>
        <v>13670.786183561995</v>
      </c>
      <c r="L5" s="266">
        <f>'RAB summary'!L41</f>
        <v>17072.637523554946</v>
      </c>
      <c r="M5" s="266">
        <f>'RAB summary'!M41</f>
        <v>17455.856882938489</v>
      </c>
      <c r="N5" s="266">
        <f>'RAB summary'!N41</f>
        <v>40944.61483145041</v>
      </c>
      <c r="O5" s="266">
        <f>'RAB summary'!O41</f>
        <v>43341.20833081333</v>
      </c>
      <c r="P5" s="266">
        <f>'RAB summary'!P41</f>
        <v>42571.787371120125</v>
      </c>
      <c r="Q5" s="266">
        <f>'RAB summary'!Q41</f>
        <v>39380.287752457043</v>
      </c>
      <c r="R5" s="266">
        <f>'RAB summary'!R41</f>
        <v>27079.798346018826</v>
      </c>
    </row>
    <row r="6" spans="1:19">
      <c r="A6" s="234" t="s">
        <v>60</v>
      </c>
      <c r="B6" s="63" t="s">
        <v>40</v>
      </c>
      <c r="C6" t="s">
        <v>52</v>
      </c>
      <c r="D6" s="266">
        <f>'RAB summary'!D42</f>
        <v>2261.9389587073606</v>
      </c>
      <c r="E6" s="266">
        <f>'RAB summary'!E42</f>
        <v>2674.2482046678633</v>
      </c>
      <c r="F6" s="266">
        <f>'RAB summary'!F42</f>
        <v>274.36041292639135</v>
      </c>
      <c r="G6" s="266">
        <f>'RAB summary'!G42</f>
        <v>1589.5175044883301</v>
      </c>
      <c r="H6" s="266">
        <f>'RAB summary'!H42</f>
        <v>1953.3113556688472</v>
      </c>
      <c r="I6" s="266">
        <f>'RAB summary'!I42</f>
        <v>3044.212083594326</v>
      </c>
      <c r="J6" s="266">
        <f>'RAB summary'!J42</f>
        <v>3734.0668291301954</v>
      </c>
      <c r="K6" s="266">
        <f>'RAB summary'!K42</f>
        <v>2615.0389027522874</v>
      </c>
      <c r="L6" s="266">
        <f>'RAB summary'!L42</f>
        <v>2674.1557514388314</v>
      </c>
      <c r="M6" s="266">
        <f>'RAB summary'!M42</f>
        <v>31603.534517337008</v>
      </c>
      <c r="N6" s="266">
        <f>'RAB summary'!N42</f>
        <v>9866.5555504363474</v>
      </c>
      <c r="O6" s="266">
        <f>'RAB summary'!O42</f>
        <v>7491.7346561818495</v>
      </c>
      <c r="P6" s="266">
        <f>'RAB summary'!P42</f>
        <v>6501.5571812275111</v>
      </c>
      <c r="Q6" s="266">
        <f>'RAB summary'!Q42</f>
        <v>5713.7175140194386</v>
      </c>
      <c r="R6" s="266">
        <f>'RAB summary'!R42</f>
        <v>4954.8632947356664</v>
      </c>
    </row>
    <row r="7" spans="1:19">
      <c r="A7" s="234" t="s">
        <v>61</v>
      </c>
      <c r="B7" s="63" t="s">
        <v>40</v>
      </c>
      <c r="C7" t="s">
        <v>52</v>
      </c>
      <c r="D7" s="266">
        <f>'RAB summary'!D43</f>
        <v>3255.3516945736069</v>
      </c>
      <c r="E7" s="266">
        <f>'RAB summary'!E43</f>
        <v>3564.0242111552134</v>
      </c>
      <c r="F7" s="266">
        <f>'RAB summary'!F43</f>
        <v>3795.7154744183249</v>
      </c>
      <c r="G7" s="266">
        <f>'RAB summary'!G43</f>
        <v>4006.9563436611643</v>
      </c>
      <c r="H7" s="266">
        <f>'RAB summary'!H43</f>
        <v>4169.6536508691333</v>
      </c>
      <c r="I7" s="266">
        <f>'RAB summary'!I43</f>
        <v>2820.2173173132433</v>
      </c>
      <c r="J7" s="266">
        <f>'RAB summary'!J43</f>
        <v>1736.1748256415469</v>
      </c>
      <c r="K7" s="266">
        <f>'RAB summary'!K43</f>
        <v>1576.2798025860911</v>
      </c>
      <c r="L7" s="266">
        <f>'RAB summary'!L43</f>
        <v>2553.4304805205279</v>
      </c>
      <c r="M7" s="266">
        <f>'RAB summary'!M43</f>
        <v>7767.088213301794</v>
      </c>
      <c r="N7" s="266">
        <f>'RAB summary'!N43</f>
        <v>7373.8032592749241</v>
      </c>
      <c r="O7" s="266">
        <f>'RAB summary'!O43</f>
        <v>8053.6364291633527</v>
      </c>
      <c r="P7" s="266">
        <f>'RAB summary'!P43</f>
        <v>8632.1450533120478</v>
      </c>
      <c r="Q7" s="266">
        <f>'RAB summary'!Q43</f>
        <v>9140.7153663649369</v>
      </c>
      <c r="R7" s="266">
        <f>'RAB summary'!R43</f>
        <v>3751.2383499160892</v>
      </c>
    </row>
    <row r="8" spans="1:19">
      <c r="A8" s="234" t="s">
        <v>337</v>
      </c>
      <c r="B8" s="63" t="s">
        <v>40</v>
      </c>
      <c r="C8" t="s">
        <v>52</v>
      </c>
      <c r="D8" s="266">
        <f>'RAB summary'!D44</f>
        <v>0</v>
      </c>
      <c r="E8" s="266">
        <f>'RAB summary'!E44</f>
        <v>0</v>
      </c>
      <c r="F8" s="266">
        <f>'RAB summary'!F44</f>
        <v>0</v>
      </c>
      <c r="G8" s="266">
        <f>'RAB summary'!G44</f>
        <v>0</v>
      </c>
      <c r="H8" s="266">
        <f>'RAB summary'!H44</f>
        <v>0</v>
      </c>
      <c r="I8" s="266">
        <f>'RAB summary'!I44</f>
        <v>0</v>
      </c>
      <c r="J8" s="266">
        <f>'RAB summary'!J44</f>
        <v>0</v>
      </c>
      <c r="K8" s="266">
        <f>'RAB summary'!K44</f>
        <v>0</v>
      </c>
      <c r="L8" s="266">
        <f>'RAB summary'!L44</f>
        <v>0</v>
      </c>
      <c r="M8" s="266">
        <f>'RAB summary'!M44</f>
        <v>828.76868702290096</v>
      </c>
      <c r="N8" s="266">
        <f>'RAB summary'!N44</f>
        <v>945.98640612817621</v>
      </c>
      <c r="O8" s="266">
        <f>'RAB summary'!O44</f>
        <v>1042.2601155572008</v>
      </c>
      <c r="P8" s="266">
        <f>'RAB summary'!P44</f>
        <v>1833.0742515286784</v>
      </c>
      <c r="Q8" s="266">
        <f>'RAB summary'!Q44</f>
        <v>9404.4679922499545</v>
      </c>
      <c r="R8" s="266">
        <f>'RAB summary'!R44</f>
        <v>10040.317594951888</v>
      </c>
    </row>
    <row r="9" spans="1:19">
      <c r="A9" s="234" t="s">
        <v>246</v>
      </c>
      <c r="B9" s="63" t="s">
        <v>40</v>
      </c>
      <c r="C9" t="s">
        <v>52</v>
      </c>
      <c r="D9" s="266">
        <f>'RAB summary'!D45</f>
        <v>0</v>
      </c>
      <c r="E9" s="266">
        <f>'RAB summary'!E45</f>
        <v>0</v>
      </c>
      <c r="F9" s="266">
        <f>'RAB summary'!F45</f>
        <v>0</v>
      </c>
      <c r="G9" s="266">
        <f>'RAB summary'!G45</f>
        <v>0</v>
      </c>
      <c r="H9" s="266">
        <f>'RAB summary'!H45</f>
        <v>0</v>
      </c>
      <c r="I9" s="266">
        <f>'RAB summary'!I45</f>
        <v>0</v>
      </c>
      <c r="J9" s="266">
        <f>'RAB summary'!J45</f>
        <v>0</v>
      </c>
      <c r="K9" s="266">
        <f>'RAB summary'!K45</f>
        <v>0</v>
      </c>
      <c r="L9" s="266">
        <f>'RAB summary'!L45</f>
        <v>0</v>
      </c>
      <c r="M9" s="266">
        <f>'RAB summary'!M45</f>
        <v>321.75525343079295</v>
      </c>
      <c r="N9" s="266">
        <f>'RAB summary'!N45</f>
        <v>0</v>
      </c>
      <c r="O9" s="266">
        <f>'RAB summary'!O45</f>
        <v>0</v>
      </c>
      <c r="P9" s="266">
        <f>'RAB summary'!P45</f>
        <v>0</v>
      </c>
      <c r="Q9" s="266">
        <f>'RAB summary'!Q45</f>
        <v>0</v>
      </c>
      <c r="R9" s="266">
        <f>'RAB summary'!R45</f>
        <v>0</v>
      </c>
    </row>
    <row r="10" spans="1:19">
      <c r="A10" s="234" t="s">
        <v>333</v>
      </c>
      <c r="B10" s="63" t="s">
        <v>40</v>
      </c>
      <c r="C10" t="s">
        <v>52</v>
      </c>
      <c r="D10" s="266">
        <f>'RAB summary'!D46</f>
        <v>17923.163376208056</v>
      </c>
      <c r="E10" s="266">
        <f>'RAB summary'!E46</f>
        <v>17652.745831099914</v>
      </c>
      <c r="F10" s="266">
        <f>'RAB summary'!F46</f>
        <v>14640.954566794369</v>
      </c>
      <c r="G10" s="266">
        <f>'RAB summary'!G46</f>
        <v>12587.339047517828</v>
      </c>
      <c r="H10" s="266">
        <f>'RAB summary'!H46</f>
        <v>10484.218808669873</v>
      </c>
      <c r="I10" s="266">
        <f>'RAB summary'!I46</f>
        <v>10846.377698786138</v>
      </c>
      <c r="J10" s="266">
        <f>'RAB summary'!J46</f>
        <v>13226.009085705671</v>
      </c>
      <c r="K10" s="266">
        <f>'RAB summary'!K46</f>
        <v>14709.545283728192</v>
      </c>
      <c r="L10" s="266">
        <f>'RAB summary'!L46</f>
        <v>17193.362794473247</v>
      </c>
      <c r="M10" s="266">
        <f>'RAB summary'!M46</f>
        <v>40141.779246520011</v>
      </c>
      <c r="N10" s="266">
        <f>'RAB summary'!N46</f>
        <v>42491.380716483662</v>
      </c>
      <c r="O10" s="266">
        <f>'RAB summary'!O46</f>
        <v>41737.04644227463</v>
      </c>
      <c r="P10" s="266">
        <f>'RAB summary'!P46</f>
        <v>38608.125247506905</v>
      </c>
      <c r="Q10" s="266">
        <f>'RAB summary'!Q46</f>
        <v>26548.821907861591</v>
      </c>
      <c r="R10" s="266">
        <f>'RAB summary'!R46</f>
        <v>18243.105695886523</v>
      </c>
    </row>
    <row r="11" spans="1:19">
      <c r="A11" s="234" t="s">
        <v>237</v>
      </c>
      <c r="B11" s="63" t="s">
        <v>40</v>
      </c>
      <c r="C11" t="s">
        <v>52</v>
      </c>
      <c r="D11" s="266">
        <f>'RAB summary'!D47</f>
        <v>18419.869744141179</v>
      </c>
      <c r="E11" s="266">
        <f>'RAB summary'!E47</f>
        <v>18097.633834343585</v>
      </c>
      <c r="F11" s="266">
        <f>'RAB summary'!F47</f>
        <v>16401.632097540336</v>
      </c>
      <c r="G11" s="266">
        <f>'RAB summary'!G47</f>
        <v>13796.058467104245</v>
      </c>
      <c r="H11" s="266">
        <f>'RAB summary'!H47</f>
        <v>11592.389956270015</v>
      </c>
      <c r="I11" s="266">
        <f>'RAB summary'!I47</f>
        <v>10734.3803156456</v>
      </c>
      <c r="J11" s="266">
        <f>'RAB summary'!J47</f>
        <v>12227.063083961344</v>
      </c>
      <c r="K11" s="266">
        <f>'RAB summary'!K47</f>
        <v>14190.165733645095</v>
      </c>
      <c r="L11" s="266">
        <f>'RAB summary'!L47</f>
        <v>17133.000159014096</v>
      </c>
      <c r="M11" s="266">
        <f>'RAB summary'!M47</f>
        <v>28798.81806472925</v>
      </c>
      <c r="N11" s="266">
        <f>'RAB summary'!N47</f>
        <v>41717.997773967036</v>
      </c>
      <c r="O11" s="266">
        <f>'RAB summary'!O47</f>
        <v>42539.12738654398</v>
      </c>
      <c r="P11" s="266">
        <f>'RAB summary'!P47</f>
        <v>40589.956309313515</v>
      </c>
      <c r="Q11" s="266">
        <f>'RAB summary'!Q47</f>
        <v>32964.554830159315</v>
      </c>
      <c r="R11" s="266">
        <f>'RAB summary'!R47</f>
        <v>22661.452020952675</v>
      </c>
    </row>
    <row r="12" spans="1:19">
      <c r="D12" s="266"/>
      <c r="E12" s="266"/>
      <c r="F12" s="266"/>
      <c r="G12" s="266"/>
      <c r="H12" s="266"/>
      <c r="I12" s="266"/>
      <c r="J12" s="266"/>
      <c r="K12" s="266"/>
      <c r="L12" s="266"/>
      <c r="M12" s="266"/>
      <c r="N12" s="266"/>
      <c r="O12" s="266"/>
      <c r="P12" s="266"/>
      <c r="Q12" s="266"/>
      <c r="R12" s="266"/>
    </row>
    <row r="14" spans="1:19">
      <c r="A14" s="65"/>
      <c r="B14" s="238" t="s">
        <v>0</v>
      </c>
      <c r="C14" s="238" t="s">
        <v>1</v>
      </c>
      <c r="D14" s="238" t="s">
        <v>2</v>
      </c>
      <c r="E14" s="238" t="s">
        <v>3</v>
      </c>
      <c r="F14" s="238" t="s">
        <v>4</v>
      </c>
      <c r="G14" s="238" t="s">
        <v>5</v>
      </c>
      <c r="H14" s="238" t="s">
        <v>6</v>
      </c>
      <c r="I14" s="238" t="s">
        <v>7</v>
      </c>
      <c r="J14" s="238" t="s">
        <v>8</v>
      </c>
      <c r="K14" s="238" t="s">
        <v>9</v>
      </c>
      <c r="M14" s="301" t="s">
        <v>452</v>
      </c>
      <c r="N14" s="302" t="s">
        <v>5</v>
      </c>
      <c r="O14" s="302" t="s">
        <v>6</v>
      </c>
      <c r="P14" s="302" t="s">
        <v>7</v>
      </c>
      <c r="Q14" s="302" t="s">
        <v>8</v>
      </c>
      <c r="R14" s="302" t="s">
        <v>9</v>
      </c>
      <c r="S14" s="302" t="s">
        <v>237</v>
      </c>
    </row>
    <row r="15" spans="1:19">
      <c r="A15" t="s">
        <v>419</v>
      </c>
      <c r="B15" s="266">
        <f t="shared" ref="B15:K15" si="0">I10</f>
        <v>10846.377698786138</v>
      </c>
      <c r="C15" s="266">
        <f t="shared" si="0"/>
        <v>13226.009085705671</v>
      </c>
      <c r="D15" s="266">
        <f t="shared" si="0"/>
        <v>14709.545283728192</v>
      </c>
      <c r="E15" s="266">
        <f t="shared" si="0"/>
        <v>17193.362794473247</v>
      </c>
      <c r="F15" s="266">
        <f t="shared" si="0"/>
        <v>40141.779246520011</v>
      </c>
      <c r="G15" s="266">
        <f t="shared" si="0"/>
        <v>42491.380716483662</v>
      </c>
      <c r="H15" s="266">
        <f t="shared" si="0"/>
        <v>41737.04644227463</v>
      </c>
      <c r="I15" s="266">
        <f t="shared" si="0"/>
        <v>38608.125247506905</v>
      </c>
      <c r="J15" s="266">
        <f t="shared" si="0"/>
        <v>26548.821907861591</v>
      </c>
      <c r="K15" s="266">
        <f t="shared" si="0"/>
        <v>18243.105695886523</v>
      </c>
      <c r="M15" s="301" t="s">
        <v>822</v>
      </c>
      <c r="N15" s="303">
        <f>G17-G16</f>
        <v>10622.845179120917</v>
      </c>
      <c r="O15" s="303">
        <f>H17-H16</f>
        <v>10434.261610568659</v>
      </c>
      <c r="P15" s="303">
        <f>I17-I16</f>
        <v>9652.0313118767262</v>
      </c>
      <c r="Q15" s="303">
        <f>J17-J16</f>
        <v>6637.2054769653987</v>
      </c>
      <c r="R15" s="303">
        <f>K17-K16</f>
        <v>4560.7764239716325</v>
      </c>
      <c r="S15" s="303">
        <f>AVERAGE(N15:R15)</f>
        <v>8381.4240005006668</v>
      </c>
    </row>
    <row r="16" spans="1:19">
      <c r="A16" t="s">
        <v>421</v>
      </c>
      <c r="B16" s="66"/>
      <c r="C16" s="66"/>
      <c r="D16" s="66"/>
      <c r="E16" s="66"/>
      <c r="F16" s="66">
        <f>F15*0.55</f>
        <v>22077.978585586006</v>
      </c>
      <c r="G16" s="66">
        <f>G15*0.3</f>
        <v>12747.414214945098</v>
      </c>
      <c r="H16" s="66">
        <f>H15*0.3</f>
        <v>12521.113932682389</v>
      </c>
      <c r="I16" s="66">
        <f>I15*0.3</f>
        <v>11582.437574252071</v>
      </c>
      <c r="J16" s="66">
        <f>J15*0.3</f>
        <v>7964.646572358477</v>
      </c>
      <c r="K16" s="66">
        <f>K15*0.3</f>
        <v>5472.9317087659565</v>
      </c>
    </row>
    <row r="17" spans="1:19">
      <c r="A17" t="s">
        <v>420</v>
      </c>
      <c r="B17" s="66">
        <f t="shared" ref="B17:K17" si="1">B15*0.55</f>
        <v>5965.5077343323765</v>
      </c>
      <c r="C17" s="66">
        <f t="shared" si="1"/>
        <v>7274.3049971381197</v>
      </c>
      <c r="D17" s="66">
        <f t="shared" si="1"/>
        <v>8090.2499060505061</v>
      </c>
      <c r="E17" s="66">
        <f t="shared" si="1"/>
        <v>9456.3495369602861</v>
      </c>
      <c r="F17" s="66">
        <f t="shared" si="1"/>
        <v>22077.978585586006</v>
      </c>
      <c r="G17" s="66">
        <f t="shared" si="1"/>
        <v>23370.259394066015</v>
      </c>
      <c r="H17" s="66">
        <f t="shared" si="1"/>
        <v>22955.375543251048</v>
      </c>
      <c r="I17" s="66">
        <f t="shared" si="1"/>
        <v>21234.468886128798</v>
      </c>
      <c r="J17" s="66">
        <f t="shared" si="1"/>
        <v>14601.852049323876</v>
      </c>
      <c r="K17" s="66">
        <f t="shared" si="1"/>
        <v>10033.708132737589</v>
      </c>
    </row>
    <row r="18" spans="1:19">
      <c r="A18" t="s">
        <v>268</v>
      </c>
    </row>
    <row r="19" spans="1:19">
      <c r="B19" s="238" t="s">
        <v>0</v>
      </c>
      <c r="C19" s="238" t="s">
        <v>1</v>
      </c>
      <c r="D19" s="238" t="s">
        <v>2</v>
      </c>
      <c r="E19" s="238" t="s">
        <v>3</v>
      </c>
      <c r="F19" s="238" t="s">
        <v>4</v>
      </c>
      <c r="G19" s="238" t="s">
        <v>5</v>
      </c>
      <c r="H19" s="238" t="s">
        <v>6</v>
      </c>
      <c r="I19" s="238" t="s">
        <v>7</v>
      </c>
      <c r="J19" s="238" t="s">
        <v>8</v>
      </c>
      <c r="K19" s="238" t="s">
        <v>9</v>
      </c>
    </row>
    <row r="20" spans="1:19" s="299" customFormat="1">
      <c r="A20" s="299" t="s">
        <v>471</v>
      </c>
      <c r="B20" s="266">
        <f>B15*(1-0.55)</f>
        <v>4880.8699644537619</v>
      </c>
      <c r="C20" s="266">
        <f t="shared" ref="C20:K20" si="2">C15*(1-0.55)</f>
        <v>5951.7040885675515</v>
      </c>
      <c r="D20" s="266">
        <f t="shared" si="2"/>
        <v>6619.2953776776858</v>
      </c>
      <c r="E20" s="266">
        <f t="shared" si="2"/>
        <v>7737.0132575129601</v>
      </c>
      <c r="F20" s="266">
        <f t="shared" si="2"/>
        <v>18063.800660934005</v>
      </c>
      <c r="G20" s="266">
        <f t="shared" si="2"/>
        <v>19121.121322417646</v>
      </c>
      <c r="H20" s="266">
        <f t="shared" si="2"/>
        <v>18781.670899023582</v>
      </c>
      <c r="I20" s="266">
        <f t="shared" si="2"/>
        <v>17373.656361378107</v>
      </c>
      <c r="J20" s="266">
        <f t="shared" si="2"/>
        <v>11946.969858537715</v>
      </c>
      <c r="K20" s="266">
        <f t="shared" si="2"/>
        <v>8209.3975631489338</v>
      </c>
    </row>
    <row r="21" spans="1:19" s="299" customFormat="1">
      <c r="A21" s="299" t="s">
        <v>472</v>
      </c>
      <c r="B21" s="266">
        <v>10000</v>
      </c>
      <c r="C21" s="266">
        <v>10000</v>
      </c>
      <c r="D21" s="266">
        <v>10000</v>
      </c>
      <c r="E21" s="266">
        <v>10000</v>
      </c>
      <c r="F21" s="266">
        <v>10000</v>
      </c>
      <c r="G21" s="266">
        <v>10000</v>
      </c>
      <c r="H21" s="266">
        <v>10000</v>
      </c>
      <c r="I21" s="266">
        <v>10000</v>
      </c>
      <c r="J21" s="266">
        <v>10000</v>
      </c>
      <c r="K21" s="266">
        <v>10000</v>
      </c>
      <c r="M21" s="301" t="s">
        <v>452</v>
      </c>
      <c r="N21" s="302" t="s">
        <v>5</v>
      </c>
      <c r="O21" s="302" t="s">
        <v>6</v>
      </c>
      <c r="P21" s="302" t="s">
        <v>7</v>
      </c>
      <c r="Q21" s="302" t="s">
        <v>8</v>
      </c>
      <c r="R21" s="302" t="s">
        <v>9</v>
      </c>
      <c r="S21" s="302" t="s">
        <v>237</v>
      </c>
    </row>
    <row r="22" spans="1:19" s="299" customFormat="1">
      <c r="B22" s="238" t="s">
        <v>0</v>
      </c>
      <c r="C22" s="238" t="s">
        <v>1</v>
      </c>
      <c r="D22" s="238" t="s">
        <v>2</v>
      </c>
      <c r="E22" s="238" t="s">
        <v>3</v>
      </c>
      <c r="F22" s="238" t="s">
        <v>4</v>
      </c>
      <c r="G22" s="238" t="s">
        <v>5</v>
      </c>
      <c r="H22" s="238" t="s">
        <v>6</v>
      </c>
      <c r="I22" s="238" t="s">
        <v>7</v>
      </c>
      <c r="J22" s="238" t="s">
        <v>8</v>
      </c>
      <c r="K22" s="238" t="s">
        <v>9</v>
      </c>
      <c r="M22" s="301" t="s">
        <v>823</v>
      </c>
      <c r="N22" s="303">
        <f>G23-G20</f>
        <v>10622.845179120915</v>
      </c>
      <c r="O22" s="303">
        <f t="shared" ref="O22:R22" si="3">H23-H20</f>
        <v>10434.261610568657</v>
      </c>
      <c r="P22" s="303">
        <f t="shared" si="3"/>
        <v>9652.0313118767262</v>
      </c>
      <c r="Q22" s="303">
        <f t="shared" si="3"/>
        <v>6637.2054769653987</v>
      </c>
      <c r="R22" s="303">
        <f t="shared" si="3"/>
        <v>4560.7764239716307</v>
      </c>
      <c r="S22" s="303">
        <f>AVERAGE(N22:R22)</f>
        <v>8381.4240005006668</v>
      </c>
    </row>
    <row r="23" spans="1:19" s="299" customFormat="1">
      <c r="A23" s="299" t="s">
        <v>473</v>
      </c>
      <c r="B23" s="266">
        <f>B15*(1-0.3)</f>
        <v>7592.4643891502965</v>
      </c>
      <c r="C23" s="266">
        <f t="shared" ref="C23:K23" si="4">C15*(1-0.3)</f>
        <v>9258.2063599939684</v>
      </c>
      <c r="D23" s="266">
        <f t="shared" si="4"/>
        <v>10296.681698609733</v>
      </c>
      <c r="E23" s="266">
        <f t="shared" si="4"/>
        <v>12035.353956131272</v>
      </c>
      <c r="F23" s="266">
        <f t="shared" si="4"/>
        <v>28099.245472564005</v>
      </c>
      <c r="G23" s="266">
        <f t="shared" si="4"/>
        <v>29743.966501538562</v>
      </c>
      <c r="H23" s="266">
        <f t="shared" si="4"/>
        <v>29215.93250959224</v>
      </c>
      <c r="I23" s="266">
        <f t="shared" si="4"/>
        <v>27025.687673254833</v>
      </c>
      <c r="J23" s="266">
        <f t="shared" si="4"/>
        <v>18584.175335503114</v>
      </c>
      <c r="K23" s="266">
        <f t="shared" si="4"/>
        <v>12770.173987120565</v>
      </c>
    </row>
    <row r="24" spans="1:19" s="299" customFormat="1"/>
    <row r="26" spans="1:19" ht="18">
      <c r="A26" s="267" t="s">
        <v>469</v>
      </c>
      <c r="B26" t="s">
        <v>52</v>
      </c>
    </row>
    <row r="28" spans="1:19">
      <c r="B28" s="238" t="s">
        <v>0</v>
      </c>
      <c r="C28" s="238" t="s">
        <v>1</v>
      </c>
      <c r="D28" s="238" t="s">
        <v>2</v>
      </c>
      <c r="E28" s="238" t="s">
        <v>3</v>
      </c>
      <c r="F28" s="238" t="s">
        <v>4</v>
      </c>
      <c r="G28" s="238" t="s">
        <v>5</v>
      </c>
      <c r="H28" s="238" t="s">
        <v>6</v>
      </c>
      <c r="I28" s="238" t="s">
        <v>7</v>
      </c>
      <c r="J28" s="238" t="s">
        <v>8</v>
      </c>
      <c r="K28" s="238" t="s">
        <v>9</v>
      </c>
    </row>
    <row r="29" spans="1:19">
      <c r="A29" t="s">
        <v>217</v>
      </c>
      <c r="B29" s="266">
        <f>'SONI BPDT RAB'!D20</f>
        <v>3646.7229347733542</v>
      </c>
      <c r="C29" s="266">
        <f>'SONI BPDT RAB'!E20</f>
        <v>3516.2216488375375</v>
      </c>
      <c r="D29" s="266">
        <f>'SONI BPDT RAB'!F20</f>
        <v>3401.4685109399447</v>
      </c>
      <c r="E29" s="266">
        <f>'SONI BPDT RAB'!G20</f>
        <v>3276.9990954775549</v>
      </c>
      <c r="F29" s="266">
        <f>'SONI BPDT RAB'!H20*'SONI BPDT RAB'!J$9</f>
        <v>3148.4695929061268</v>
      </c>
      <c r="G29" s="266">
        <f>'SONI BPDT RAB'!I20*'SONI BPDT RAB'!K$9</f>
        <v>3944.2507874373532</v>
      </c>
      <c r="H29" s="266">
        <f>'SONI BPDT RAB'!J20*'SONI BPDT RAB'!L$9</f>
        <v>4718.6171056282328</v>
      </c>
      <c r="I29" s="266">
        <f>'SONI BPDT RAB'!K20*'SONI BPDT RAB'!M$9</f>
        <v>4640.9917358683851</v>
      </c>
      <c r="J29" s="266">
        <f>'SONI BPDT RAB'!L20*'SONI BPDT RAB'!N$9</f>
        <v>4555.8397004437711</v>
      </c>
      <c r="K29" s="266">
        <f>'SONI BPDT RAB'!M20*'SONI BPDT RAB'!O$9</f>
        <v>4462.8247894663909</v>
      </c>
    </row>
    <row r="30" spans="1:19">
      <c r="A30" t="s">
        <v>216</v>
      </c>
      <c r="B30" s="266">
        <f>'SONI BPDT RAB'!D28</f>
        <v>8390.8217174337169</v>
      </c>
      <c r="C30" s="266">
        <f>'SONI BPDT RAB'!E28</f>
        <v>7548.2661713100051</v>
      </c>
      <c r="D30" s="266">
        <f>'SONI BPDT RAB'!F28</f>
        <v>6151.3196763854166</v>
      </c>
      <c r="E30" s="266">
        <f>'SONI BPDT RAB'!G28</f>
        <v>4818.1704555939959</v>
      </c>
      <c r="F30" s="266">
        <f>'SONI BPDT RAB'!H28*'SONI BPDT RAB'!J$9</f>
        <v>4445.1242095153684</v>
      </c>
      <c r="G30" s="266">
        <f>'SONI BPDT RAB'!I28*'SONI BPDT RAB'!K$9</f>
        <v>7095.9436393573396</v>
      </c>
      <c r="H30" s="266">
        <f>'SONI BPDT RAB'!J28*'SONI BPDT RAB'!L$9</f>
        <v>11380.934482526385</v>
      </c>
      <c r="I30" s="266">
        <f>'SONI BPDT RAB'!K28*'SONI BPDT RAB'!M$9</f>
        <v>13602.067945651699</v>
      </c>
      <c r="J30" s="266">
        <f>'SONI BPDT RAB'!L28*'SONI BPDT RAB'!N$9</f>
        <v>13401.288611189946</v>
      </c>
      <c r="K30" s="266">
        <f>'SONI BPDT RAB'!M28*'SONI BPDT RAB'!O$9</f>
        <v>12219.916070417563</v>
      </c>
    </row>
    <row r="31" spans="1:19">
      <c r="A31" t="s">
        <v>403</v>
      </c>
      <c r="B31" s="266">
        <f>'SONI BPDT RAB'!D46</f>
        <v>3287.3815599825366</v>
      </c>
      <c r="C31" s="266">
        <f>'SONI BPDT RAB'!E46</f>
        <v>5492.0235974945826</v>
      </c>
      <c r="D31" s="266">
        <f>'SONI BPDT RAB'!F46</f>
        <v>7729.5172534240901</v>
      </c>
      <c r="E31" s="266">
        <f>'SONI BPDT RAB'!G46</f>
        <v>9323.8522027331819</v>
      </c>
      <c r="F31" s="266">
        <f>'SONI BPDT RAB'!H46*'SONI BPDT RAB'!J$9</f>
        <v>11238.957853520273</v>
      </c>
      <c r="G31" s="266">
        <f>'SONI BPDT RAB'!I46*'SONI BPDT RAB'!K$9</f>
        <v>14981.429955377294</v>
      </c>
      <c r="H31" s="266">
        <f>'SONI BPDT RAB'!J46*'SONI BPDT RAB'!L$9</f>
        <v>19035.403353986305</v>
      </c>
      <c r="I31" s="266">
        <f>'SONI BPDT RAB'!K46*'SONI BPDT RAB'!M$9</f>
        <v>21871.103930751469</v>
      </c>
      <c r="J31" s="266">
        <f>'SONI BPDT RAB'!L46*'SONI BPDT RAB'!N$9</f>
        <v>19993.471284780495</v>
      </c>
      <c r="K31" s="266">
        <f>'SONI BPDT RAB'!M46*'SONI BPDT RAB'!O$9</f>
        <v>13324.902660629245</v>
      </c>
    </row>
    <row r="32" spans="1:19">
      <c r="A32" t="s">
        <v>48</v>
      </c>
      <c r="B32" s="266">
        <f>'SONI BPDT RAB'!D36</f>
        <v>0</v>
      </c>
      <c r="C32" s="266">
        <f>'SONI BPDT RAB'!E36</f>
        <v>0</v>
      </c>
      <c r="D32" s="266">
        <f>'SONI BPDT RAB'!F36</f>
        <v>0</v>
      </c>
      <c r="E32" s="266">
        <f>'SONI BPDT RAB'!G36</f>
        <v>0</v>
      </c>
      <c r="F32" s="266">
        <f>'SONI BPDT RAB'!H36*'SONI BPDT RAB'!J$9</f>
        <v>10395.256405366274</v>
      </c>
      <c r="G32" s="266">
        <f>'SONI BPDT RAB'!I36*'SONI BPDT RAB'!K$9</f>
        <v>18848.147263185354</v>
      </c>
      <c r="H32" s="266">
        <f>'SONI BPDT RAB'!J36*'SONI BPDT RAB'!L$9</f>
        <v>13732.221577463619</v>
      </c>
      <c r="I32" s="266">
        <f>'SONI BPDT RAB'!K36*'SONI BPDT RAB'!M$9</f>
        <v>8404.1196054077354</v>
      </c>
      <c r="J32" s="266">
        <f>'SONI BPDT RAB'!L36*'SONI BPDT RAB'!N$9</f>
        <v>2857.4006658386302</v>
      </c>
      <c r="K32" s="266">
        <f>'SONI BPDT RAB'!M36*'SONI BPDT RAB'!O$9</f>
        <v>0</v>
      </c>
    </row>
    <row r="34" spans="1:11" ht="18">
      <c r="A34" s="267" t="s">
        <v>470</v>
      </c>
      <c r="B34" s="299" t="s">
        <v>52</v>
      </c>
      <c r="C34" s="299"/>
      <c r="D34" s="299"/>
      <c r="E34" s="299"/>
      <c r="F34" s="299"/>
      <c r="G34" s="299"/>
      <c r="H34" s="299"/>
      <c r="I34" s="299"/>
      <c r="J34" s="299"/>
      <c r="K34" s="299"/>
    </row>
    <row r="35" spans="1:11">
      <c r="A35" s="299"/>
      <c r="B35" s="299"/>
      <c r="C35" s="299"/>
      <c r="D35" s="299"/>
      <c r="E35" s="299"/>
      <c r="F35" s="299"/>
      <c r="G35" s="299"/>
      <c r="H35" s="299"/>
      <c r="I35" s="299"/>
      <c r="J35" s="299"/>
      <c r="K35" s="299"/>
    </row>
    <row r="36" spans="1:11">
      <c r="A36" s="299"/>
      <c r="B36" s="238" t="s">
        <v>0</v>
      </c>
      <c r="C36" s="238" t="s">
        <v>1</v>
      </c>
      <c r="D36" s="238" t="s">
        <v>2</v>
      </c>
      <c r="E36" s="238" t="s">
        <v>3</v>
      </c>
      <c r="F36" s="238" t="s">
        <v>4</v>
      </c>
      <c r="G36" s="238" t="s">
        <v>5</v>
      </c>
      <c r="H36" s="238" t="s">
        <v>6</v>
      </c>
      <c r="I36" s="238" t="s">
        <v>7</v>
      </c>
      <c r="J36" s="238" t="s">
        <v>8</v>
      </c>
      <c r="K36" s="238" t="s">
        <v>9</v>
      </c>
    </row>
    <row r="37" spans="1:11">
      <c r="A37" s="299" t="s">
        <v>217</v>
      </c>
      <c r="B37" s="266">
        <f>'RAB summary'!I15</f>
        <v>2494.158560366227</v>
      </c>
      <c r="C37" s="266">
        <f>'RAB summary'!J15</f>
        <v>2531.1457763063804</v>
      </c>
      <c r="D37" s="266">
        <f>'RAB summary'!K15</f>
        <v>2515.5820992226677</v>
      </c>
      <c r="E37" s="266">
        <f>'RAB summary'!L15</f>
        <v>2491.113877356986</v>
      </c>
      <c r="F37" s="266">
        <f>'RAB summary'!M15</f>
        <v>2500.9934188121638</v>
      </c>
      <c r="G37" s="266">
        <f>'RAB summary'!N15</f>
        <v>2510.4430545700088</v>
      </c>
      <c r="H37" s="266">
        <f>'RAB summary'!O15</f>
        <v>2434.5488074080595</v>
      </c>
      <c r="I37" s="266">
        <f>'RAB summary'!P15</f>
        <v>2332.9065263577349</v>
      </c>
      <c r="J37" s="266">
        <f>'RAB summary'!Q15</f>
        <v>2204.901558105023</v>
      </c>
      <c r="K37" s="266">
        <f>'RAB summary'!R15</f>
        <v>2070.3976533010859</v>
      </c>
    </row>
    <row r="38" spans="1:11">
      <c r="A38" s="299" t="s">
        <v>216</v>
      </c>
      <c r="B38" s="266">
        <f>'RAB summary'!I8</f>
        <v>5810.0236133648832</v>
      </c>
      <c r="C38" s="266">
        <f>'RAB summary'!J8</f>
        <v>4944.5961287737537</v>
      </c>
      <c r="D38" s="266">
        <f>'RAB summary'!K8</f>
        <v>4481.4196012623433</v>
      </c>
      <c r="E38" s="266">
        <f>'RAB summary'!L8</f>
        <v>4171.0115404315875</v>
      </c>
      <c r="F38" s="266">
        <f>'RAB summary'!M8</f>
        <v>4372.5479439058236</v>
      </c>
      <c r="G38" s="266">
        <f>'RAB summary'!N8</f>
        <v>5949.7239140401771</v>
      </c>
      <c r="H38" s="266">
        <f>'RAB summary'!O8</f>
        <v>7681.8726046649244</v>
      </c>
      <c r="I38" s="266">
        <f>'RAB summary'!P8</f>
        <v>8162.6660107691869</v>
      </c>
      <c r="J38" s="266">
        <f>'RAB summary'!Q8</f>
        <v>7973.3305933344491</v>
      </c>
      <c r="K38" s="266">
        <f>'RAB summary'!R8</f>
        <v>7302.9579024311161</v>
      </c>
    </row>
    <row r="39" spans="1:11">
      <c r="A39" s="299" t="s">
        <v>403</v>
      </c>
      <c r="B39" s="266">
        <f>'RAB summary'!I23</f>
        <v>2430.1981419144881</v>
      </c>
      <c r="C39" s="266">
        <f>'RAB summary'!J23</f>
        <v>4751.3211788812105</v>
      </c>
      <c r="D39" s="266">
        <f>'RAB summary'!K23</f>
        <v>7193.1640331600838</v>
      </c>
      <c r="E39" s="266">
        <f>'RAB summary'!L23</f>
        <v>9033.8195984801168</v>
      </c>
      <c r="F39" s="266">
        <f>'RAB summary'!M23</f>
        <v>11043.688658005958</v>
      </c>
      <c r="G39" s="266">
        <f>'RAB summary'!N23</f>
        <v>14605.568385891327</v>
      </c>
      <c r="H39" s="266">
        <f>'RAB summary'!O23</f>
        <v>18652.024553110619</v>
      </c>
      <c r="I39" s="266">
        <f>'RAB summary'!P23</f>
        <v>21480.057553858271</v>
      </c>
      <c r="J39" s="266">
        <f>'RAB summary'!Q23</f>
        <v>19594.603980349431</v>
      </c>
      <c r="K39" s="266">
        <f>'RAB summary'!R23</f>
        <v>12918.05801010956</v>
      </c>
    </row>
    <row r="40" spans="1:11">
      <c r="A40" s="299" t="s">
        <v>48</v>
      </c>
      <c r="B40" s="266">
        <f>'RAB summary'!I30</f>
        <v>0</v>
      </c>
      <c r="C40" s="266">
        <f>'RAB summary'!J30</f>
        <v>0</v>
      </c>
      <c r="D40" s="266">
        <f>'RAB summary'!K30</f>
        <v>0</v>
      </c>
      <c r="E40" s="266">
        <f>'RAB summary'!L30</f>
        <v>0</v>
      </c>
      <c r="F40" s="266">
        <f>'RAB summary'!M30</f>
        <v>10395.256405366275</v>
      </c>
      <c r="G40" s="266">
        <f>'RAB summary'!N30</f>
        <v>18652.262419465522</v>
      </c>
      <c r="H40" s="266">
        <f>'RAB summary'!O30</f>
        <v>13770.681421360376</v>
      </c>
      <c r="I40" s="266">
        <f>'RAB summary'!P30</f>
        <v>8614.3262183283223</v>
      </c>
      <c r="J40" s="266">
        <f>'RAB summary'!Q30</f>
        <v>3191.71869837041</v>
      </c>
      <c r="K40" s="266">
        <f>'RAB summary'!R30</f>
        <v>370.03845511091191</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249977111117893"/>
  </sheetPr>
  <dimension ref="A1"/>
  <sheetViews>
    <sheetView showGridLines="0" topLeftCell="D1" workbookViewId="0">
      <selection activeCell="L18" sqref="L18"/>
    </sheetView>
  </sheetViews>
  <sheetFormatPr defaultColWidth="8.6640625" defaultRowHeight="14.25"/>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sheetPr>
  <dimension ref="A1:Q159"/>
  <sheetViews>
    <sheetView showGridLines="0" zoomScale="80" zoomScaleNormal="80" workbookViewId="0"/>
  </sheetViews>
  <sheetFormatPr defaultColWidth="8.6640625" defaultRowHeight="14.25"/>
  <cols>
    <col min="1" max="1" width="34.6640625" style="299" customWidth="1"/>
    <col min="2" max="2" width="15" style="299" customWidth="1"/>
    <col min="3" max="3" width="14" style="299" customWidth="1"/>
    <col min="4" max="7" width="8.6640625" style="299"/>
    <col min="8" max="8" width="9.1328125" style="299" bestFit="1" customWidth="1"/>
    <col min="9" max="9" width="8.6640625" style="299"/>
    <col min="10" max="10" width="26.6640625" style="299" customWidth="1"/>
    <col min="11" max="11" width="8.6640625" style="299"/>
    <col min="12" max="12" width="13.6640625" style="299" customWidth="1"/>
    <col min="13" max="16384" width="8.6640625" style="299"/>
  </cols>
  <sheetData>
    <row r="1" spans="1:17" ht="18">
      <c r="A1" s="267" t="s">
        <v>575</v>
      </c>
      <c r="B1" s="268"/>
    </row>
    <row r="2" spans="1:17">
      <c r="A2" s="300"/>
      <c r="B2" s="300"/>
      <c r="C2" s="234"/>
      <c r="D2" s="234"/>
      <c r="E2" s="234"/>
      <c r="F2" s="234"/>
      <c r="G2" s="234"/>
      <c r="H2" s="234"/>
      <c r="I2" s="234"/>
      <c r="J2" s="234"/>
      <c r="K2" s="234"/>
      <c r="L2" s="234"/>
      <c r="M2" s="234"/>
      <c r="N2" s="234"/>
      <c r="O2" s="234"/>
      <c r="P2" s="234"/>
      <c r="Q2" s="234"/>
    </row>
    <row r="3" spans="1:17" ht="18">
      <c r="A3" s="267" t="s">
        <v>411</v>
      </c>
      <c r="I3" s="317"/>
      <c r="J3" s="65"/>
      <c r="K3" s="1"/>
      <c r="L3" s="1"/>
      <c r="M3" s="238"/>
      <c r="N3" s="238"/>
      <c r="O3" s="238"/>
      <c r="P3" s="238"/>
      <c r="Q3" s="238"/>
    </row>
    <row r="4" spans="1:17">
      <c r="I4" s="75"/>
      <c r="J4" s="75"/>
      <c r="Q4" s="71"/>
    </row>
    <row r="5" spans="1:17">
      <c r="A5" s="65" t="s">
        <v>407</v>
      </c>
      <c r="B5" s="1" t="s">
        <v>10</v>
      </c>
      <c r="C5" s="1" t="s">
        <v>11</v>
      </c>
      <c r="D5" s="238" t="s">
        <v>5</v>
      </c>
      <c r="E5" s="238" t="s">
        <v>6</v>
      </c>
      <c r="F5" s="238" t="s">
        <v>7</v>
      </c>
      <c r="G5" s="238" t="s">
        <v>8</v>
      </c>
      <c r="H5" s="238" t="s">
        <v>9</v>
      </c>
      <c r="I5" s="5"/>
    </row>
    <row r="6" spans="1:17">
      <c r="A6" s="234" t="s">
        <v>590</v>
      </c>
      <c r="B6" s="222" t="s">
        <v>12</v>
      </c>
      <c r="C6" s="1"/>
      <c r="D6" s="73">
        <v>-0.2</v>
      </c>
      <c r="E6" s="75">
        <f>D6</f>
        <v>-0.2</v>
      </c>
      <c r="F6" s="75">
        <f t="shared" ref="F6:H6" si="0">E6</f>
        <v>-0.2</v>
      </c>
      <c r="G6" s="75">
        <f t="shared" si="0"/>
        <v>-0.2</v>
      </c>
      <c r="H6" s="75">
        <f t="shared" si="0"/>
        <v>-0.2</v>
      </c>
      <c r="I6" s="5"/>
    </row>
    <row r="7" spans="1:17">
      <c r="A7" s="299" t="s">
        <v>576</v>
      </c>
      <c r="B7" s="300" t="s">
        <v>40</v>
      </c>
      <c r="C7" s="299" t="s">
        <v>54</v>
      </c>
      <c r="D7" s="5">
        <f>D6*'DD forecasts'!D$12*(1-'DD allowances'!$B$5)</f>
        <v>-656.07125584175947</v>
      </c>
      <c r="E7" s="5">
        <f>E6*'DD forecasts'!E$12*(1-'DD allowances'!$B$5)</f>
        <v>-661.58539308285322</v>
      </c>
      <c r="F7" s="5">
        <f>F6*'DD forecasts'!F$12*(1-'DD allowances'!$B$5)</f>
        <v>-685.38517434380719</v>
      </c>
      <c r="G7" s="5">
        <f>G6*'DD forecasts'!G$12*(1-'DD allowances'!$B$5)</f>
        <v>-713.92170521302569</v>
      </c>
      <c r="H7" s="5">
        <f>H6*'DD forecasts'!H$12*(1-'DD allowances'!$B$5)</f>
        <v>-641.27304560676259</v>
      </c>
      <c r="I7" s="5"/>
    </row>
    <row r="8" spans="1:17">
      <c r="A8" s="299" t="s">
        <v>577</v>
      </c>
      <c r="B8" s="300" t="s">
        <v>40</v>
      </c>
      <c r="C8" s="299" t="s">
        <v>54</v>
      </c>
      <c r="D8" s="5">
        <f>D7*WACC!$B$11</f>
        <v>-111.53211349309912</v>
      </c>
      <c r="E8" s="5">
        <f>E7*WACC!$B$11</f>
        <v>-112.46951682408505</v>
      </c>
      <c r="F8" s="5">
        <f>F7*WACC!$B$11</f>
        <v>-116.51547963844723</v>
      </c>
      <c r="G8" s="5">
        <f>G7*WACC!$B$11</f>
        <v>-121.36668988621437</v>
      </c>
      <c r="H8" s="5">
        <f>H7*WACC!$B$11</f>
        <v>-109.01641775314965</v>
      </c>
      <c r="I8" s="5"/>
      <c r="J8" s="5"/>
    </row>
    <row r="9" spans="1:17">
      <c r="A9" s="299" t="s">
        <v>578</v>
      </c>
      <c r="B9" s="300" t="s">
        <v>40</v>
      </c>
      <c r="C9" s="299" t="s">
        <v>54</v>
      </c>
      <c r="D9" s="5">
        <f>D7-D8</f>
        <v>-544.53914234866033</v>
      </c>
      <c r="E9" s="5">
        <f t="shared" ref="E9:H9" si="1">E7-E8</f>
        <v>-549.11587625876814</v>
      </c>
      <c r="F9" s="5">
        <f t="shared" si="1"/>
        <v>-568.86969470535996</v>
      </c>
      <c r="G9" s="5">
        <f t="shared" si="1"/>
        <v>-592.55501532681137</v>
      </c>
      <c r="H9" s="5">
        <f t="shared" si="1"/>
        <v>-532.25662785361294</v>
      </c>
      <c r="I9" s="5"/>
    </row>
    <row r="10" spans="1:17">
      <c r="A10" s="299" t="s">
        <v>579</v>
      </c>
      <c r="B10" s="300" t="s">
        <v>12</v>
      </c>
      <c r="D10" s="2">
        <f>D9/RoRE!E$8</f>
        <v>-1.9189689560202186E-2</v>
      </c>
      <c r="E10" s="2">
        <f>E9/RoRE!F$8</f>
        <v>-1.9356993217242099E-2</v>
      </c>
      <c r="F10" s="2">
        <f>F9/RoRE!G$8</f>
        <v>-2.1436647205443814E-2</v>
      </c>
      <c r="G10" s="2">
        <f>G9/RoRE!H$8</f>
        <v>-2.8044279126252562E-2</v>
      </c>
      <c r="H10" s="2">
        <f>H9/RoRE!I$8</f>
        <v>-3.7376302343129338E-2</v>
      </c>
      <c r="I10" s="5"/>
    </row>
    <row r="11" spans="1:17">
      <c r="C11" s="73"/>
    </row>
    <row r="12" spans="1:17">
      <c r="A12" s="65" t="s">
        <v>408</v>
      </c>
      <c r="B12" s="1" t="s">
        <v>10</v>
      </c>
      <c r="C12" s="1" t="s">
        <v>11</v>
      </c>
      <c r="D12" s="238" t="s">
        <v>5</v>
      </c>
      <c r="E12" s="238" t="s">
        <v>6</v>
      </c>
      <c r="F12" s="238" t="s">
        <v>7</v>
      </c>
      <c r="G12" s="238" t="s">
        <v>8</v>
      </c>
      <c r="H12" s="238" t="s">
        <v>9</v>
      </c>
    </row>
    <row r="13" spans="1:17">
      <c r="A13" s="234" t="s">
        <v>590</v>
      </c>
      <c r="B13" s="222" t="s">
        <v>12</v>
      </c>
      <c r="C13" s="1"/>
      <c r="D13" s="73">
        <v>-0.1</v>
      </c>
      <c r="E13" s="75">
        <f>D13</f>
        <v>-0.1</v>
      </c>
      <c r="F13" s="75">
        <f t="shared" ref="F13:H13" si="2">E13</f>
        <v>-0.1</v>
      </c>
      <c r="G13" s="75">
        <f t="shared" si="2"/>
        <v>-0.1</v>
      </c>
      <c r="H13" s="75">
        <f t="shared" si="2"/>
        <v>-0.1</v>
      </c>
    </row>
    <row r="14" spans="1:17">
      <c r="A14" s="299" t="s">
        <v>576</v>
      </c>
      <c r="B14" s="300" t="s">
        <v>40</v>
      </c>
      <c r="C14" s="299" t="s">
        <v>54</v>
      </c>
      <c r="D14" s="5">
        <f>D13*'DD forecasts'!D$12*(1-'DD allowances'!$B$5)</f>
        <v>-328.03562792087973</v>
      </c>
      <c r="E14" s="5">
        <f>E13*'DD forecasts'!E$12*(1-'DD allowances'!$B$5)</f>
        <v>-330.79269654142661</v>
      </c>
      <c r="F14" s="5">
        <f>F13*'DD forecasts'!F$12*(1-'DD allowances'!$B$5)</f>
        <v>-342.6925871719036</v>
      </c>
      <c r="G14" s="5">
        <f>G13*'DD forecasts'!G$12*(1-'DD allowances'!$B$5)</f>
        <v>-356.96085260651284</v>
      </c>
      <c r="H14" s="5">
        <f>H13*'DD forecasts'!H$12*(1-'DD allowances'!$B$5)</f>
        <v>-320.6365228033813</v>
      </c>
    </row>
    <row r="15" spans="1:17">
      <c r="A15" s="299" t="s">
        <v>577</v>
      </c>
      <c r="B15" s="300" t="s">
        <v>40</v>
      </c>
      <c r="C15" s="299" t="s">
        <v>54</v>
      </c>
      <c r="D15" s="5">
        <f>D14*WACC!$B$11</f>
        <v>-55.766056746549559</v>
      </c>
      <c r="E15" s="5">
        <f>E14*WACC!$B$11</f>
        <v>-56.234758412042524</v>
      </c>
      <c r="F15" s="5">
        <f>F14*WACC!$B$11</f>
        <v>-58.257739819223616</v>
      </c>
      <c r="G15" s="5">
        <f>G14*WACC!$B$11</f>
        <v>-60.683344943107187</v>
      </c>
      <c r="H15" s="5">
        <f>H14*WACC!$B$11</f>
        <v>-54.508208876574827</v>
      </c>
    </row>
    <row r="16" spans="1:17">
      <c r="A16" s="299" t="s">
        <v>578</v>
      </c>
      <c r="B16" s="300" t="s">
        <v>40</v>
      </c>
      <c r="C16" s="299" t="s">
        <v>54</v>
      </c>
      <c r="D16" s="5">
        <f>D14-D15</f>
        <v>-272.26957117433017</v>
      </c>
      <c r="E16" s="5">
        <f t="shared" ref="E16" si="3">E14-E15</f>
        <v>-274.55793812938407</v>
      </c>
      <c r="F16" s="5">
        <f t="shared" ref="F16" si="4">F14-F15</f>
        <v>-284.43484735267998</v>
      </c>
      <c r="G16" s="5">
        <f t="shared" ref="G16" si="5">G14-G15</f>
        <v>-296.27750766340569</v>
      </c>
      <c r="H16" s="5">
        <f t="shared" ref="H16" si="6">H14-H15</f>
        <v>-266.12831392680647</v>
      </c>
    </row>
    <row r="17" spans="1:8">
      <c r="A17" s="299" t="s">
        <v>579</v>
      </c>
      <c r="B17" s="300" t="s">
        <v>12</v>
      </c>
      <c r="D17" s="2">
        <f>D16/RoRE!E$8</f>
        <v>-9.594844780101093E-3</v>
      </c>
      <c r="E17" s="2">
        <f>E16/RoRE!F$8</f>
        <v>-9.6784966086210494E-3</v>
      </c>
      <c r="F17" s="2">
        <f>F16/RoRE!G$8</f>
        <v>-1.0718323602721907E-2</v>
      </c>
      <c r="G17" s="2">
        <f>G16/RoRE!H$8</f>
        <v>-1.4022139563126281E-2</v>
      </c>
      <c r="H17" s="2">
        <f>H16/RoRE!I$8</f>
        <v>-1.8688151171564669E-2</v>
      </c>
    </row>
    <row r="18" spans="1:8">
      <c r="C18" s="73"/>
    </row>
    <row r="19" spans="1:8">
      <c r="A19" s="65" t="s">
        <v>409</v>
      </c>
      <c r="B19" s="1" t="s">
        <v>10</v>
      </c>
      <c r="C19" s="1" t="s">
        <v>11</v>
      </c>
      <c r="D19" s="238" t="s">
        <v>5</v>
      </c>
      <c r="E19" s="238" t="s">
        <v>6</v>
      </c>
      <c r="F19" s="238" t="s">
        <v>7</v>
      </c>
      <c r="G19" s="238" t="s">
        <v>8</v>
      </c>
      <c r="H19" s="238" t="s">
        <v>9</v>
      </c>
    </row>
    <row r="20" spans="1:8">
      <c r="A20" s="234" t="s">
        <v>590</v>
      </c>
      <c r="B20" s="222" t="s">
        <v>12</v>
      </c>
      <c r="C20" s="1"/>
      <c r="D20" s="73">
        <v>0.2</v>
      </c>
      <c r="E20" s="75">
        <f>D20</f>
        <v>0.2</v>
      </c>
      <c r="F20" s="75">
        <f t="shared" ref="F20:H20" si="7">E20</f>
        <v>0.2</v>
      </c>
      <c r="G20" s="75">
        <f t="shared" si="7"/>
        <v>0.2</v>
      </c>
      <c r="H20" s="75">
        <f t="shared" si="7"/>
        <v>0.2</v>
      </c>
    </row>
    <row r="21" spans="1:8">
      <c r="A21" s="299" t="s">
        <v>576</v>
      </c>
      <c r="B21" s="300" t="s">
        <v>40</v>
      </c>
      <c r="C21" s="299" t="s">
        <v>54</v>
      </c>
      <c r="D21" s="5">
        <f>D20*'DD forecasts'!D$12*(1-'DD allowances'!$B$5)</f>
        <v>656.07125584175947</v>
      </c>
      <c r="E21" s="5">
        <f>E20*'DD forecasts'!E$12*(1-'DD allowances'!$B$5)</f>
        <v>661.58539308285322</v>
      </c>
      <c r="F21" s="5">
        <f>F20*'DD forecasts'!F$12*(1-'DD allowances'!$B$5)</f>
        <v>685.38517434380719</v>
      </c>
      <c r="G21" s="5">
        <f>G20*'DD forecasts'!G$12*(1-'DD allowances'!$B$5)</f>
        <v>713.92170521302569</v>
      </c>
      <c r="H21" s="5">
        <f>H20*'DD forecasts'!H$12*(1-'DD allowances'!$B$5)</f>
        <v>641.27304560676259</v>
      </c>
    </row>
    <row r="22" spans="1:8">
      <c r="A22" s="299" t="s">
        <v>577</v>
      </c>
      <c r="B22" s="300" t="s">
        <v>40</v>
      </c>
      <c r="C22" s="299" t="s">
        <v>54</v>
      </c>
      <c r="D22" s="5">
        <f>D21*WACC!$B$11</f>
        <v>111.53211349309912</v>
      </c>
      <c r="E22" s="5">
        <f>E21*WACC!$B$11</f>
        <v>112.46951682408505</v>
      </c>
      <c r="F22" s="5">
        <f>F21*WACC!$B$11</f>
        <v>116.51547963844723</v>
      </c>
      <c r="G22" s="5">
        <f>G21*WACC!$B$11</f>
        <v>121.36668988621437</v>
      </c>
      <c r="H22" s="5">
        <f>H21*WACC!$B$11</f>
        <v>109.01641775314965</v>
      </c>
    </row>
    <row r="23" spans="1:8">
      <c r="A23" s="299" t="s">
        <v>578</v>
      </c>
      <c r="B23" s="300" t="s">
        <v>40</v>
      </c>
      <c r="C23" s="299" t="s">
        <v>54</v>
      </c>
      <c r="D23" s="5">
        <f>D21-D22</f>
        <v>544.53914234866033</v>
      </c>
      <c r="E23" s="5">
        <f t="shared" ref="E23" si="8">E21-E22</f>
        <v>549.11587625876814</v>
      </c>
      <c r="F23" s="5">
        <f t="shared" ref="F23" si="9">F21-F22</f>
        <v>568.86969470535996</v>
      </c>
      <c r="G23" s="5">
        <f t="shared" ref="G23" si="10">G21-G22</f>
        <v>592.55501532681137</v>
      </c>
      <c r="H23" s="5">
        <f t="shared" ref="H23" si="11">H21-H22</f>
        <v>532.25662785361294</v>
      </c>
    </row>
    <row r="24" spans="1:8">
      <c r="A24" s="299" t="s">
        <v>579</v>
      </c>
      <c r="B24" s="300" t="s">
        <v>12</v>
      </c>
      <c r="D24" s="2">
        <f>D23/RoRE!E$8</f>
        <v>1.9189689560202186E-2</v>
      </c>
      <c r="E24" s="2">
        <f>E23/RoRE!F$8</f>
        <v>1.9356993217242099E-2</v>
      </c>
      <c r="F24" s="2">
        <f>F23/RoRE!G$8</f>
        <v>2.1436647205443814E-2</v>
      </c>
      <c r="G24" s="2">
        <f>G23/RoRE!H$8</f>
        <v>2.8044279126252562E-2</v>
      </c>
      <c r="H24" s="2">
        <f>H23/RoRE!I$8</f>
        <v>3.7376302343129338E-2</v>
      </c>
    </row>
    <row r="25" spans="1:8">
      <c r="C25" s="73"/>
    </row>
    <row r="26" spans="1:8">
      <c r="A26" s="65" t="s">
        <v>408</v>
      </c>
      <c r="B26" s="1" t="s">
        <v>10</v>
      </c>
      <c r="C26" s="1" t="s">
        <v>11</v>
      </c>
      <c r="D26" s="238" t="s">
        <v>5</v>
      </c>
      <c r="E26" s="238" t="s">
        <v>6</v>
      </c>
      <c r="F26" s="238" t="s">
        <v>7</v>
      </c>
      <c r="G26" s="238" t="s">
        <v>8</v>
      </c>
      <c r="H26" s="238" t="s">
        <v>9</v>
      </c>
    </row>
    <row r="27" spans="1:8">
      <c r="A27" s="234" t="s">
        <v>590</v>
      </c>
      <c r="B27" s="222" t="s">
        <v>12</v>
      </c>
      <c r="C27" s="1"/>
      <c r="D27" s="73">
        <v>0.1</v>
      </c>
      <c r="E27" s="75">
        <f>D27</f>
        <v>0.1</v>
      </c>
      <c r="F27" s="75">
        <f t="shared" ref="F27:H27" si="12">E27</f>
        <v>0.1</v>
      </c>
      <c r="G27" s="75">
        <f t="shared" si="12"/>
        <v>0.1</v>
      </c>
      <c r="H27" s="75">
        <f t="shared" si="12"/>
        <v>0.1</v>
      </c>
    </row>
    <row r="28" spans="1:8">
      <c r="A28" s="299" t="s">
        <v>576</v>
      </c>
      <c r="B28" s="300" t="s">
        <v>40</v>
      </c>
      <c r="C28" s="299" t="s">
        <v>54</v>
      </c>
      <c r="D28" s="5">
        <f>D27*'DD forecasts'!D$12*(1-'DD allowances'!$B$5)</f>
        <v>328.03562792087973</v>
      </c>
      <c r="E28" s="5">
        <f>E27*'DD forecasts'!E$12*(1-'DD allowances'!$B$5)</f>
        <v>330.79269654142661</v>
      </c>
      <c r="F28" s="5">
        <f>F27*'DD forecasts'!F$12*(1-'DD allowances'!$B$5)</f>
        <v>342.6925871719036</v>
      </c>
      <c r="G28" s="5">
        <f>G27*'DD forecasts'!G$12*(1-'DD allowances'!$B$5)</f>
        <v>356.96085260651284</v>
      </c>
      <c r="H28" s="5">
        <f>H27*'DD forecasts'!H$12*(1-'DD allowances'!$B$5)</f>
        <v>320.6365228033813</v>
      </c>
    </row>
    <row r="29" spans="1:8">
      <c r="A29" s="299" t="s">
        <v>577</v>
      </c>
      <c r="B29" s="300" t="s">
        <v>40</v>
      </c>
      <c r="C29" s="299" t="s">
        <v>54</v>
      </c>
      <c r="D29" s="5">
        <f>D28*WACC!$B$11</f>
        <v>55.766056746549559</v>
      </c>
      <c r="E29" s="5">
        <f>E28*WACC!$B$11</f>
        <v>56.234758412042524</v>
      </c>
      <c r="F29" s="5">
        <f>F28*WACC!$B$11</f>
        <v>58.257739819223616</v>
      </c>
      <c r="G29" s="5">
        <f>G28*WACC!$B$11</f>
        <v>60.683344943107187</v>
      </c>
      <c r="H29" s="5">
        <f>H28*WACC!$B$11</f>
        <v>54.508208876574827</v>
      </c>
    </row>
    <row r="30" spans="1:8">
      <c r="A30" s="299" t="s">
        <v>578</v>
      </c>
      <c r="B30" s="300" t="s">
        <v>40</v>
      </c>
      <c r="C30" s="299" t="s">
        <v>54</v>
      </c>
      <c r="D30" s="5">
        <f>D28-D29</f>
        <v>272.26957117433017</v>
      </c>
      <c r="E30" s="5">
        <f t="shared" ref="E30" si="13">E28-E29</f>
        <v>274.55793812938407</v>
      </c>
      <c r="F30" s="5">
        <f t="shared" ref="F30" si="14">F28-F29</f>
        <v>284.43484735267998</v>
      </c>
      <c r="G30" s="5">
        <f t="shared" ref="G30" si="15">G28-G29</f>
        <v>296.27750766340569</v>
      </c>
      <c r="H30" s="5">
        <f t="shared" ref="H30" si="16">H28-H29</f>
        <v>266.12831392680647</v>
      </c>
    </row>
    <row r="31" spans="1:8">
      <c r="A31" s="299" t="s">
        <v>579</v>
      </c>
      <c r="B31" s="300" t="s">
        <v>12</v>
      </c>
      <c r="D31" s="2">
        <f>D30/RoRE!E$8</f>
        <v>9.594844780101093E-3</v>
      </c>
      <c r="E31" s="2">
        <f>E30/RoRE!F$8</f>
        <v>9.6784966086210494E-3</v>
      </c>
      <c r="F31" s="2">
        <f>F30/RoRE!G$8</f>
        <v>1.0718323602721907E-2</v>
      </c>
      <c r="G31" s="2">
        <f>G30/RoRE!H$8</f>
        <v>1.4022139563126281E-2</v>
      </c>
      <c r="H31" s="2">
        <f>H30/RoRE!I$8</f>
        <v>1.8688151171564669E-2</v>
      </c>
    </row>
    <row r="33" spans="1:8" ht="18">
      <c r="A33" s="267" t="s">
        <v>580</v>
      </c>
    </row>
    <row r="34" spans="1:8">
      <c r="D34" s="5"/>
      <c r="E34" s="5"/>
      <c r="F34" s="5"/>
      <c r="G34" s="5"/>
      <c r="H34" s="5"/>
    </row>
    <row r="35" spans="1:8">
      <c r="A35" s="65" t="s">
        <v>581</v>
      </c>
      <c r="B35" s="1" t="s">
        <v>10</v>
      </c>
      <c r="C35" s="1" t="s">
        <v>11</v>
      </c>
      <c r="D35" s="238" t="s">
        <v>5</v>
      </c>
      <c r="E35" s="238" t="s">
        <v>6</v>
      </c>
      <c r="F35" s="238" t="s">
        <v>7</v>
      </c>
      <c r="G35" s="238" t="s">
        <v>8</v>
      </c>
      <c r="H35" s="238" t="s">
        <v>9</v>
      </c>
    </row>
    <row r="36" spans="1:8">
      <c r="A36" s="234" t="s">
        <v>591</v>
      </c>
      <c r="B36" s="300" t="s">
        <v>40</v>
      </c>
      <c r="C36" s="299" t="s">
        <v>52</v>
      </c>
      <c r="D36" s="409">
        <v>-1000</v>
      </c>
      <c r="E36" s="409">
        <v>-1000</v>
      </c>
      <c r="F36" s="409">
        <v>-1000</v>
      </c>
      <c r="G36" s="409">
        <v>-1000</v>
      </c>
      <c r="H36" s="409">
        <v>-1000</v>
      </c>
    </row>
    <row r="37" spans="1:8">
      <c r="A37" s="299" t="s">
        <v>576</v>
      </c>
      <c r="B37" s="300" t="s">
        <v>40</v>
      </c>
      <c r="C37" s="299" t="s">
        <v>54</v>
      </c>
      <c r="D37" s="5">
        <f>D36/'DD forecasts'!D$81</f>
        <v>-971.71667930523961</v>
      </c>
      <c r="E37" s="5">
        <f>E36/'DD forecasts'!E$81</f>
        <v>-952.66341108356846</v>
      </c>
      <c r="F37" s="5">
        <f>F36/'DD forecasts'!F$81</f>
        <v>-933.98373635643964</v>
      </c>
      <c r="G37" s="5">
        <f>G36/'DD forecasts'!G$81</f>
        <v>-915.67032976121527</v>
      </c>
      <c r="H37" s="5">
        <f>H36/'DD forecasts'!H$81</f>
        <v>-897.71600956981888</v>
      </c>
    </row>
    <row r="38" spans="1:8">
      <c r="A38" s="299" t="s">
        <v>577</v>
      </c>
      <c r="B38" s="300" t="s">
        <v>40</v>
      </c>
      <c r="C38" s="299" t="s">
        <v>54</v>
      </c>
      <c r="D38" s="5">
        <f>D37*WACC!$B$11</f>
        <v>-165.19183548189073</v>
      </c>
      <c r="E38" s="5">
        <f>E37*WACC!$B$11</f>
        <v>-161.95277988420665</v>
      </c>
      <c r="F38" s="5">
        <f>F37*WACC!$B$11</f>
        <v>-158.77723518059474</v>
      </c>
      <c r="G38" s="5">
        <f>G37*WACC!$B$11</f>
        <v>-155.66395605940662</v>
      </c>
      <c r="H38" s="5">
        <f>H37*WACC!$B$11</f>
        <v>-152.61172162686921</v>
      </c>
    </row>
    <row r="39" spans="1:8">
      <c r="A39" s="299" t="s">
        <v>578</v>
      </c>
      <c r="B39" s="300" t="s">
        <v>40</v>
      </c>
      <c r="C39" s="299" t="s">
        <v>54</v>
      </c>
      <c r="D39" s="5">
        <f>D37-D38</f>
        <v>-806.52484382334887</v>
      </c>
      <c r="E39" s="5">
        <f t="shared" ref="E39" si="17">E37-E38</f>
        <v>-790.71063119936184</v>
      </c>
      <c r="F39" s="5">
        <f t="shared" ref="F39" si="18">F37-F38</f>
        <v>-775.20650117584489</v>
      </c>
      <c r="G39" s="5">
        <f t="shared" ref="G39" si="19">G37-G38</f>
        <v>-760.00637370180868</v>
      </c>
      <c r="H39" s="5">
        <f t="shared" ref="H39" si="20">H37-H38</f>
        <v>-745.10428794294967</v>
      </c>
    </row>
    <row r="40" spans="1:8">
      <c r="A40" s="299" t="s">
        <v>579</v>
      </c>
      <c r="B40" s="300" t="s">
        <v>12</v>
      </c>
      <c r="D40" s="2">
        <f>D39/RoRE!E$8</f>
        <v>-2.8422128313506888E-2</v>
      </c>
      <c r="E40" s="2">
        <f>E39/RoRE!F$8</f>
        <v>-2.7873498084244962E-2</v>
      </c>
      <c r="F40" s="2">
        <f>F39/RoRE!G$8</f>
        <v>-2.9212011875021891E-2</v>
      </c>
      <c r="G40" s="2">
        <f>G39/RoRE!H$8</f>
        <v>-3.5969370489707761E-2</v>
      </c>
      <c r="H40" s="2">
        <f>H39/RoRE!I$8</f>
        <v>-5.2322961680389239E-2</v>
      </c>
    </row>
    <row r="41" spans="1:8">
      <c r="D41" s="5"/>
      <c r="E41" s="5"/>
      <c r="F41" s="5"/>
      <c r="G41" s="5"/>
      <c r="H41" s="5"/>
    </row>
    <row r="42" spans="1:8">
      <c r="A42" s="65" t="s">
        <v>583</v>
      </c>
      <c r="B42" s="1" t="s">
        <v>10</v>
      </c>
      <c r="C42" s="1" t="s">
        <v>11</v>
      </c>
      <c r="D42" s="238" t="s">
        <v>5</v>
      </c>
      <c r="E42" s="238" t="s">
        <v>6</v>
      </c>
      <c r="F42" s="238" t="s">
        <v>7</v>
      </c>
      <c r="G42" s="238" t="s">
        <v>8</v>
      </c>
      <c r="H42" s="238" t="s">
        <v>9</v>
      </c>
    </row>
    <row r="43" spans="1:8">
      <c r="A43" s="234" t="s">
        <v>591</v>
      </c>
      <c r="B43" s="300" t="s">
        <v>40</v>
      </c>
      <c r="C43" s="299" t="s">
        <v>52</v>
      </c>
      <c r="D43" s="409">
        <v>-500</v>
      </c>
      <c r="E43" s="409">
        <v>-500</v>
      </c>
      <c r="F43" s="409">
        <v>-500</v>
      </c>
      <c r="G43" s="409">
        <v>-500</v>
      </c>
      <c r="H43" s="409">
        <v>-500</v>
      </c>
    </row>
    <row r="44" spans="1:8">
      <c r="A44" s="299" t="s">
        <v>576</v>
      </c>
      <c r="B44" s="300" t="s">
        <v>40</v>
      </c>
      <c r="C44" s="299" t="s">
        <v>54</v>
      </c>
      <c r="D44" s="5">
        <f>D43/'DD forecasts'!D$81</f>
        <v>-485.8583396526198</v>
      </c>
      <c r="E44" s="5">
        <f>E43/'DD forecasts'!E$81</f>
        <v>-476.33170554178423</v>
      </c>
      <c r="F44" s="5">
        <f>F43/'DD forecasts'!F$81</f>
        <v>-466.99186817821982</v>
      </c>
      <c r="G44" s="5">
        <f>G43/'DD forecasts'!G$81</f>
        <v>-457.83516488060764</v>
      </c>
      <c r="H44" s="5">
        <f>H43/'DD forecasts'!H$81</f>
        <v>-448.85800478490944</v>
      </c>
    </row>
    <row r="45" spans="1:8">
      <c r="A45" s="299" t="s">
        <v>577</v>
      </c>
      <c r="B45" s="300" t="s">
        <v>40</v>
      </c>
      <c r="C45" s="299" t="s">
        <v>54</v>
      </c>
      <c r="D45" s="5">
        <f>D44*WACC!$B$11</f>
        <v>-82.595917740945367</v>
      </c>
      <c r="E45" s="5">
        <f>E44*WACC!$B$11</f>
        <v>-80.976389942103324</v>
      </c>
      <c r="F45" s="5">
        <f>F44*WACC!$B$11</f>
        <v>-79.388617590297372</v>
      </c>
      <c r="G45" s="5">
        <f>G44*WACC!$B$11</f>
        <v>-77.831978029703308</v>
      </c>
      <c r="H45" s="5">
        <f>H44*WACC!$B$11</f>
        <v>-76.305860813434606</v>
      </c>
    </row>
    <row r="46" spans="1:8">
      <c r="A46" s="299" t="s">
        <v>578</v>
      </c>
      <c r="B46" s="300" t="s">
        <v>40</v>
      </c>
      <c r="C46" s="299" t="s">
        <v>54</v>
      </c>
      <c r="D46" s="5">
        <f>D44-D45</f>
        <v>-403.26242191167444</v>
      </c>
      <c r="E46" s="5">
        <f t="shared" ref="E46" si="21">E44-E45</f>
        <v>-395.35531559968092</v>
      </c>
      <c r="F46" s="5">
        <f t="shared" ref="F46" si="22">F44-F45</f>
        <v>-387.60325058792245</v>
      </c>
      <c r="G46" s="5">
        <f t="shared" ref="G46" si="23">G44-G45</f>
        <v>-380.00318685090434</v>
      </c>
      <c r="H46" s="5">
        <f t="shared" ref="H46" si="24">H44-H45</f>
        <v>-372.55214397147483</v>
      </c>
    </row>
    <row r="47" spans="1:8">
      <c r="A47" s="299" t="s">
        <v>579</v>
      </c>
      <c r="B47" s="300" t="s">
        <v>12</v>
      </c>
      <c r="D47" s="2">
        <f>D46/RoRE!E$8</f>
        <v>-1.4211064156753444E-2</v>
      </c>
      <c r="E47" s="2">
        <f>E46/RoRE!F$8</f>
        <v>-1.3936749042122481E-2</v>
      </c>
      <c r="F47" s="2">
        <f>F46/RoRE!G$8</f>
        <v>-1.4606005937510946E-2</v>
      </c>
      <c r="G47" s="2">
        <f>G46/RoRE!H$8</f>
        <v>-1.798468524485388E-2</v>
      </c>
      <c r="H47" s="2">
        <f>H46/RoRE!I$8</f>
        <v>-2.616148084019462E-2</v>
      </c>
    </row>
    <row r="48" spans="1:8">
      <c r="D48" s="5"/>
      <c r="E48" s="5"/>
      <c r="F48" s="5"/>
      <c r="G48" s="5"/>
      <c r="H48" s="5"/>
    </row>
    <row r="49" spans="1:8">
      <c r="A49" s="65" t="s">
        <v>582</v>
      </c>
      <c r="B49" s="1" t="s">
        <v>10</v>
      </c>
      <c r="C49" s="1" t="s">
        <v>11</v>
      </c>
      <c r="D49" s="238" t="s">
        <v>5</v>
      </c>
      <c r="E49" s="238" t="s">
        <v>6</v>
      </c>
      <c r="F49" s="238" t="s">
        <v>7</v>
      </c>
      <c r="G49" s="238" t="s">
        <v>8</v>
      </c>
      <c r="H49" s="238" t="s">
        <v>9</v>
      </c>
    </row>
    <row r="50" spans="1:8">
      <c r="A50" s="234" t="s">
        <v>591</v>
      </c>
      <c r="B50" s="300" t="s">
        <v>40</v>
      </c>
      <c r="C50" s="299" t="s">
        <v>52</v>
      </c>
      <c r="D50" s="409">
        <v>1000</v>
      </c>
      <c r="E50" s="409">
        <v>1000</v>
      </c>
      <c r="F50" s="409">
        <v>1000</v>
      </c>
      <c r="G50" s="409">
        <v>1000</v>
      </c>
      <c r="H50" s="409">
        <v>1000</v>
      </c>
    </row>
    <row r="51" spans="1:8">
      <c r="A51" s="299" t="s">
        <v>576</v>
      </c>
      <c r="B51" s="300" t="s">
        <v>40</v>
      </c>
      <c r="C51" s="299" t="s">
        <v>54</v>
      </c>
      <c r="D51" s="5">
        <f>D50/'DD forecasts'!D$81</f>
        <v>971.71667930523961</v>
      </c>
      <c r="E51" s="5">
        <f>E50/'DD forecasts'!E$81</f>
        <v>952.66341108356846</v>
      </c>
      <c r="F51" s="5">
        <f>F50/'DD forecasts'!F$81</f>
        <v>933.98373635643964</v>
      </c>
      <c r="G51" s="5">
        <f>G50/'DD forecasts'!G$81</f>
        <v>915.67032976121527</v>
      </c>
      <c r="H51" s="5">
        <f>H50/'DD forecasts'!H$81</f>
        <v>897.71600956981888</v>
      </c>
    </row>
    <row r="52" spans="1:8">
      <c r="A52" s="299" t="s">
        <v>577</v>
      </c>
      <c r="B52" s="300" t="s">
        <v>40</v>
      </c>
      <c r="C52" s="299" t="s">
        <v>54</v>
      </c>
      <c r="D52" s="5">
        <f>D51*WACC!$B$11</f>
        <v>165.19183548189073</v>
      </c>
      <c r="E52" s="5">
        <f>E51*WACC!$B$11</f>
        <v>161.95277988420665</v>
      </c>
      <c r="F52" s="5">
        <f>F51*WACC!$B$11</f>
        <v>158.77723518059474</v>
      </c>
      <c r="G52" s="5">
        <f>G51*WACC!$B$11</f>
        <v>155.66395605940662</v>
      </c>
      <c r="H52" s="5">
        <f>H51*WACC!$B$11</f>
        <v>152.61172162686921</v>
      </c>
    </row>
    <row r="53" spans="1:8">
      <c r="A53" s="299" t="s">
        <v>578</v>
      </c>
      <c r="B53" s="300" t="s">
        <v>40</v>
      </c>
      <c r="C53" s="299" t="s">
        <v>54</v>
      </c>
      <c r="D53" s="5">
        <f>D51-D52</f>
        <v>806.52484382334887</v>
      </c>
      <c r="E53" s="5">
        <f t="shared" ref="E53" si="25">E51-E52</f>
        <v>790.71063119936184</v>
      </c>
      <c r="F53" s="5">
        <f t="shared" ref="F53" si="26">F51-F52</f>
        <v>775.20650117584489</v>
      </c>
      <c r="G53" s="5">
        <f t="shared" ref="G53" si="27">G51-G52</f>
        <v>760.00637370180868</v>
      </c>
      <c r="H53" s="5">
        <f t="shared" ref="H53" si="28">H51-H52</f>
        <v>745.10428794294967</v>
      </c>
    </row>
    <row r="54" spans="1:8">
      <c r="A54" s="299" t="s">
        <v>579</v>
      </c>
      <c r="B54" s="300" t="s">
        <v>12</v>
      </c>
      <c r="D54" s="2">
        <f>D53/RoRE!E$8</f>
        <v>2.8422128313506888E-2</v>
      </c>
      <c r="E54" s="2">
        <f>E53/RoRE!F$8</f>
        <v>2.7873498084244962E-2</v>
      </c>
      <c r="F54" s="2">
        <f>F53/RoRE!G$8</f>
        <v>2.9212011875021891E-2</v>
      </c>
      <c r="G54" s="2">
        <f>G53/RoRE!H$8</f>
        <v>3.5969370489707761E-2</v>
      </c>
      <c r="H54" s="2">
        <f>H53/RoRE!I$8</f>
        <v>5.2322961680389239E-2</v>
      </c>
    </row>
    <row r="55" spans="1:8">
      <c r="D55" s="5"/>
      <c r="E55" s="5"/>
      <c r="F55" s="5"/>
      <c r="G55" s="5"/>
      <c r="H55" s="5"/>
    </row>
    <row r="56" spans="1:8">
      <c r="A56" s="65" t="s">
        <v>584</v>
      </c>
      <c r="B56" s="1" t="s">
        <v>10</v>
      </c>
      <c r="C56" s="1" t="s">
        <v>11</v>
      </c>
      <c r="D56" s="238" t="s">
        <v>5</v>
      </c>
      <c r="E56" s="238" t="s">
        <v>6</v>
      </c>
      <c r="F56" s="238" t="s">
        <v>7</v>
      </c>
      <c r="G56" s="238" t="s">
        <v>8</v>
      </c>
      <c r="H56" s="238" t="s">
        <v>9</v>
      </c>
    </row>
    <row r="57" spans="1:8">
      <c r="A57" s="234" t="s">
        <v>591</v>
      </c>
      <c r="B57" s="300" t="s">
        <v>40</v>
      </c>
      <c r="C57" s="299" t="s">
        <v>52</v>
      </c>
      <c r="D57" s="409">
        <v>500</v>
      </c>
      <c r="E57" s="409">
        <v>500</v>
      </c>
      <c r="F57" s="409">
        <v>500</v>
      </c>
      <c r="G57" s="409">
        <v>500</v>
      </c>
      <c r="H57" s="409">
        <v>500</v>
      </c>
    </row>
    <row r="58" spans="1:8">
      <c r="A58" s="299" t="s">
        <v>576</v>
      </c>
      <c r="B58" s="300" t="s">
        <v>40</v>
      </c>
      <c r="C58" s="299" t="s">
        <v>54</v>
      </c>
      <c r="D58" s="5">
        <f>D57/'DD forecasts'!D$81</f>
        <v>485.8583396526198</v>
      </c>
      <c r="E58" s="5">
        <f>E57/'DD forecasts'!E$81</f>
        <v>476.33170554178423</v>
      </c>
      <c r="F58" s="5">
        <f>F57/'DD forecasts'!F$81</f>
        <v>466.99186817821982</v>
      </c>
      <c r="G58" s="5">
        <f>G57/'DD forecasts'!G$81</f>
        <v>457.83516488060764</v>
      </c>
      <c r="H58" s="5">
        <f>H57/'DD forecasts'!H$81</f>
        <v>448.85800478490944</v>
      </c>
    </row>
    <row r="59" spans="1:8">
      <c r="A59" s="299" t="s">
        <v>577</v>
      </c>
      <c r="B59" s="300" t="s">
        <v>40</v>
      </c>
      <c r="C59" s="299" t="s">
        <v>54</v>
      </c>
      <c r="D59" s="5">
        <f>D58*WACC!$B$11</f>
        <v>82.595917740945367</v>
      </c>
      <c r="E59" s="5">
        <f>E58*WACC!$B$11</f>
        <v>80.976389942103324</v>
      </c>
      <c r="F59" s="5">
        <f>F58*WACC!$B$11</f>
        <v>79.388617590297372</v>
      </c>
      <c r="G59" s="5">
        <f>G58*WACC!$B$11</f>
        <v>77.831978029703308</v>
      </c>
      <c r="H59" s="5">
        <f>H58*WACC!$B$11</f>
        <v>76.305860813434606</v>
      </c>
    </row>
    <row r="60" spans="1:8">
      <c r="A60" s="299" t="s">
        <v>578</v>
      </c>
      <c r="B60" s="300" t="s">
        <v>40</v>
      </c>
      <c r="C60" s="299" t="s">
        <v>54</v>
      </c>
      <c r="D60" s="5">
        <f>D58-D59</f>
        <v>403.26242191167444</v>
      </c>
      <c r="E60" s="5">
        <f t="shared" ref="E60" si="29">E58-E59</f>
        <v>395.35531559968092</v>
      </c>
      <c r="F60" s="5">
        <f t="shared" ref="F60" si="30">F58-F59</f>
        <v>387.60325058792245</v>
      </c>
      <c r="G60" s="5">
        <f t="shared" ref="G60" si="31">G58-G59</f>
        <v>380.00318685090434</v>
      </c>
      <c r="H60" s="5">
        <f t="shared" ref="H60" si="32">H58-H59</f>
        <v>372.55214397147483</v>
      </c>
    </row>
    <row r="61" spans="1:8">
      <c r="A61" s="299" t="s">
        <v>579</v>
      </c>
      <c r="B61" s="300" t="s">
        <v>12</v>
      </c>
      <c r="D61" s="2">
        <f>D60/RoRE!E$8</f>
        <v>1.4211064156753444E-2</v>
      </c>
      <c r="E61" s="2">
        <f>E60/RoRE!F$8</f>
        <v>1.3936749042122481E-2</v>
      </c>
      <c r="F61" s="2">
        <f>F60/RoRE!G$8</f>
        <v>1.4606005937510946E-2</v>
      </c>
      <c r="G61" s="2">
        <f>G60/RoRE!H$8</f>
        <v>1.798468524485388E-2</v>
      </c>
      <c r="H61" s="2">
        <f>H60/RoRE!I$8</f>
        <v>2.616148084019462E-2</v>
      </c>
    </row>
    <row r="63" spans="1:8" ht="18">
      <c r="A63" s="267" t="s">
        <v>589</v>
      </c>
    </row>
    <row r="65" spans="1:8">
      <c r="A65" s="65" t="s">
        <v>592</v>
      </c>
      <c r="B65" s="1" t="s">
        <v>10</v>
      </c>
      <c r="C65" s="1" t="s">
        <v>11</v>
      </c>
      <c r="D65" s="238" t="s">
        <v>5</v>
      </c>
      <c r="E65" s="238" t="s">
        <v>6</v>
      </c>
      <c r="F65" s="238" t="s">
        <v>7</v>
      </c>
      <c r="G65" s="238" t="s">
        <v>8</v>
      </c>
      <c r="H65" s="238" t="s">
        <v>9</v>
      </c>
    </row>
    <row r="66" spans="1:8">
      <c r="A66" s="234" t="s">
        <v>596</v>
      </c>
      <c r="B66" s="300" t="s">
        <v>12</v>
      </c>
      <c r="D66" s="410">
        <v>0.02</v>
      </c>
      <c r="E66" s="410">
        <v>0.02</v>
      </c>
      <c r="F66" s="410">
        <v>0.02</v>
      </c>
      <c r="G66" s="410">
        <v>0.02</v>
      </c>
      <c r="H66" s="410">
        <v>0.02</v>
      </c>
    </row>
    <row r="67" spans="1:8">
      <c r="A67" s="299" t="s">
        <v>576</v>
      </c>
      <c r="B67" s="300" t="s">
        <v>40</v>
      </c>
      <c r="C67" s="299" t="s">
        <v>54</v>
      </c>
      <c r="D67" s="5">
        <f>-D66*Return!D$10*WACC!$B$4</f>
        <v>-243.2284455850957</v>
      </c>
      <c r="E67" s="5">
        <f>-E66*Return!E$10*WACC!$B$4</f>
        <v>-243.15282120350054</v>
      </c>
      <c r="F67" s="5">
        <f>-F66*Return!F$10*WACC!$B$4</f>
        <v>-227.4621543139036</v>
      </c>
      <c r="G67" s="5">
        <f>-G66*Return!G$10*WACC!$B$4</f>
        <v>-181.10798875058182</v>
      </c>
      <c r="H67" s="5">
        <f>-H66*Return!H$10*WACC!$B$4</f>
        <v>-122.06128967584522</v>
      </c>
    </row>
    <row r="68" spans="1:8">
      <c r="A68" s="299" t="s">
        <v>577</v>
      </c>
      <c r="B68" s="300" t="s">
        <v>40</v>
      </c>
      <c r="C68" s="299" t="s">
        <v>54</v>
      </c>
      <c r="D68" s="5">
        <f>D67*WACC!$B$11</f>
        <v>-41.348835749466275</v>
      </c>
      <c r="E68" s="5">
        <f>E67*WACC!$B$11</f>
        <v>-41.335979604595096</v>
      </c>
      <c r="F68" s="5">
        <f>F67*WACC!$B$11</f>
        <v>-38.668566233363613</v>
      </c>
      <c r="G68" s="5">
        <f>G67*WACC!$B$11</f>
        <v>-30.788358087598912</v>
      </c>
      <c r="H68" s="5">
        <f>H67*WACC!$B$11</f>
        <v>-20.750419244893688</v>
      </c>
    </row>
    <row r="69" spans="1:8">
      <c r="A69" s="299" t="s">
        <v>578</v>
      </c>
      <c r="B69" s="300" t="s">
        <v>40</v>
      </c>
      <c r="C69" s="299" t="s">
        <v>54</v>
      </c>
      <c r="D69" s="5">
        <f>D67-D68</f>
        <v>-201.87960983562942</v>
      </c>
      <c r="E69" s="5">
        <f t="shared" ref="E69" si="33">E67-E68</f>
        <v>-201.81684159890546</v>
      </c>
      <c r="F69" s="5">
        <f t="shared" ref="F69" si="34">F67-F68</f>
        <v>-188.79358808053999</v>
      </c>
      <c r="G69" s="5">
        <f t="shared" ref="G69" si="35">G67-G68</f>
        <v>-150.31963066298292</v>
      </c>
      <c r="H69" s="5">
        <f t="shared" ref="H69" si="36">H67-H68</f>
        <v>-101.31087043095152</v>
      </c>
    </row>
    <row r="70" spans="1:8">
      <c r="A70" s="299" t="s">
        <v>579</v>
      </c>
      <c r="B70" s="300" t="s">
        <v>12</v>
      </c>
      <c r="D70" s="2">
        <f>D69/RoRE!E$8</f>
        <v>-7.1142857142857136E-3</v>
      </c>
      <c r="E70" s="2">
        <f>E69/RoRE!F$8</f>
        <v>-7.1142857142857145E-3</v>
      </c>
      <c r="F70" s="2">
        <f>F69/RoRE!G$8</f>
        <v>-7.1142857142857154E-3</v>
      </c>
      <c r="G70" s="2">
        <f>G69/RoRE!H$8</f>
        <v>-7.1142857142857145E-3</v>
      </c>
      <c r="H70" s="2">
        <f>H69/RoRE!I$8</f>
        <v>-7.1142857142857136E-3</v>
      </c>
    </row>
    <row r="71" spans="1:8">
      <c r="D71" s="5"/>
      <c r="E71" s="5"/>
      <c r="F71" s="5"/>
      <c r="G71" s="5"/>
      <c r="H71" s="5"/>
    </row>
    <row r="72" spans="1:8">
      <c r="A72" s="65" t="s">
        <v>593</v>
      </c>
      <c r="B72" s="1" t="s">
        <v>10</v>
      </c>
      <c r="C72" s="1" t="s">
        <v>11</v>
      </c>
      <c r="D72" s="238" t="s">
        <v>5</v>
      </c>
      <c r="E72" s="238" t="s">
        <v>6</v>
      </c>
      <c r="F72" s="238" t="s">
        <v>7</v>
      </c>
      <c r="G72" s="238" t="s">
        <v>8</v>
      </c>
      <c r="H72" s="238" t="s">
        <v>9</v>
      </c>
    </row>
    <row r="73" spans="1:8">
      <c r="A73" s="234" t="s">
        <v>596</v>
      </c>
      <c r="B73" s="300" t="s">
        <v>12</v>
      </c>
      <c r="D73" s="410">
        <v>0.01</v>
      </c>
      <c r="E73" s="410">
        <v>0.01</v>
      </c>
      <c r="F73" s="410">
        <v>0.01</v>
      </c>
      <c r="G73" s="410">
        <v>0.01</v>
      </c>
      <c r="H73" s="410">
        <v>0.01</v>
      </c>
    </row>
    <row r="74" spans="1:8">
      <c r="A74" s="299" t="s">
        <v>576</v>
      </c>
      <c r="B74" s="300" t="s">
        <v>40</v>
      </c>
      <c r="C74" s="299" t="s">
        <v>54</v>
      </c>
      <c r="D74" s="5">
        <f>-D73*Return!D$10*WACC!$B$4</f>
        <v>-121.61422279254785</v>
      </c>
      <c r="E74" s="5">
        <f>-E73*Return!E$10*WACC!$B$4</f>
        <v>-121.57641060175027</v>
      </c>
      <c r="F74" s="5">
        <f>-F73*Return!F$10*WACC!$B$4</f>
        <v>-113.7310771569518</v>
      </c>
      <c r="G74" s="5">
        <f>-G73*Return!G$10*WACC!$B$4</f>
        <v>-90.553994375290912</v>
      </c>
      <c r="H74" s="5">
        <f>-H73*Return!H$10*WACC!$B$4</f>
        <v>-61.030644837922608</v>
      </c>
    </row>
    <row r="75" spans="1:8">
      <c r="A75" s="299" t="s">
        <v>577</v>
      </c>
      <c r="B75" s="300" t="s">
        <v>40</v>
      </c>
      <c r="C75" s="299" t="s">
        <v>54</v>
      </c>
      <c r="D75" s="5">
        <f>D74*WACC!$B$11</f>
        <v>-20.674417874733138</v>
      </c>
      <c r="E75" s="5">
        <f>E74*WACC!$B$11</f>
        <v>-20.667989802297548</v>
      </c>
      <c r="F75" s="5">
        <f>F74*WACC!$B$11</f>
        <v>-19.334283116681807</v>
      </c>
      <c r="G75" s="5">
        <f>G74*WACC!$B$11</f>
        <v>-15.394179043799456</v>
      </c>
      <c r="H75" s="5">
        <f>H74*WACC!$B$11</f>
        <v>-10.375209622446844</v>
      </c>
    </row>
    <row r="76" spans="1:8">
      <c r="A76" s="299" t="s">
        <v>578</v>
      </c>
      <c r="B76" s="300" t="s">
        <v>40</v>
      </c>
      <c r="C76" s="299" t="s">
        <v>54</v>
      </c>
      <c r="D76" s="5">
        <f>D74-D75</f>
        <v>-100.93980491781471</v>
      </c>
      <c r="E76" s="5">
        <f t="shared" ref="E76" si="37">E74-E75</f>
        <v>-100.90842079945273</v>
      </c>
      <c r="F76" s="5">
        <f t="shared" ref="F76" si="38">F74-F75</f>
        <v>-94.396794040269995</v>
      </c>
      <c r="G76" s="5">
        <f t="shared" ref="G76" si="39">G74-G75</f>
        <v>-75.159815331491458</v>
      </c>
      <c r="H76" s="5">
        <f t="shared" ref="H76" si="40">H74-H75</f>
        <v>-50.655435215475762</v>
      </c>
    </row>
    <row r="77" spans="1:8">
      <c r="A77" s="299" t="s">
        <v>579</v>
      </c>
      <c r="B77" s="300" t="s">
        <v>12</v>
      </c>
      <c r="D77" s="2">
        <f>D76/RoRE!E$8</f>
        <v>-3.5571428571428568E-3</v>
      </c>
      <c r="E77" s="2">
        <f>E76/RoRE!F$8</f>
        <v>-3.5571428571428572E-3</v>
      </c>
      <c r="F77" s="2">
        <f>F76/RoRE!G$8</f>
        <v>-3.5571428571428577E-3</v>
      </c>
      <c r="G77" s="2">
        <f>G76/RoRE!H$8</f>
        <v>-3.5571428571428572E-3</v>
      </c>
      <c r="H77" s="2">
        <f>H76/RoRE!I$8</f>
        <v>-3.5571428571428568E-3</v>
      </c>
    </row>
    <row r="78" spans="1:8">
      <c r="D78" s="5"/>
      <c r="E78" s="5"/>
      <c r="F78" s="5"/>
      <c r="G78" s="5"/>
      <c r="H78" s="5"/>
    </row>
    <row r="79" spans="1:8">
      <c r="A79" s="65" t="s">
        <v>594</v>
      </c>
      <c r="B79" s="1" t="s">
        <v>10</v>
      </c>
      <c r="C79" s="1" t="s">
        <v>11</v>
      </c>
      <c r="D79" s="238" t="s">
        <v>5</v>
      </c>
      <c r="E79" s="238" t="s">
        <v>6</v>
      </c>
      <c r="F79" s="238" t="s">
        <v>7</v>
      </c>
      <c r="G79" s="238" t="s">
        <v>8</v>
      </c>
      <c r="H79" s="238" t="s">
        <v>9</v>
      </c>
    </row>
    <row r="80" spans="1:8">
      <c r="A80" s="234" t="s">
        <v>596</v>
      </c>
      <c r="B80" s="300" t="s">
        <v>12</v>
      </c>
      <c r="D80" s="410">
        <v>-0.02</v>
      </c>
      <c r="E80" s="410">
        <v>-0.02</v>
      </c>
      <c r="F80" s="410">
        <v>-0.02</v>
      </c>
      <c r="G80" s="410">
        <v>-0.02</v>
      </c>
      <c r="H80" s="410">
        <v>-0.02</v>
      </c>
    </row>
    <row r="81" spans="1:8">
      <c r="A81" s="299" t="s">
        <v>576</v>
      </c>
      <c r="B81" s="300" t="s">
        <v>40</v>
      </c>
      <c r="C81" s="299" t="s">
        <v>54</v>
      </c>
      <c r="D81" s="5">
        <f>-D80*Return!D$10*WACC!$B$4</f>
        <v>243.2284455850957</v>
      </c>
      <c r="E81" s="5">
        <f>-E80*Return!E$10*WACC!$B$4</f>
        <v>243.15282120350054</v>
      </c>
      <c r="F81" s="5">
        <f>-F80*Return!F$10*WACC!$B$4</f>
        <v>227.4621543139036</v>
      </c>
      <c r="G81" s="5">
        <f>-G80*Return!G$10*WACC!$B$4</f>
        <v>181.10798875058182</v>
      </c>
      <c r="H81" s="5">
        <f>-H80*Return!H$10*WACC!$B$4</f>
        <v>122.06128967584522</v>
      </c>
    </row>
    <row r="82" spans="1:8">
      <c r="A82" s="299" t="s">
        <v>577</v>
      </c>
      <c r="B82" s="300" t="s">
        <v>40</v>
      </c>
      <c r="C82" s="299" t="s">
        <v>54</v>
      </c>
      <c r="D82" s="5">
        <f>D81*WACC!$B$11</f>
        <v>41.348835749466275</v>
      </c>
      <c r="E82" s="5">
        <f>E81*WACC!$B$11</f>
        <v>41.335979604595096</v>
      </c>
      <c r="F82" s="5">
        <f>F81*WACC!$B$11</f>
        <v>38.668566233363613</v>
      </c>
      <c r="G82" s="5">
        <f>G81*WACC!$B$11</f>
        <v>30.788358087598912</v>
      </c>
      <c r="H82" s="5">
        <f>H81*WACC!$B$11</f>
        <v>20.750419244893688</v>
      </c>
    </row>
    <row r="83" spans="1:8">
      <c r="A83" s="299" t="s">
        <v>578</v>
      </c>
      <c r="B83" s="300" t="s">
        <v>40</v>
      </c>
      <c r="C83" s="299" t="s">
        <v>54</v>
      </c>
      <c r="D83" s="5">
        <f>D81-D82</f>
        <v>201.87960983562942</v>
      </c>
      <c r="E83" s="5">
        <f t="shared" ref="E83" si="41">E81-E82</f>
        <v>201.81684159890546</v>
      </c>
      <c r="F83" s="5">
        <f t="shared" ref="F83" si="42">F81-F82</f>
        <v>188.79358808053999</v>
      </c>
      <c r="G83" s="5">
        <f t="shared" ref="G83" si="43">G81-G82</f>
        <v>150.31963066298292</v>
      </c>
      <c r="H83" s="5">
        <f t="shared" ref="H83" si="44">H81-H82</f>
        <v>101.31087043095152</v>
      </c>
    </row>
    <row r="84" spans="1:8">
      <c r="A84" s="299" t="s">
        <v>579</v>
      </c>
      <c r="B84" s="300" t="s">
        <v>12</v>
      </c>
      <c r="D84" s="2">
        <f>D83/RoRE!E$8</f>
        <v>7.1142857142857136E-3</v>
      </c>
      <c r="E84" s="2">
        <f>E83/RoRE!F$8</f>
        <v>7.1142857142857145E-3</v>
      </c>
      <c r="F84" s="2">
        <f>F83/RoRE!G$8</f>
        <v>7.1142857142857154E-3</v>
      </c>
      <c r="G84" s="2">
        <f>G83/RoRE!H$8</f>
        <v>7.1142857142857145E-3</v>
      </c>
      <c r="H84" s="2">
        <f>H83/RoRE!I$8</f>
        <v>7.1142857142857136E-3</v>
      </c>
    </row>
    <row r="85" spans="1:8">
      <c r="D85" s="5"/>
      <c r="E85" s="5"/>
      <c r="F85" s="5"/>
      <c r="G85" s="5"/>
      <c r="H85" s="5"/>
    </row>
    <row r="86" spans="1:8">
      <c r="A86" s="65" t="s">
        <v>595</v>
      </c>
      <c r="B86" s="1" t="s">
        <v>10</v>
      </c>
      <c r="C86" s="1" t="s">
        <v>11</v>
      </c>
      <c r="D86" s="238" t="s">
        <v>5</v>
      </c>
      <c r="E86" s="238" t="s">
        <v>6</v>
      </c>
      <c r="F86" s="238" t="s">
        <v>7</v>
      </c>
      <c r="G86" s="238" t="s">
        <v>8</v>
      </c>
      <c r="H86" s="238" t="s">
        <v>9</v>
      </c>
    </row>
    <row r="87" spans="1:8">
      <c r="A87" s="234" t="s">
        <v>596</v>
      </c>
      <c r="B87" s="300" t="s">
        <v>12</v>
      </c>
      <c r="D87" s="410">
        <v>-0.01</v>
      </c>
      <c r="E87" s="410">
        <v>-0.01</v>
      </c>
      <c r="F87" s="410">
        <v>-0.01</v>
      </c>
      <c r="G87" s="410">
        <v>-0.01</v>
      </c>
      <c r="H87" s="410">
        <v>-0.01</v>
      </c>
    </row>
    <row r="88" spans="1:8">
      <c r="A88" s="299" t="s">
        <v>576</v>
      </c>
      <c r="B88" s="300" t="s">
        <v>40</v>
      </c>
      <c r="C88" s="299" t="s">
        <v>54</v>
      </c>
      <c r="D88" s="5">
        <f>-D87*Return!D$10*WACC!$B$4</f>
        <v>121.61422279254785</v>
      </c>
      <c r="E88" s="5">
        <f>-E87*Return!E$10*WACC!$B$4</f>
        <v>121.57641060175027</v>
      </c>
      <c r="F88" s="5">
        <f>-F87*Return!F$10*WACC!$B$4</f>
        <v>113.7310771569518</v>
      </c>
      <c r="G88" s="5">
        <f>-G87*Return!G$10*WACC!$B$4</f>
        <v>90.553994375290912</v>
      </c>
      <c r="H88" s="5">
        <f>-H87*Return!H$10*WACC!$B$4</f>
        <v>61.030644837922608</v>
      </c>
    </row>
    <row r="89" spans="1:8">
      <c r="A89" s="299" t="s">
        <v>577</v>
      </c>
      <c r="B89" s="300" t="s">
        <v>40</v>
      </c>
      <c r="C89" s="299" t="s">
        <v>54</v>
      </c>
      <c r="D89" s="5">
        <f>D88*WACC!$B$11</f>
        <v>20.674417874733138</v>
      </c>
      <c r="E89" s="5">
        <f>E88*WACC!$B$11</f>
        <v>20.667989802297548</v>
      </c>
      <c r="F89" s="5">
        <f>F88*WACC!$B$11</f>
        <v>19.334283116681807</v>
      </c>
      <c r="G89" s="5">
        <f>G88*WACC!$B$11</f>
        <v>15.394179043799456</v>
      </c>
      <c r="H89" s="5">
        <f>H88*WACC!$B$11</f>
        <v>10.375209622446844</v>
      </c>
    </row>
    <row r="90" spans="1:8">
      <c r="A90" s="299" t="s">
        <v>578</v>
      </c>
      <c r="B90" s="300" t="s">
        <v>40</v>
      </c>
      <c r="C90" s="299" t="s">
        <v>54</v>
      </c>
      <c r="D90" s="5">
        <f>D88-D89</f>
        <v>100.93980491781471</v>
      </c>
      <c r="E90" s="5">
        <f t="shared" ref="E90" si="45">E88-E89</f>
        <v>100.90842079945273</v>
      </c>
      <c r="F90" s="5">
        <f t="shared" ref="F90" si="46">F88-F89</f>
        <v>94.396794040269995</v>
      </c>
      <c r="G90" s="5">
        <f t="shared" ref="G90" si="47">G88-G89</f>
        <v>75.159815331491458</v>
      </c>
      <c r="H90" s="5">
        <f t="shared" ref="H90" si="48">H88-H89</f>
        <v>50.655435215475762</v>
      </c>
    </row>
    <row r="91" spans="1:8">
      <c r="A91" s="299" t="s">
        <v>579</v>
      </c>
      <c r="B91" s="300" t="s">
        <v>12</v>
      </c>
      <c r="D91" s="2">
        <f>D90/RoRE!E$8</f>
        <v>3.5571428571428568E-3</v>
      </c>
      <c r="E91" s="2">
        <f>E90/RoRE!F$8</f>
        <v>3.5571428571428572E-3</v>
      </c>
      <c r="F91" s="2">
        <f>F90/RoRE!G$8</f>
        <v>3.5571428571428577E-3</v>
      </c>
      <c r="G91" s="2">
        <f>G90/RoRE!H$8</f>
        <v>3.5571428571428572E-3</v>
      </c>
      <c r="H91" s="2">
        <f>H90/RoRE!I$8</f>
        <v>3.5571428571428568E-3</v>
      </c>
    </row>
    <row r="93" spans="1:8" ht="18">
      <c r="A93" s="267" t="s">
        <v>795</v>
      </c>
    </row>
    <row r="95" spans="1:8">
      <c r="A95" s="65" t="s">
        <v>597</v>
      </c>
      <c r="B95" s="1" t="s">
        <v>10</v>
      </c>
      <c r="C95" s="1" t="s">
        <v>11</v>
      </c>
      <c r="D95" s="238" t="s">
        <v>5</v>
      </c>
      <c r="E95" s="238" t="s">
        <v>6</v>
      </c>
      <c r="F95" s="238" t="s">
        <v>7</v>
      </c>
      <c r="G95" s="238" t="s">
        <v>8</v>
      </c>
      <c r="H95" s="238" t="s">
        <v>9</v>
      </c>
    </row>
    <row r="96" spans="1:8">
      <c r="A96" s="234" t="s">
        <v>590</v>
      </c>
      <c r="B96" s="300" t="s">
        <v>12</v>
      </c>
      <c r="D96" s="410">
        <v>0.3</v>
      </c>
      <c r="E96" s="411"/>
      <c r="F96" s="411"/>
      <c r="G96" s="411"/>
      <c r="H96" s="411"/>
    </row>
    <row r="97" spans="1:8">
      <c r="A97" s="234" t="s">
        <v>598</v>
      </c>
      <c r="B97" s="300" t="s">
        <v>40</v>
      </c>
      <c r="C97" s="299" t="s">
        <v>54</v>
      </c>
      <c r="D97" s="5">
        <f>D96*'DD allowances'!D$33</f>
        <v>690.70423309438786</v>
      </c>
      <c r="E97" s="5">
        <f>E96*'DD allowances'!E$33</f>
        <v>0</v>
      </c>
      <c r="F97" s="5">
        <f>F96*'DD allowances'!F$33</f>
        <v>0</v>
      </c>
      <c r="G97" s="5">
        <f>G96*'DD allowances'!G$33</f>
        <v>0</v>
      </c>
      <c r="H97" s="5">
        <f>H96*'DD allowances'!H$33</f>
        <v>0</v>
      </c>
    </row>
    <row r="98" spans="1:8">
      <c r="A98" s="234" t="s">
        <v>599</v>
      </c>
      <c r="B98" s="300" t="s">
        <v>40</v>
      </c>
      <c r="C98" s="299" t="s">
        <v>54</v>
      </c>
      <c r="D98" s="5">
        <f>D97*'DD allowances'!$B$5</f>
        <v>518.02817482079092</v>
      </c>
      <c r="E98" s="5">
        <f>E97*'DD allowances'!$B$5</f>
        <v>0</v>
      </c>
      <c r="F98" s="5">
        <f>F97*'DD allowances'!$B$5</f>
        <v>0</v>
      </c>
      <c r="G98" s="5">
        <f>G97*'DD allowances'!$B$5</f>
        <v>0</v>
      </c>
      <c r="H98" s="5">
        <f>H97*'DD allowances'!$B$5</f>
        <v>0</v>
      </c>
    </row>
    <row r="99" spans="1:8">
      <c r="A99" s="234" t="s">
        <v>268</v>
      </c>
      <c r="B99" s="300" t="s">
        <v>40</v>
      </c>
      <c r="C99" s="299" t="s">
        <v>54</v>
      </c>
      <c r="D99" s="5">
        <f>D97-D98</f>
        <v>172.67605827359694</v>
      </c>
      <c r="E99" s="5">
        <f t="shared" ref="E99:H99" si="49">E97-E98</f>
        <v>0</v>
      </c>
      <c r="F99" s="5">
        <f t="shared" si="49"/>
        <v>0</v>
      </c>
      <c r="G99" s="5">
        <f t="shared" si="49"/>
        <v>0</v>
      </c>
      <c r="H99" s="5">
        <f t="shared" si="49"/>
        <v>0</v>
      </c>
    </row>
    <row r="100" spans="1:8">
      <c r="A100" s="234" t="s">
        <v>600</v>
      </c>
      <c r="B100" s="300" t="s">
        <v>40</v>
      </c>
      <c r="C100" s="299" t="s">
        <v>54</v>
      </c>
      <c r="D100" s="5">
        <f>-D99/5</f>
        <v>-34.53521165471939</v>
      </c>
      <c r="E100" s="5">
        <f>D100</f>
        <v>-34.53521165471939</v>
      </c>
      <c r="F100" s="5">
        <f t="shared" ref="F100:H100" si="50">E100</f>
        <v>-34.53521165471939</v>
      </c>
      <c r="G100" s="5">
        <f t="shared" si="50"/>
        <v>-34.53521165471939</v>
      </c>
      <c r="H100" s="5">
        <f t="shared" si="50"/>
        <v>-34.53521165471939</v>
      </c>
    </row>
    <row r="101" spans="1:8">
      <c r="A101" s="234" t="s">
        <v>356</v>
      </c>
      <c r="B101" s="300" t="s">
        <v>40</v>
      </c>
      <c r="C101" s="299" t="s">
        <v>54</v>
      </c>
      <c r="D101" s="5">
        <f>-D99*WACC!$B$17</f>
        <v>-6.5483962383440559</v>
      </c>
      <c r="E101" s="5">
        <f>D101</f>
        <v>-6.5483962383440559</v>
      </c>
      <c r="F101" s="5">
        <f t="shared" ref="F101:H101" si="51">E101</f>
        <v>-6.5483962383440559</v>
      </c>
      <c r="G101" s="5">
        <f t="shared" si="51"/>
        <v>-6.5483962383440559</v>
      </c>
      <c r="H101" s="5">
        <f t="shared" si="51"/>
        <v>-6.5483962383440559</v>
      </c>
    </row>
    <row r="102" spans="1:8">
      <c r="A102" s="299" t="s">
        <v>576</v>
      </c>
      <c r="B102" s="300" t="s">
        <v>40</v>
      </c>
      <c r="C102" s="299" t="s">
        <v>54</v>
      </c>
      <c r="D102" s="5">
        <f>D100+D101</f>
        <v>-41.083607893063444</v>
      </c>
      <c r="E102" s="5">
        <f t="shared" ref="E102" si="52">E100+E101</f>
        <v>-41.083607893063444</v>
      </c>
      <c r="F102" s="5">
        <f t="shared" ref="F102" si="53">F100+F101</f>
        <v>-41.083607893063444</v>
      </c>
      <c r="G102" s="5">
        <f t="shared" ref="G102" si="54">G100+G101</f>
        <v>-41.083607893063444</v>
      </c>
      <c r="H102" s="5">
        <f t="shared" ref="H102" si="55">H100+H101</f>
        <v>-41.083607893063444</v>
      </c>
    </row>
    <row r="103" spans="1:8">
      <c r="A103" s="299" t="s">
        <v>577</v>
      </c>
      <c r="B103" s="300" t="s">
        <v>40</v>
      </c>
      <c r="C103" s="299" t="s">
        <v>54</v>
      </c>
      <c r="D103" s="5">
        <f>D102*WACC!$B$11</f>
        <v>-6.9842133418207863</v>
      </c>
      <c r="E103" s="5">
        <f>E102*WACC!$B$11</f>
        <v>-6.9842133418207863</v>
      </c>
      <c r="F103" s="5">
        <f>F102*WACC!$B$11</f>
        <v>-6.9842133418207863</v>
      </c>
      <c r="G103" s="5">
        <f>G102*WACC!$B$11</f>
        <v>-6.9842133418207863</v>
      </c>
      <c r="H103" s="5">
        <f>H102*WACC!$B$11</f>
        <v>-6.9842133418207863</v>
      </c>
    </row>
    <row r="104" spans="1:8">
      <c r="A104" s="299" t="s">
        <v>578</v>
      </c>
      <c r="B104" s="300" t="s">
        <v>40</v>
      </c>
      <c r="C104" s="299" t="s">
        <v>54</v>
      </c>
      <c r="D104" s="5">
        <f>D102-D103</f>
        <v>-34.099394551242661</v>
      </c>
      <c r="E104" s="5">
        <f t="shared" ref="E104" si="56">E102-E103</f>
        <v>-34.099394551242661</v>
      </c>
      <c r="F104" s="5">
        <f t="shared" ref="F104" si="57">F102-F103</f>
        <v>-34.099394551242661</v>
      </c>
      <c r="G104" s="5">
        <f t="shared" ref="G104" si="58">G102-G103</f>
        <v>-34.099394551242661</v>
      </c>
      <c r="H104" s="5">
        <f t="shared" ref="H104" si="59">H102-H103</f>
        <v>-34.099394551242661</v>
      </c>
    </row>
    <row r="105" spans="1:8">
      <c r="A105" s="299" t="s">
        <v>579</v>
      </c>
      <c r="B105" s="300" t="s">
        <v>12</v>
      </c>
      <c r="D105" s="2">
        <f>D104/RoRE!E$8</f>
        <v>-1.2016708161820655E-3</v>
      </c>
      <c r="E105" s="2">
        <f>E104/RoRE!F$8</f>
        <v>-1.2020445548535108E-3</v>
      </c>
      <c r="F105" s="2">
        <f>F104/RoRE!G$8</f>
        <v>-1.2849633188718617E-3</v>
      </c>
      <c r="G105" s="2">
        <f>G104/RoRE!H$8</f>
        <v>-1.6138466709354261E-3</v>
      </c>
      <c r="H105" s="2">
        <f>H104/RoRE!I$8</f>
        <v>-2.3945390508419038E-3</v>
      </c>
    </row>
    <row r="107" spans="1:8">
      <c r="A107" s="65" t="s">
        <v>601</v>
      </c>
      <c r="B107" s="1" t="s">
        <v>10</v>
      </c>
      <c r="C107" s="1" t="s">
        <v>11</v>
      </c>
      <c r="D107" s="238" t="s">
        <v>5</v>
      </c>
      <c r="E107" s="238" t="s">
        <v>6</v>
      </c>
      <c r="F107" s="238" t="s">
        <v>7</v>
      </c>
      <c r="G107" s="238" t="s">
        <v>8</v>
      </c>
      <c r="H107" s="238" t="s">
        <v>9</v>
      </c>
    </row>
    <row r="108" spans="1:8">
      <c r="A108" s="234" t="s">
        <v>590</v>
      </c>
      <c r="B108" s="300" t="s">
        <v>12</v>
      </c>
      <c r="D108" s="410">
        <v>0.15</v>
      </c>
      <c r="E108" s="411"/>
      <c r="F108" s="411"/>
      <c r="G108" s="411"/>
      <c r="H108" s="411"/>
    </row>
    <row r="109" spans="1:8">
      <c r="A109" s="234" t="s">
        <v>598</v>
      </c>
      <c r="B109" s="300" t="s">
        <v>40</v>
      </c>
      <c r="C109" s="299" t="s">
        <v>54</v>
      </c>
      <c r="D109" s="5">
        <f>D108*'DD allowances'!D$33</f>
        <v>345.35211654719393</v>
      </c>
      <c r="E109" s="5">
        <f>E108*'DD allowances'!E$33</f>
        <v>0</v>
      </c>
      <c r="F109" s="5">
        <f>F108*'DD allowances'!F$33</f>
        <v>0</v>
      </c>
      <c r="G109" s="5">
        <f>G108*'DD allowances'!G$33</f>
        <v>0</v>
      </c>
      <c r="H109" s="5">
        <f>H108*'DD allowances'!H$33</f>
        <v>0</v>
      </c>
    </row>
    <row r="110" spans="1:8">
      <c r="A110" s="234" t="s">
        <v>599</v>
      </c>
      <c r="B110" s="300" t="s">
        <v>40</v>
      </c>
      <c r="C110" s="299" t="s">
        <v>54</v>
      </c>
      <c r="D110" s="5">
        <f>D109*'DD allowances'!$B$5</f>
        <v>259.01408741039546</v>
      </c>
      <c r="E110" s="5">
        <f>E109*'DD allowances'!$B$5</f>
        <v>0</v>
      </c>
      <c r="F110" s="5">
        <f>F109*'DD allowances'!$B$5</f>
        <v>0</v>
      </c>
      <c r="G110" s="5">
        <f>G109*'DD allowances'!$B$5</f>
        <v>0</v>
      </c>
      <c r="H110" s="5">
        <f>H109*'DD allowances'!$B$5</f>
        <v>0</v>
      </c>
    </row>
    <row r="111" spans="1:8">
      <c r="A111" s="234" t="s">
        <v>268</v>
      </c>
      <c r="B111" s="300" t="s">
        <v>40</v>
      </c>
      <c r="C111" s="299" t="s">
        <v>54</v>
      </c>
      <c r="D111" s="5">
        <f>D109-D110</f>
        <v>86.338029136798468</v>
      </c>
      <c r="E111" s="5">
        <f t="shared" ref="E111" si="60">E109-E110</f>
        <v>0</v>
      </c>
      <c r="F111" s="5">
        <f t="shared" ref="F111" si="61">F109-F110</f>
        <v>0</v>
      </c>
      <c r="G111" s="5">
        <f t="shared" ref="G111" si="62">G109-G110</f>
        <v>0</v>
      </c>
      <c r="H111" s="5">
        <f t="shared" ref="H111" si="63">H109-H110</f>
        <v>0</v>
      </c>
    </row>
    <row r="112" spans="1:8">
      <c r="A112" s="234" t="s">
        <v>600</v>
      </c>
      <c r="B112" s="300" t="s">
        <v>40</v>
      </c>
      <c r="C112" s="299" t="s">
        <v>54</v>
      </c>
      <c r="D112" s="5">
        <f>-D111/5</f>
        <v>-17.267605827359695</v>
      </c>
      <c r="E112" s="5">
        <f>D112</f>
        <v>-17.267605827359695</v>
      </c>
      <c r="F112" s="5">
        <f t="shared" ref="F112:H112" si="64">E112</f>
        <v>-17.267605827359695</v>
      </c>
      <c r="G112" s="5">
        <f t="shared" si="64"/>
        <v>-17.267605827359695</v>
      </c>
      <c r="H112" s="5">
        <f t="shared" si="64"/>
        <v>-17.267605827359695</v>
      </c>
    </row>
    <row r="113" spans="1:8">
      <c r="A113" s="234" t="s">
        <v>356</v>
      </c>
      <c r="B113" s="300" t="s">
        <v>40</v>
      </c>
      <c r="C113" s="299" t="s">
        <v>54</v>
      </c>
      <c r="D113" s="5">
        <f>-D111*WACC!$B$17</f>
        <v>-3.274198119172028</v>
      </c>
      <c r="E113" s="5">
        <f>D113</f>
        <v>-3.274198119172028</v>
      </c>
      <c r="F113" s="5">
        <f t="shared" ref="F113:H113" si="65">E113</f>
        <v>-3.274198119172028</v>
      </c>
      <c r="G113" s="5">
        <f t="shared" si="65"/>
        <v>-3.274198119172028</v>
      </c>
      <c r="H113" s="5">
        <f t="shared" si="65"/>
        <v>-3.274198119172028</v>
      </c>
    </row>
    <row r="114" spans="1:8">
      <c r="A114" s="299" t="s">
        <v>576</v>
      </c>
      <c r="B114" s="300" t="s">
        <v>40</v>
      </c>
      <c r="C114" s="299" t="s">
        <v>54</v>
      </c>
      <c r="D114" s="5">
        <f>D112+D113</f>
        <v>-20.541803946531722</v>
      </c>
      <c r="E114" s="5">
        <f t="shared" ref="E114" si="66">E112+E113</f>
        <v>-20.541803946531722</v>
      </c>
      <c r="F114" s="5">
        <f t="shared" ref="F114" si="67">F112+F113</f>
        <v>-20.541803946531722</v>
      </c>
      <c r="G114" s="5">
        <f t="shared" ref="G114" si="68">G112+G113</f>
        <v>-20.541803946531722</v>
      </c>
      <c r="H114" s="5">
        <f t="shared" ref="H114" si="69">H112+H113</f>
        <v>-20.541803946531722</v>
      </c>
    </row>
    <row r="115" spans="1:8">
      <c r="A115" s="299" t="s">
        <v>577</v>
      </c>
      <c r="B115" s="300" t="s">
        <v>40</v>
      </c>
      <c r="C115" s="299" t="s">
        <v>54</v>
      </c>
      <c r="D115" s="5">
        <f>D114*WACC!$B$11</f>
        <v>-3.4921066709103932</v>
      </c>
      <c r="E115" s="5">
        <f>E114*WACC!$B$11</f>
        <v>-3.4921066709103932</v>
      </c>
      <c r="F115" s="5">
        <f>F114*WACC!$B$11</f>
        <v>-3.4921066709103932</v>
      </c>
      <c r="G115" s="5">
        <f>G114*WACC!$B$11</f>
        <v>-3.4921066709103932</v>
      </c>
      <c r="H115" s="5">
        <f>H114*WACC!$B$11</f>
        <v>-3.4921066709103932</v>
      </c>
    </row>
    <row r="116" spans="1:8">
      <c r="A116" s="299" t="s">
        <v>578</v>
      </c>
      <c r="B116" s="300" t="s">
        <v>40</v>
      </c>
      <c r="C116" s="299" t="s">
        <v>54</v>
      </c>
      <c r="D116" s="5">
        <f>D114-D115</f>
        <v>-17.04969727562133</v>
      </c>
      <c r="E116" s="5">
        <f t="shared" ref="E116" si="70">E114-E115</f>
        <v>-17.04969727562133</v>
      </c>
      <c r="F116" s="5">
        <f t="shared" ref="F116" si="71">F114-F115</f>
        <v>-17.04969727562133</v>
      </c>
      <c r="G116" s="5">
        <f t="shared" ref="G116" si="72">G114-G115</f>
        <v>-17.04969727562133</v>
      </c>
      <c r="H116" s="5">
        <f t="shared" ref="H116" si="73">H114-H115</f>
        <v>-17.04969727562133</v>
      </c>
    </row>
    <row r="117" spans="1:8">
      <c r="A117" s="299" t="s">
        <v>579</v>
      </c>
      <c r="B117" s="300" t="s">
        <v>12</v>
      </c>
      <c r="D117" s="2">
        <f>D116/RoRE!E$8</f>
        <v>-6.0083540809103273E-4</v>
      </c>
      <c r="E117" s="2">
        <f>E116/RoRE!F$8</f>
        <v>-6.0102227742675539E-4</v>
      </c>
      <c r="F117" s="2">
        <f>F116/RoRE!G$8</f>
        <v>-6.4248165943593086E-4</v>
      </c>
      <c r="G117" s="2">
        <f>G116/RoRE!H$8</f>
        <v>-8.0692333546771304E-4</v>
      </c>
      <c r="H117" s="2">
        <f>H116/RoRE!I$8</f>
        <v>-1.1972695254209519E-3</v>
      </c>
    </row>
    <row r="119" spans="1:8">
      <c r="A119" s="65" t="s">
        <v>602</v>
      </c>
      <c r="B119" s="1" t="s">
        <v>10</v>
      </c>
      <c r="C119" s="1" t="s">
        <v>11</v>
      </c>
      <c r="D119" s="238" t="s">
        <v>5</v>
      </c>
      <c r="E119" s="238" t="s">
        <v>6</v>
      </c>
      <c r="F119" s="238" t="s">
        <v>7</v>
      </c>
      <c r="G119" s="238" t="s">
        <v>8</v>
      </c>
      <c r="H119" s="238" t="s">
        <v>9</v>
      </c>
    </row>
    <row r="120" spans="1:8">
      <c r="A120" s="234" t="s">
        <v>590</v>
      </c>
      <c r="B120" s="300" t="s">
        <v>12</v>
      </c>
      <c r="D120" s="410">
        <v>-0.3</v>
      </c>
      <c r="E120" s="411"/>
      <c r="F120" s="411"/>
      <c r="G120" s="411"/>
      <c r="H120" s="411"/>
    </row>
    <row r="121" spans="1:8">
      <c r="A121" s="234" t="s">
        <v>598</v>
      </c>
      <c r="B121" s="300" t="s">
        <v>40</v>
      </c>
      <c r="C121" s="299" t="s">
        <v>54</v>
      </c>
      <c r="D121" s="5">
        <f>D120*'DD allowances'!D$33</f>
        <v>-690.70423309438786</v>
      </c>
      <c r="E121" s="5">
        <f>E120*'DD allowances'!E$33</f>
        <v>0</v>
      </c>
      <c r="F121" s="5">
        <f>F120*'DD allowances'!F$33</f>
        <v>0</v>
      </c>
      <c r="G121" s="5">
        <f>G120*'DD allowances'!G$33</f>
        <v>0</v>
      </c>
      <c r="H121" s="5">
        <f>H120*'DD allowances'!H$33</f>
        <v>0</v>
      </c>
    </row>
    <row r="122" spans="1:8">
      <c r="A122" s="234" t="s">
        <v>599</v>
      </c>
      <c r="B122" s="300" t="s">
        <v>40</v>
      </c>
      <c r="C122" s="299" t="s">
        <v>54</v>
      </c>
      <c r="D122" s="5">
        <f>D121*'DD allowances'!$B$5</f>
        <v>-518.02817482079092</v>
      </c>
      <c r="E122" s="5">
        <f>E121*'DD allowances'!$B$5</f>
        <v>0</v>
      </c>
      <c r="F122" s="5">
        <f>F121*'DD allowances'!$B$5</f>
        <v>0</v>
      </c>
      <c r="G122" s="5">
        <f>G121*'DD allowances'!$B$5</f>
        <v>0</v>
      </c>
      <c r="H122" s="5">
        <f>H121*'DD allowances'!$B$5</f>
        <v>0</v>
      </c>
    </row>
    <row r="123" spans="1:8">
      <c r="A123" s="234" t="s">
        <v>268</v>
      </c>
      <c r="B123" s="300" t="s">
        <v>40</v>
      </c>
      <c r="C123" s="299" t="s">
        <v>54</v>
      </c>
      <c r="D123" s="5">
        <f>D121-D122</f>
        <v>-172.67605827359694</v>
      </c>
      <c r="E123" s="5">
        <f t="shared" ref="E123" si="74">E121-E122</f>
        <v>0</v>
      </c>
      <c r="F123" s="5">
        <f t="shared" ref="F123" si="75">F121-F122</f>
        <v>0</v>
      </c>
      <c r="G123" s="5">
        <f t="shared" ref="G123" si="76">G121-G122</f>
        <v>0</v>
      </c>
      <c r="H123" s="5">
        <f t="shared" ref="H123" si="77">H121-H122</f>
        <v>0</v>
      </c>
    </row>
    <row r="124" spans="1:8">
      <c r="A124" s="234" t="s">
        <v>600</v>
      </c>
      <c r="B124" s="300" t="s">
        <v>40</v>
      </c>
      <c r="C124" s="299" t="s">
        <v>54</v>
      </c>
      <c r="D124" s="5">
        <f>-D123/5</f>
        <v>34.53521165471939</v>
      </c>
      <c r="E124" s="5">
        <f>D124</f>
        <v>34.53521165471939</v>
      </c>
      <c r="F124" s="5">
        <f t="shared" ref="F124:H124" si="78">E124</f>
        <v>34.53521165471939</v>
      </c>
      <c r="G124" s="5">
        <f t="shared" si="78"/>
        <v>34.53521165471939</v>
      </c>
      <c r="H124" s="5">
        <f t="shared" si="78"/>
        <v>34.53521165471939</v>
      </c>
    </row>
    <row r="125" spans="1:8">
      <c r="A125" s="234" t="s">
        <v>356</v>
      </c>
      <c r="B125" s="300" t="s">
        <v>40</v>
      </c>
      <c r="C125" s="299" t="s">
        <v>54</v>
      </c>
      <c r="D125" s="5">
        <f>-D123*WACC!$B$17</f>
        <v>6.5483962383440559</v>
      </c>
      <c r="E125" s="5">
        <f>D125</f>
        <v>6.5483962383440559</v>
      </c>
      <c r="F125" s="5">
        <f t="shared" ref="F125:H125" si="79">E125</f>
        <v>6.5483962383440559</v>
      </c>
      <c r="G125" s="5">
        <f t="shared" si="79"/>
        <v>6.5483962383440559</v>
      </c>
      <c r="H125" s="5">
        <f t="shared" si="79"/>
        <v>6.5483962383440559</v>
      </c>
    </row>
    <row r="126" spans="1:8">
      <c r="A126" s="299" t="s">
        <v>576</v>
      </c>
      <c r="B126" s="300" t="s">
        <v>40</v>
      </c>
      <c r="C126" s="299" t="s">
        <v>54</v>
      </c>
      <c r="D126" s="5">
        <f>D124+D125</f>
        <v>41.083607893063444</v>
      </c>
      <c r="E126" s="5">
        <f t="shared" ref="E126" si="80">E124+E125</f>
        <v>41.083607893063444</v>
      </c>
      <c r="F126" s="5">
        <f t="shared" ref="F126" si="81">F124+F125</f>
        <v>41.083607893063444</v>
      </c>
      <c r="G126" s="5">
        <f t="shared" ref="G126" si="82">G124+G125</f>
        <v>41.083607893063444</v>
      </c>
      <c r="H126" s="5">
        <f t="shared" ref="H126" si="83">H124+H125</f>
        <v>41.083607893063444</v>
      </c>
    </row>
    <row r="127" spans="1:8">
      <c r="A127" s="299" t="s">
        <v>577</v>
      </c>
      <c r="B127" s="300" t="s">
        <v>40</v>
      </c>
      <c r="C127" s="299" t="s">
        <v>54</v>
      </c>
      <c r="D127" s="5">
        <f>D126*WACC!$B$11</f>
        <v>6.9842133418207863</v>
      </c>
      <c r="E127" s="5">
        <f>E126*WACC!$B$11</f>
        <v>6.9842133418207863</v>
      </c>
      <c r="F127" s="5">
        <f>F126*WACC!$B$11</f>
        <v>6.9842133418207863</v>
      </c>
      <c r="G127" s="5">
        <f>G126*WACC!$B$11</f>
        <v>6.9842133418207863</v>
      </c>
      <c r="H127" s="5">
        <f>H126*WACC!$B$11</f>
        <v>6.9842133418207863</v>
      </c>
    </row>
    <row r="128" spans="1:8">
      <c r="A128" s="299" t="s">
        <v>578</v>
      </c>
      <c r="B128" s="300" t="s">
        <v>40</v>
      </c>
      <c r="C128" s="299" t="s">
        <v>54</v>
      </c>
      <c r="D128" s="5">
        <f>D126-D127</f>
        <v>34.099394551242661</v>
      </c>
      <c r="E128" s="5">
        <f t="shared" ref="E128" si="84">E126-E127</f>
        <v>34.099394551242661</v>
      </c>
      <c r="F128" s="5">
        <f t="shared" ref="F128" si="85">F126-F127</f>
        <v>34.099394551242661</v>
      </c>
      <c r="G128" s="5">
        <f t="shared" ref="G128" si="86">G126-G127</f>
        <v>34.099394551242661</v>
      </c>
      <c r="H128" s="5">
        <f t="shared" ref="H128" si="87">H126-H127</f>
        <v>34.099394551242661</v>
      </c>
    </row>
    <row r="129" spans="1:8">
      <c r="A129" s="299" t="s">
        <v>579</v>
      </c>
      <c r="B129" s="300" t="s">
        <v>12</v>
      </c>
      <c r="D129" s="2">
        <f>D128/RoRE!E$8</f>
        <v>1.2016708161820655E-3</v>
      </c>
      <c r="E129" s="2">
        <f>E128/RoRE!F$8</f>
        <v>1.2020445548535108E-3</v>
      </c>
      <c r="F129" s="2">
        <f>F128/RoRE!G$8</f>
        <v>1.2849633188718617E-3</v>
      </c>
      <c r="G129" s="2">
        <f>G128/RoRE!H$8</f>
        <v>1.6138466709354261E-3</v>
      </c>
      <c r="H129" s="2">
        <f>H128/RoRE!I$8</f>
        <v>2.3945390508419038E-3</v>
      </c>
    </row>
    <row r="131" spans="1:8">
      <c r="A131" s="65" t="s">
        <v>603</v>
      </c>
      <c r="B131" s="1" t="s">
        <v>10</v>
      </c>
      <c r="C131" s="1" t="s">
        <v>11</v>
      </c>
      <c r="D131" s="238" t="s">
        <v>5</v>
      </c>
      <c r="E131" s="238" t="s">
        <v>6</v>
      </c>
      <c r="F131" s="238" t="s">
        <v>7</v>
      </c>
      <c r="G131" s="238" t="s">
        <v>8</v>
      </c>
      <c r="H131" s="238" t="s">
        <v>9</v>
      </c>
    </row>
    <row r="132" spans="1:8">
      <c r="A132" s="234" t="s">
        <v>590</v>
      </c>
      <c r="B132" s="300" t="s">
        <v>12</v>
      </c>
      <c r="D132" s="410">
        <v>-0.15</v>
      </c>
      <c r="E132" s="411"/>
      <c r="F132" s="411"/>
      <c r="G132" s="411"/>
      <c r="H132" s="411"/>
    </row>
    <row r="133" spans="1:8">
      <c r="A133" s="234" t="s">
        <v>598</v>
      </c>
      <c r="B133" s="300" t="s">
        <v>40</v>
      </c>
      <c r="C133" s="299" t="s">
        <v>54</v>
      </c>
      <c r="D133" s="5">
        <f>D132*'DD allowances'!D$33</f>
        <v>-345.35211654719393</v>
      </c>
      <c r="E133" s="5">
        <f>E132*'DD allowances'!E$33</f>
        <v>0</v>
      </c>
      <c r="F133" s="5">
        <f>F132*'DD allowances'!F$33</f>
        <v>0</v>
      </c>
      <c r="G133" s="5">
        <f>G132*'DD allowances'!G$33</f>
        <v>0</v>
      </c>
      <c r="H133" s="5">
        <f>H132*'DD allowances'!H$33</f>
        <v>0</v>
      </c>
    </row>
    <row r="134" spans="1:8">
      <c r="A134" s="234" t="s">
        <v>599</v>
      </c>
      <c r="B134" s="300" t="s">
        <v>40</v>
      </c>
      <c r="C134" s="299" t="s">
        <v>54</v>
      </c>
      <c r="D134" s="5">
        <f>D133*'DD allowances'!$B$5</f>
        <v>-259.01408741039546</v>
      </c>
      <c r="E134" s="5">
        <f>E133*'DD allowances'!$B$5</f>
        <v>0</v>
      </c>
      <c r="F134" s="5">
        <f>F133*'DD allowances'!$B$5</f>
        <v>0</v>
      </c>
      <c r="G134" s="5">
        <f>G133*'DD allowances'!$B$5</f>
        <v>0</v>
      </c>
      <c r="H134" s="5">
        <f>H133*'DD allowances'!$B$5</f>
        <v>0</v>
      </c>
    </row>
    <row r="135" spans="1:8">
      <c r="A135" s="234" t="s">
        <v>268</v>
      </c>
      <c r="B135" s="300" t="s">
        <v>40</v>
      </c>
      <c r="C135" s="299" t="s">
        <v>54</v>
      </c>
      <c r="D135" s="5">
        <f>D133-D134</f>
        <v>-86.338029136798468</v>
      </c>
      <c r="E135" s="5">
        <f t="shared" ref="E135" si="88">E133-E134</f>
        <v>0</v>
      </c>
      <c r="F135" s="5">
        <f t="shared" ref="F135" si="89">F133-F134</f>
        <v>0</v>
      </c>
      <c r="G135" s="5">
        <f t="shared" ref="G135" si="90">G133-G134</f>
        <v>0</v>
      </c>
      <c r="H135" s="5">
        <f t="shared" ref="H135" si="91">H133-H134</f>
        <v>0</v>
      </c>
    </row>
    <row r="136" spans="1:8">
      <c r="A136" s="234" t="s">
        <v>600</v>
      </c>
      <c r="B136" s="300" t="s">
        <v>40</v>
      </c>
      <c r="C136" s="299" t="s">
        <v>54</v>
      </c>
      <c r="D136" s="5">
        <f>-D135/5</f>
        <v>17.267605827359695</v>
      </c>
      <c r="E136" s="5">
        <f>D136</f>
        <v>17.267605827359695</v>
      </c>
      <c r="F136" s="5">
        <f t="shared" ref="F136:H136" si="92">E136</f>
        <v>17.267605827359695</v>
      </c>
      <c r="G136" s="5">
        <f t="shared" si="92"/>
        <v>17.267605827359695</v>
      </c>
      <c r="H136" s="5">
        <f t="shared" si="92"/>
        <v>17.267605827359695</v>
      </c>
    </row>
    <row r="137" spans="1:8">
      <c r="A137" s="234" t="s">
        <v>356</v>
      </c>
      <c r="B137" s="300" t="s">
        <v>40</v>
      </c>
      <c r="C137" s="299" t="s">
        <v>54</v>
      </c>
      <c r="D137" s="5">
        <f>-D135*WACC!$B$17</f>
        <v>3.274198119172028</v>
      </c>
      <c r="E137" s="5">
        <f>D137</f>
        <v>3.274198119172028</v>
      </c>
      <c r="F137" s="5">
        <f t="shared" ref="F137:H137" si="93">E137</f>
        <v>3.274198119172028</v>
      </c>
      <c r="G137" s="5">
        <f t="shared" si="93"/>
        <v>3.274198119172028</v>
      </c>
      <c r="H137" s="5">
        <f t="shared" si="93"/>
        <v>3.274198119172028</v>
      </c>
    </row>
    <row r="138" spans="1:8">
      <c r="A138" s="299" t="s">
        <v>576</v>
      </c>
      <c r="B138" s="300" t="s">
        <v>40</v>
      </c>
      <c r="C138" s="299" t="s">
        <v>54</v>
      </c>
      <c r="D138" s="5">
        <f>D136+D137</f>
        <v>20.541803946531722</v>
      </c>
      <c r="E138" s="5">
        <f t="shared" ref="E138" si="94">E136+E137</f>
        <v>20.541803946531722</v>
      </c>
      <c r="F138" s="5">
        <f t="shared" ref="F138" si="95">F136+F137</f>
        <v>20.541803946531722</v>
      </c>
      <c r="G138" s="5">
        <f t="shared" ref="G138" si="96">G136+G137</f>
        <v>20.541803946531722</v>
      </c>
      <c r="H138" s="5">
        <f t="shared" ref="H138" si="97">H136+H137</f>
        <v>20.541803946531722</v>
      </c>
    </row>
    <row r="139" spans="1:8">
      <c r="A139" s="299" t="s">
        <v>577</v>
      </c>
      <c r="B139" s="300" t="s">
        <v>40</v>
      </c>
      <c r="C139" s="299" t="s">
        <v>54</v>
      </c>
      <c r="D139" s="5">
        <f>D138*WACC!$B$11</f>
        <v>3.4921066709103932</v>
      </c>
      <c r="E139" s="5">
        <f>E138*WACC!$B$11</f>
        <v>3.4921066709103932</v>
      </c>
      <c r="F139" s="5">
        <f>F138*WACC!$B$11</f>
        <v>3.4921066709103932</v>
      </c>
      <c r="G139" s="5">
        <f>G138*WACC!$B$11</f>
        <v>3.4921066709103932</v>
      </c>
      <c r="H139" s="5">
        <f>H138*WACC!$B$11</f>
        <v>3.4921066709103932</v>
      </c>
    </row>
    <row r="140" spans="1:8">
      <c r="A140" s="299" t="s">
        <v>578</v>
      </c>
      <c r="B140" s="300" t="s">
        <v>40</v>
      </c>
      <c r="C140" s="299" t="s">
        <v>54</v>
      </c>
      <c r="D140" s="5">
        <f>D138-D139</f>
        <v>17.04969727562133</v>
      </c>
      <c r="E140" s="5">
        <f t="shared" ref="E140" si="98">E138-E139</f>
        <v>17.04969727562133</v>
      </c>
      <c r="F140" s="5">
        <f t="shared" ref="F140" si="99">F138-F139</f>
        <v>17.04969727562133</v>
      </c>
      <c r="G140" s="5">
        <f t="shared" ref="G140" si="100">G138-G139</f>
        <v>17.04969727562133</v>
      </c>
      <c r="H140" s="5">
        <f t="shared" ref="H140" si="101">H138-H139</f>
        <v>17.04969727562133</v>
      </c>
    </row>
    <row r="141" spans="1:8">
      <c r="A141" s="299" t="s">
        <v>579</v>
      </c>
      <c r="B141" s="300" t="s">
        <v>12</v>
      </c>
      <c r="D141" s="2">
        <f>D140/RoRE!E$8</f>
        <v>6.0083540809103273E-4</v>
      </c>
      <c r="E141" s="2">
        <f>E140/RoRE!F$8</f>
        <v>6.0102227742675539E-4</v>
      </c>
      <c r="F141" s="2">
        <f>F140/RoRE!G$8</f>
        <v>6.4248165943593086E-4</v>
      </c>
      <c r="G141" s="2">
        <f>G140/RoRE!H$8</f>
        <v>8.0692333546771304E-4</v>
      </c>
      <c r="H141" s="2">
        <f>H140/RoRE!I$8</f>
        <v>1.1972695254209519E-3</v>
      </c>
    </row>
    <row r="143" spans="1:8" ht="18">
      <c r="A143" s="267" t="s">
        <v>604</v>
      </c>
    </row>
    <row r="145" spans="1:8">
      <c r="A145" s="65" t="s">
        <v>605</v>
      </c>
      <c r="B145" s="1" t="s">
        <v>10</v>
      </c>
      <c r="C145" s="1" t="s">
        <v>11</v>
      </c>
      <c r="D145" s="238" t="s">
        <v>5</v>
      </c>
      <c r="E145" s="238" t="s">
        <v>6</v>
      </c>
      <c r="F145" s="238" t="s">
        <v>7</v>
      </c>
      <c r="G145" s="238" t="s">
        <v>8</v>
      </c>
      <c r="H145" s="238" t="s">
        <v>9</v>
      </c>
    </row>
    <row r="146" spans="1:8">
      <c r="A146" s="234" t="s">
        <v>606</v>
      </c>
      <c r="B146" s="300" t="s">
        <v>12</v>
      </c>
      <c r="D146" s="412">
        <v>-0.05</v>
      </c>
      <c r="E146" s="411"/>
      <c r="F146" s="411"/>
      <c r="G146" s="411"/>
      <c r="H146" s="411"/>
    </row>
    <row r="147" spans="1:8">
      <c r="A147" s="234" t="s">
        <v>607</v>
      </c>
      <c r="B147" s="300" t="s">
        <v>40</v>
      </c>
      <c r="C147" s="299" t="s">
        <v>54</v>
      </c>
      <c r="D147" s="5"/>
      <c r="E147" s="5"/>
      <c r="F147" s="5">
        <f>D146*('DD forecasts'!$D$43)</f>
        <v>-305.48894285138124</v>
      </c>
      <c r="G147" s="5"/>
      <c r="H147" s="5"/>
    </row>
    <row r="148" spans="1:8">
      <c r="A148" s="299" t="s">
        <v>576</v>
      </c>
      <c r="B148" s="300" t="s">
        <v>40</v>
      </c>
      <c r="C148" s="299" t="s">
        <v>54</v>
      </c>
      <c r="D148" s="5"/>
      <c r="E148" s="5"/>
      <c r="F148" s="5">
        <f>F147</f>
        <v>-305.48894285138124</v>
      </c>
      <c r="G148" s="5"/>
      <c r="H148" s="5"/>
    </row>
    <row r="149" spans="1:8">
      <c r="A149" s="299" t="s">
        <v>577</v>
      </c>
      <c r="B149" s="300" t="s">
        <v>40</v>
      </c>
      <c r="C149" s="299" t="s">
        <v>54</v>
      </c>
      <c r="D149" s="5"/>
      <c r="E149" s="5"/>
      <c r="F149" s="5">
        <f>F148*WACC!$B$11</f>
        <v>-51.933120284734812</v>
      </c>
      <c r="G149" s="5"/>
      <c r="H149" s="5"/>
    </row>
    <row r="150" spans="1:8">
      <c r="A150" s="299" t="s">
        <v>578</v>
      </c>
      <c r="B150" s="300" t="s">
        <v>40</v>
      </c>
      <c r="C150" s="299" t="s">
        <v>54</v>
      </c>
      <c r="D150" s="5"/>
      <c r="E150" s="5"/>
      <c r="F150" s="5">
        <f t="shared" ref="F150" si="102">F148-F149</f>
        <v>-253.55582256664644</v>
      </c>
      <c r="G150" s="5"/>
      <c r="H150" s="5"/>
    </row>
    <row r="151" spans="1:8">
      <c r="A151" s="299" t="s">
        <v>579</v>
      </c>
      <c r="B151" s="300" t="s">
        <v>12</v>
      </c>
      <c r="D151" s="2">
        <v>0</v>
      </c>
      <c r="E151" s="2">
        <v>0</v>
      </c>
      <c r="F151" s="2">
        <f>F150/RoRE!G$8</f>
        <v>-9.5547130842723316E-3</v>
      </c>
      <c r="G151" s="2">
        <v>0</v>
      </c>
      <c r="H151" s="2">
        <v>0</v>
      </c>
    </row>
    <row r="153" spans="1:8">
      <c r="A153" s="65" t="s">
        <v>608</v>
      </c>
      <c r="B153" s="1" t="s">
        <v>10</v>
      </c>
      <c r="C153" s="1" t="s">
        <v>11</v>
      </c>
      <c r="D153" s="238" t="s">
        <v>5</v>
      </c>
      <c r="E153" s="238" t="s">
        <v>6</v>
      </c>
      <c r="F153" s="238" t="s">
        <v>7</v>
      </c>
      <c r="G153" s="238" t="s">
        <v>8</v>
      </c>
      <c r="H153" s="238" t="s">
        <v>9</v>
      </c>
    </row>
    <row r="154" spans="1:8">
      <c r="A154" s="234" t="s">
        <v>606</v>
      </c>
      <c r="B154" s="300" t="s">
        <v>12</v>
      </c>
      <c r="D154" s="412">
        <v>-2.5000000000000001E-2</v>
      </c>
      <c r="E154" s="411"/>
      <c r="F154" s="411"/>
      <c r="G154" s="411"/>
      <c r="H154" s="411"/>
    </row>
    <row r="155" spans="1:8">
      <c r="A155" s="234" t="s">
        <v>607</v>
      </c>
      <c r="B155" s="300" t="s">
        <v>40</v>
      </c>
      <c r="C155" s="299" t="s">
        <v>54</v>
      </c>
      <c r="D155" s="5"/>
      <c r="E155" s="5"/>
      <c r="F155" s="5">
        <f>D154*('DD forecasts'!$D$43)</f>
        <v>-152.74447142569062</v>
      </c>
      <c r="G155" s="5"/>
      <c r="H155" s="5"/>
    </row>
    <row r="156" spans="1:8">
      <c r="A156" s="299" t="s">
        <v>576</v>
      </c>
      <c r="B156" s="300" t="s">
        <v>40</v>
      </c>
      <c r="C156" s="299" t="s">
        <v>54</v>
      </c>
      <c r="D156" s="5"/>
      <c r="E156" s="5"/>
      <c r="F156" s="5">
        <f>F155</f>
        <v>-152.74447142569062</v>
      </c>
      <c r="G156" s="5"/>
      <c r="H156" s="5"/>
    </row>
    <row r="157" spans="1:8">
      <c r="A157" s="299" t="s">
        <v>577</v>
      </c>
      <c r="B157" s="300" t="s">
        <v>40</v>
      </c>
      <c r="C157" s="299" t="s">
        <v>54</v>
      </c>
      <c r="D157" s="5"/>
      <c r="E157" s="5"/>
      <c r="F157" s="5">
        <f>F156*WACC!$B$11</f>
        <v>-25.966560142367406</v>
      </c>
      <c r="G157" s="5"/>
      <c r="H157" s="5"/>
    </row>
    <row r="158" spans="1:8">
      <c r="A158" s="299" t="s">
        <v>578</v>
      </c>
      <c r="B158" s="300" t="s">
        <v>40</v>
      </c>
      <c r="C158" s="299" t="s">
        <v>54</v>
      </c>
      <c r="D158" s="5"/>
      <c r="E158" s="5"/>
      <c r="F158" s="5">
        <f t="shared" ref="F158" si="103">F156-F157</f>
        <v>-126.77791128332322</v>
      </c>
      <c r="G158" s="5"/>
      <c r="H158" s="5"/>
    </row>
    <row r="159" spans="1:8">
      <c r="A159" s="299" t="s">
        <v>579</v>
      </c>
      <c r="B159" s="300" t="s">
        <v>12</v>
      </c>
      <c r="D159" s="2">
        <v>0</v>
      </c>
      <c r="E159" s="2">
        <v>0</v>
      </c>
      <c r="F159" s="2">
        <f>F158/RoRE!G$8</f>
        <v>-4.7773565421361658E-3</v>
      </c>
      <c r="G159" s="2">
        <v>0</v>
      </c>
      <c r="H159" s="2">
        <v>0</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
  <sheetViews>
    <sheetView workbookViewId="0">
      <selection activeCell="O30" sqref="O30"/>
    </sheetView>
  </sheetViews>
  <sheetFormatPr defaultColWidth="8.6640625" defaultRowHeight="14.25"/>
  <cols>
    <col min="1" max="16384" width="8.6640625" style="63"/>
  </cols>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pageSetUpPr fitToPage="1"/>
  </sheetPr>
  <dimension ref="A1:CR234"/>
  <sheetViews>
    <sheetView zoomScale="68" zoomScaleNormal="80" workbookViewId="0">
      <pane xSplit="11" ySplit="7" topLeftCell="L202" activePane="bottomRight" state="frozen"/>
      <selection pane="topRight" activeCell="K1" sqref="K1"/>
      <selection pane="bottomLeft" activeCell="A8" sqref="A8"/>
      <selection pane="bottomRight" activeCell="J233" sqref="J233"/>
    </sheetView>
  </sheetViews>
  <sheetFormatPr defaultColWidth="8.796875" defaultRowHeight="15"/>
  <cols>
    <col min="1" max="3" width="9" style="339"/>
    <col min="4" max="4" width="10.46484375" style="403" bestFit="1" customWidth="1"/>
    <col min="5" max="5" width="12.1328125" style="403" customWidth="1"/>
    <col min="6" max="7" width="9" style="403"/>
    <col min="8" max="8" width="10.33203125" style="403" customWidth="1"/>
    <col min="9" max="9" width="10.33203125" style="339" customWidth="1"/>
    <col min="10" max="10" width="91.33203125" style="339" bestFit="1" customWidth="1"/>
    <col min="11" max="11" width="10.6640625" style="405" customWidth="1"/>
    <col min="12" max="12" width="14.1328125" style="339" bestFit="1" customWidth="1"/>
    <col min="13" max="14" width="16.33203125" style="339" bestFit="1" customWidth="1"/>
    <col min="15" max="15" width="14.33203125" style="339" bestFit="1" customWidth="1"/>
    <col min="16" max="16" width="15.1328125" style="339" bestFit="1" customWidth="1"/>
    <col min="17" max="17" width="12.6640625" style="339" bestFit="1" customWidth="1"/>
    <col min="18" max="18" width="11.6640625" style="339" bestFit="1" customWidth="1"/>
    <col min="19" max="19" width="11" style="339" bestFit="1" customWidth="1"/>
    <col min="20" max="20" width="13.6640625" style="339" bestFit="1" customWidth="1"/>
    <col min="21" max="21" width="11" style="339" bestFit="1" customWidth="1"/>
    <col min="22" max="22" width="13.33203125" style="339" bestFit="1" customWidth="1"/>
    <col min="23" max="23" width="17" style="339" bestFit="1" customWidth="1"/>
    <col min="24" max="24" width="14.1328125" style="339" bestFit="1" customWidth="1"/>
    <col min="25" max="26" width="16.33203125" style="339" bestFit="1" customWidth="1"/>
    <col min="27" max="27" width="14.33203125" style="339" bestFit="1" customWidth="1"/>
    <col min="28" max="28" width="15.1328125" style="339" bestFit="1" customWidth="1"/>
    <col min="29" max="29" width="12.6640625" style="339" bestFit="1" customWidth="1"/>
    <col min="30" max="30" width="11.6640625" style="339" bestFit="1" customWidth="1"/>
    <col min="31" max="31" width="11" style="339" bestFit="1" customWidth="1"/>
    <col min="32" max="32" width="11.6640625" style="339" bestFit="1" customWidth="1"/>
    <col min="33" max="33" width="11" style="339" bestFit="1" customWidth="1"/>
    <col min="34" max="34" width="13.33203125" style="339" bestFit="1" customWidth="1"/>
    <col min="35" max="35" width="17" style="339" bestFit="1" customWidth="1"/>
    <col min="36" max="36" width="14.1328125" style="339" bestFit="1" customWidth="1"/>
    <col min="37" max="38" width="16.33203125" style="339" bestFit="1" customWidth="1"/>
    <col min="39" max="39" width="14.33203125" style="339" bestFit="1" customWidth="1"/>
    <col min="40" max="40" width="15.1328125" style="339" bestFit="1" customWidth="1"/>
    <col min="41" max="41" width="12.6640625" style="339" bestFit="1" customWidth="1"/>
    <col min="42" max="42" width="11.6640625" style="339" bestFit="1" customWidth="1"/>
    <col min="43" max="43" width="11" style="339" bestFit="1" customWidth="1"/>
    <col min="44" max="44" width="11.6640625" style="339" bestFit="1" customWidth="1"/>
    <col min="45" max="45" width="11" style="339" bestFit="1" customWidth="1"/>
    <col min="46" max="46" width="13.33203125" style="339" bestFit="1" customWidth="1"/>
    <col min="47" max="47" width="17" style="339" bestFit="1" customWidth="1"/>
    <col min="48" max="48" width="14.1328125" style="339" bestFit="1" customWidth="1"/>
    <col min="49" max="50" width="16.33203125" style="339" bestFit="1" customWidth="1"/>
    <col min="51" max="51" width="14.33203125" style="339" bestFit="1" customWidth="1"/>
    <col min="52" max="52" width="15.1328125" style="339" bestFit="1" customWidth="1"/>
    <col min="53" max="53" width="12.6640625" style="339" bestFit="1" customWidth="1"/>
    <col min="54" max="54" width="11.6640625" style="339" bestFit="1" customWidth="1"/>
    <col min="55" max="55" width="11" style="339" bestFit="1" customWidth="1"/>
    <col min="56" max="56" width="11.6640625" style="339" bestFit="1" customWidth="1"/>
    <col min="57" max="57" width="11" style="339" bestFit="1" customWidth="1"/>
    <col min="58" max="58" width="13.33203125" style="339" bestFit="1" customWidth="1"/>
    <col min="59" max="59" width="17" style="339" bestFit="1" customWidth="1"/>
    <col min="60" max="60" width="14.1328125" style="339" bestFit="1" customWidth="1"/>
    <col min="61" max="62" width="16.33203125" style="339" bestFit="1" customWidth="1"/>
    <col min="63" max="63" width="14.33203125" style="339" bestFit="1" customWidth="1"/>
    <col min="64" max="64" width="15.1328125" style="339" bestFit="1" customWidth="1"/>
    <col min="65" max="65" width="12.6640625" style="339" bestFit="1" customWidth="1"/>
    <col min="66" max="66" width="11.6640625" style="339" bestFit="1" customWidth="1"/>
    <col min="67" max="67" width="11" style="339" bestFit="1" customWidth="1"/>
    <col min="68" max="68" width="11.6640625" style="339" bestFit="1" customWidth="1"/>
    <col min="69" max="69" width="11" style="339" bestFit="1" customWidth="1"/>
    <col min="70" max="70" width="13.33203125" style="339" bestFit="1" customWidth="1"/>
    <col min="71" max="71" width="17" style="339" bestFit="1" customWidth="1"/>
    <col min="72" max="72" width="14.1328125" style="339" bestFit="1" customWidth="1"/>
    <col min="73" max="74" width="16.33203125" style="339" bestFit="1" customWidth="1"/>
    <col min="75" max="75" width="14.33203125" style="339" bestFit="1" customWidth="1"/>
    <col min="76" max="76" width="15.1328125" style="339" bestFit="1" customWidth="1"/>
    <col min="77" max="77" width="12.6640625" style="339" bestFit="1" customWidth="1"/>
    <col min="78" max="78" width="11.6640625" style="339" bestFit="1" customWidth="1"/>
    <col min="79" max="79" width="11" style="339" bestFit="1" customWidth="1"/>
    <col min="80" max="80" width="11.6640625" style="339" bestFit="1" customWidth="1"/>
    <col min="81" max="81" width="11" style="339" bestFit="1" customWidth="1"/>
    <col min="82" max="82" width="13.33203125" style="339" bestFit="1" customWidth="1"/>
    <col min="83" max="83" width="17" style="339" bestFit="1" customWidth="1"/>
    <col min="84" max="84" width="14.1328125" style="339" bestFit="1" customWidth="1"/>
    <col min="85" max="86" width="16.33203125" style="339" bestFit="1" customWidth="1"/>
    <col min="87" max="87" width="14.33203125" style="339" bestFit="1" customWidth="1"/>
    <col min="88" max="88" width="15.1328125" style="339" bestFit="1" customWidth="1"/>
    <col min="89" max="89" width="12.6640625" style="339" bestFit="1" customWidth="1"/>
    <col min="90" max="90" width="11.6640625" style="339" bestFit="1" customWidth="1"/>
    <col min="91" max="91" width="11" style="339" bestFit="1" customWidth="1"/>
    <col min="92" max="92" width="11.6640625" style="339" bestFit="1" customWidth="1"/>
    <col min="93" max="93" width="11" style="339" bestFit="1" customWidth="1"/>
    <col min="94" max="94" width="13.33203125" style="339" bestFit="1" customWidth="1"/>
    <col min="95" max="96" width="17" style="339" bestFit="1" customWidth="1"/>
    <col min="97" max="260" width="9" style="339"/>
    <col min="261" max="261" width="12.1328125" style="339" customWidth="1"/>
    <col min="262" max="265" width="9" style="339"/>
    <col min="266" max="266" width="91.33203125" style="339" bestFit="1" customWidth="1"/>
    <col min="267" max="267" width="10.6640625" style="339" customWidth="1"/>
    <col min="268" max="268" width="14.1328125" style="339" bestFit="1" customWidth="1"/>
    <col min="269" max="270" width="16.33203125" style="339" bestFit="1" customWidth="1"/>
    <col min="271" max="271" width="14.33203125" style="339" bestFit="1" customWidth="1"/>
    <col min="272" max="272" width="15.1328125" style="339" bestFit="1" customWidth="1"/>
    <col min="273" max="273" width="12.6640625" style="339" bestFit="1" customWidth="1"/>
    <col min="274" max="274" width="11.6640625" style="339" bestFit="1" customWidth="1"/>
    <col min="275" max="275" width="11" style="339" bestFit="1" customWidth="1"/>
    <col min="276" max="276" width="13.6640625" style="339" bestFit="1" customWidth="1"/>
    <col min="277" max="277" width="11" style="339" bestFit="1" customWidth="1"/>
    <col min="278" max="278" width="13.33203125" style="339" bestFit="1" customWidth="1"/>
    <col min="279" max="279" width="17" style="339" bestFit="1" customWidth="1"/>
    <col min="280" max="280" width="14.1328125" style="339" bestFit="1" customWidth="1"/>
    <col min="281" max="282" width="16.33203125" style="339" bestFit="1" customWidth="1"/>
    <col min="283" max="283" width="14.33203125" style="339" bestFit="1" customWidth="1"/>
    <col min="284" max="284" width="15.1328125" style="339" bestFit="1" customWidth="1"/>
    <col min="285" max="285" width="12.6640625" style="339" bestFit="1" customWidth="1"/>
    <col min="286" max="286" width="11.6640625" style="339" bestFit="1" customWidth="1"/>
    <col min="287" max="287" width="11" style="339" bestFit="1" customWidth="1"/>
    <col min="288" max="288" width="11.6640625" style="339" bestFit="1" customWidth="1"/>
    <col min="289" max="289" width="11" style="339" bestFit="1" customWidth="1"/>
    <col min="290" max="290" width="13.33203125" style="339" bestFit="1" customWidth="1"/>
    <col min="291" max="291" width="17" style="339" bestFit="1" customWidth="1"/>
    <col min="292" max="292" width="14.1328125" style="339" bestFit="1" customWidth="1"/>
    <col min="293" max="294" width="16.33203125" style="339" bestFit="1" customWidth="1"/>
    <col min="295" max="295" width="14.33203125" style="339" bestFit="1" customWidth="1"/>
    <col min="296" max="296" width="15.1328125" style="339" bestFit="1" customWidth="1"/>
    <col min="297" max="297" width="12.6640625" style="339" bestFit="1" customWidth="1"/>
    <col min="298" max="298" width="11.6640625" style="339" bestFit="1" customWidth="1"/>
    <col min="299" max="299" width="11" style="339" bestFit="1" customWidth="1"/>
    <col min="300" max="300" width="11.6640625" style="339" bestFit="1" customWidth="1"/>
    <col min="301" max="301" width="11" style="339" bestFit="1" customWidth="1"/>
    <col min="302" max="302" width="13.33203125" style="339" bestFit="1" customWidth="1"/>
    <col min="303" max="303" width="17" style="339" bestFit="1" customWidth="1"/>
    <col min="304" max="304" width="14.1328125" style="339" bestFit="1" customWidth="1"/>
    <col min="305" max="306" width="16.33203125" style="339" bestFit="1" customWidth="1"/>
    <col min="307" max="307" width="14.33203125" style="339" bestFit="1" customWidth="1"/>
    <col min="308" max="308" width="15.1328125" style="339" bestFit="1" customWidth="1"/>
    <col min="309" max="309" width="12.6640625" style="339" bestFit="1" customWidth="1"/>
    <col min="310" max="310" width="11.6640625" style="339" bestFit="1" customWidth="1"/>
    <col min="311" max="311" width="11" style="339" bestFit="1" customWidth="1"/>
    <col min="312" max="312" width="11.6640625" style="339" bestFit="1" customWidth="1"/>
    <col min="313" max="313" width="11" style="339" bestFit="1" customWidth="1"/>
    <col min="314" max="314" width="13.33203125" style="339" bestFit="1" customWidth="1"/>
    <col min="315" max="315" width="17" style="339" bestFit="1" customWidth="1"/>
    <col min="316" max="316" width="14.1328125" style="339" bestFit="1" customWidth="1"/>
    <col min="317" max="318" width="16.33203125" style="339" bestFit="1" customWidth="1"/>
    <col min="319" max="319" width="14.33203125" style="339" bestFit="1" customWidth="1"/>
    <col min="320" max="320" width="15.1328125" style="339" bestFit="1" customWidth="1"/>
    <col min="321" max="321" width="12.6640625" style="339" bestFit="1" customWidth="1"/>
    <col min="322" max="322" width="11.6640625" style="339" bestFit="1" customWidth="1"/>
    <col min="323" max="323" width="11" style="339" bestFit="1" customWidth="1"/>
    <col min="324" max="324" width="11.6640625" style="339" bestFit="1" customWidth="1"/>
    <col min="325" max="325" width="11" style="339" bestFit="1" customWidth="1"/>
    <col min="326" max="326" width="13.33203125" style="339" bestFit="1" customWidth="1"/>
    <col min="327" max="327" width="17" style="339" bestFit="1" customWidth="1"/>
    <col min="328" max="328" width="14.1328125" style="339" bestFit="1" customWidth="1"/>
    <col min="329" max="330" width="16.33203125" style="339" bestFit="1" customWidth="1"/>
    <col min="331" max="331" width="14.33203125" style="339" bestFit="1" customWidth="1"/>
    <col min="332" max="332" width="15.1328125" style="339" bestFit="1" customWidth="1"/>
    <col min="333" max="333" width="12.6640625" style="339" bestFit="1" customWidth="1"/>
    <col min="334" max="334" width="11.6640625" style="339" bestFit="1" customWidth="1"/>
    <col min="335" max="335" width="11" style="339" bestFit="1" customWidth="1"/>
    <col min="336" max="336" width="11.6640625" style="339" bestFit="1" customWidth="1"/>
    <col min="337" max="337" width="11" style="339" bestFit="1" customWidth="1"/>
    <col min="338" max="338" width="13.33203125" style="339" bestFit="1" customWidth="1"/>
    <col min="339" max="339" width="17" style="339" bestFit="1" customWidth="1"/>
    <col min="340" max="340" width="14.1328125" style="339" bestFit="1" customWidth="1"/>
    <col min="341" max="342" width="16.33203125" style="339" bestFit="1" customWidth="1"/>
    <col min="343" max="343" width="14.33203125" style="339" bestFit="1" customWidth="1"/>
    <col min="344" max="344" width="15.1328125" style="339" bestFit="1" customWidth="1"/>
    <col min="345" max="345" width="12.6640625" style="339" bestFit="1" customWidth="1"/>
    <col min="346" max="346" width="11.6640625" style="339" bestFit="1" customWidth="1"/>
    <col min="347" max="347" width="11" style="339" bestFit="1" customWidth="1"/>
    <col min="348" max="348" width="11.6640625" style="339" bestFit="1" customWidth="1"/>
    <col min="349" max="349" width="11" style="339" bestFit="1" customWidth="1"/>
    <col min="350" max="350" width="13.33203125" style="339" bestFit="1" customWidth="1"/>
    <col min="351" max="352" width="17" style="339" bestFit="1" customWidth="1"/>
    <col min="353" max="516" width="9" style="339"/>
    <col min="517" max="517" width="12.1328125" style="339" customWidth="1"/>
    <col min="518" max="521" width="9" style="339"/>
    <col min="522" max="522" width="91.33203125" style="339" bestFit="1" customWidth="1"/>
    <col min="523" max="523" width="10.6640625" style="339" customWidth="1"/>
    <col min="524" max="524" width="14.1328125" style="339" bestFit="1" customWidth="1"/>
    <col min="525" max="526" width="16.33203125" style="339" bestFit="1" customWidth="1"/>
    <col min="527" max="527" width="14.33203125" style="339" bestFit="1" customWidth="1"/>
    <col min="528" max="528" width="15.1328125" style="339" bestFit="1" customWidth="1"/>
    <col min="529" max="529" width="12.6640625" style="339" bestFit="1" customWidth="1"/>
    <col min="530" max="530" width="11.6640625" style="339" bestFit="1" customWidth="1"/>
    <col min="531" max="531" width="11" style="339" bestFit="1" customWidth="1"/>
    <col min="532" max="532" width="13.6640625" style="339" bestFit="1" customWidth="1"/>
    <col min="533" max="533" width="11" style="339" bestFit="1" customWidth="1"/>
    <col min="534" max="534" width="13.33203125" style="339" bestFit="1" customWidth="1"/>
    <col min="535" max="535" width="17" style="339" bestFit="1" customWidth="1"/>
    <col min="536" max="536" width="14.1328125" style="339" bestFit="1" customWidth="1"/>
    <col min="537" max="538" width="16.33203125" style="339" bestFit="1" customWidth="1"/>
    <col min="539" max="539" width="14.33203125" style="339" bestFit="1" customWidth="1"/>
    <col min="540" max="540" width="15.1328125" style="339" bestFit="1" customWidth="1"/>
    <col min="541" max="541" width="12.6640625" style="339" bestFit="1" customWidth="1"/>
    <col min="542" max="542" width="11.6640625" style="339" bestFit="1" customWidth="1"/>
    <col min="543" max="543" width="11" style="339" bestFit="1" customWidth="1"/>
    <col min="544" max="544" width="11.6640625" style="339" bestFit="1" customWidth="1"/>
    <col min="545" max="545" width="11" style="339" bestFit="1" customWidth="1"/>
    <col min="546" max="546" width="13.33203125" style="339" bestFit="1" customWidth="1"/>
    <col min="547" max="547" width="17" style="339" bestFit="1" customWidth="1"/>
    <col min="548" max="548" width="14.1328125" style="339" bestFit="1" customWidth="1"/>
    <col min="549" max="550" width="16.33203125" style="339" bestFit="1" customWidth="1"/>
    <col min="551" max="551" width="14.33203125" style="339" bestFit="1" customWidth="1"/>
    <col min="552" max="552" width="15.1328125" style="339" bestFit="1" customWidth="1"/>
    <col min="553" max="553" width="12.6640625" style="339" bestFit="1" customWidth="1"/>
    <col min="554" max="554" width="11.6640625" style="339" bestFit="1" customWidth="1"/>
    <col min="555" max="555" width="11" style="339" bestFit="1" customWidth="1"/>
    <col min="556" max="556" width="11.6640625" style="339" bestFit="1" customWidth="1"/>
    <col min="557" max="557" width="11" style="339" bestFit="1" customWidth="1"/>
    <col min="558" max="558" width="13.33203125" style="339" bestFit="1" customWidth="1"/>
    <col min="559" max="559" width="17" style="339" bestFit="1" customWidth="1"/>
    <col min="560" max="560" width="14.1328125" style="339" bestFit="1" customWidth="1"/>
    <col min="561" max="562" width="16.33203125" style="339" bestFit="1" customWidth="1"/>
    <col min="563" max="563" width="14.33203125" style="339" bestFit="1" customWidth="1"/>
    <col min="564" max="564" width="15.1328125" style="339" bestFit="1" customWidth="1"/>
    <col min="565" max="565" width="12.6640625" style="339" bestFit="1" customWidth="1"/>
    <col min="566" max="566" width="11.6640625" style="339" bestFit="1" customWidth="1"/>
    <col min="567" max="567" width="11" style="339" bestFit="1" customWidth="1"/>
    <col min="568" max="568" width="11.6640625" style="339" bestFit="1" customWidth="1"/>
    <col min="569" max="569" width="11" style="339" bestFit="1" customWidth="1"/>
    <col min="570" max="570" width="13.33203125" style="339" bestFit="1" customWidth="1"/>
    <col min="571" max="571" width="17" style="339" bestFit="1" customWidth="1"/>
    <col min="572" max="572" width="14.1328125" style="339" bestFit="1" customWidth="1"/>
    <col min="573" max="574" width="16.33203125" style="339" bestFit="1" customWidth="1"/>
    <col min="575" max="575" width="14.33203125" style="339" bestFit="1" customWidth="1"/>
    <col min="576" max="576" width="15.1328125" style="339" bestFit="1" customWidth="1"/>
    <col min="577" max="577" width="12.6640625" style="339" bestFit="1" customWidth="1"/>
    <col min="578" max="578" width="11.6640625" style="339" bestFit="1" customWidth="1"/>
    <col min="579" max="579" width="11" style="339" bestFit="1" customWidth="1"/>
    <col min="580" max="580" width="11.6640625" style="339" bestFit="1" customWidth="1"/>
    <col min="581" max="581" width="11" style="339" bestFit="1" customWidth="1"/>
    <col min="582" max="582" width="13.33203125" style="339" bestFit="1" customWidth="1"/>
    <col min="583" max="583" width="17" style="339" bestFit="1" customWidth="1"/>
    <col min="584" max="584" width="14.1328125" style="339" bestFit="1" customWidth="1"/>
    <col min="585" max="586" width="16.33203125" style="339" bestFit="1" customWidth="1"/>
    <col min="587" max="587" width="14.33203125" style="339" bestFit="1" customWidth="1"/>
    <col min="588" max="588" width="15.1328125" style="339" bestFit="1" customWidth="1"/>
    <col min="589" max="589" width="12.6640625" style="339" bestFit="1" customWidth="1"/>
    <col min="590" max="590" width="11.6640625" style="339" bestFit="1" customWidth="1"/>
    <col min="591" max="591" width="11" style="339" bestFit="1" customWidth="1"/>
    <col min="592" max="592" width="11.6640625" style="339" bestFit="1" customWidth="1"/>
    <col min="593" max="593" width="11" style="339" bestFit="1" customWidth="1"/>
    <col min="594" max="594" width="13.33203125" style="339" bestFit="1" customWidth="1"/>
    <col min="595" max="595" width="17" style="339" bestFit="1" customWidth="1"/>
    <col min="596" max="596" width="14.1328125" style="339" bestFit="1" customWidth="1"/>
    <col min="597" max="598" width="16.33203125" style="339" bestFit="1" customWidth="1"/>
    <col min="599" max="599" width="14.33203125" style="339" bestFit="1" customWidth="1"/>
    <col min="600" max="600" width="15.1328125" style="339" bestFit="1" customWidth="1"/>
    <col min="601" max="601" width="12.6640625" style="339" bestFit="1" customWidth="1"/>
    <col min="602" max="602" width="11.6640625" style="339" bestFit="1" customWidth="1"/>
    <col min="603" max="603" width="11" style="339" bestFit="1" customWidth="1"/>
    <col min="604" max="604" width="11.6640625" style="339" bestFit="1" customWidth="1"/>
    <col min="605" max="605" width="11" style="339" bestFit="1" customWidth="1"/>
    <col min="606" max="606" width="13.33203125" style="339" bestFit="1" customWidth="1"/>
    <col min="607" max="608" width="17" style="339" bestFit="1" customWidth="1"/>
    <col min="609" max="772" width="9" style="339"/>
    <col min="773" max="773" width="12.1328125" style="339" customWidth="1"/>
    <col min="774" max="777" width="9" style="339"/>
    <col min="778" max="778" width="91.33203125" style="339" bestFit="1" customWidth="1"/>
    <col min="779" max="779" width="10.6640625" style="339" customWidth="1"/>
    <col min="780" max="780" width="14.1328125" style="339" bestFit="1" customWidth="1"/>
    <col min="781" max="782" width="16.33203125" style="339" bestFit="1" customWidth="1"/>
    <col min="783" max="783" width="14.33203125" style="339" bestFit="1" customWidth="1"/>
    <col min="784" max="784" width="15.1328125" style="339" bestFit="1" customWidth="1"/>
    <col min="785" max="785" width="12.6640625" style="339" bestFit="1" customWidth="1"/>
    <col min="786" max="786" width="11.6640625" style="339" bestFit="1" customWidth="1"/>
    <col min="787" max="787" width="11" style="339" bestFit="1" customWidth="1"/>
    <col min="788" max="788" width="13.6640625" style="339" bestFit="1" customWidth="1"/>
    <col min="789" max="789" width="11" style="339" bestFit="1" customWidth="1"/>
    <col min="790" max="790" width="13.33203125" style="339" bestFit="1" customWidth="1"/>
    <col min="791" max="791" width="17" style="339" bestFit="1" customWidth="1"/>
    <col min="792" max="792" width="14.1328125" style="339" bestFit="1" customWidth="1"/>
    <col min="793" max="794" width="16.33203125" style="339" bestFit="1" customWidth="1"/>
    <col min="795" max="795" width="14.33203125" style="339" bestFit="1" customWidth="1"/>
    <col min="796" max="796" width="15.1328125" style="339" bestFit="1" customWidth="1"/>
    <col min="797" max="797" width="12.6640625" style="339" bestFit="1" customWidth="1"/>
    <col min="798" max="798" width="11.6640625" style="339" bestFit="1" customWidth="1"/>
    <col min="799" max="799" width="11" style="339" bestFit="1" customWidth="1"/>
    <col min="800" max="800" width="11.6640625" style="339" bestFit="1" customWidth="1"/>
    <col min="801" max="801" width="11" style="339" bestFit="1" customWidth="1"/>
    <col min="802" max="802" width="13.33203125" style="339" bestFit="1" customWidth="1"/>
    <col min="803" max="803" width="17" style="339" bestFit="1" customWidth="1"/>
    <col min="804" max="804" width="14.1328125" style="339" bestFit="1" customWidth="1"/>
    <col min="805" max="806" width="16.33203125" style="339" bestFit="1" customWidth="1"/>
    <col min="807" max="807" width="14.33203125" style="339" bestFit="1" customWidth="1"/>
    <col min="808" max="808" width="15.1328125" style="339" bestFit="1" customWidth="1"/>
    <col min="809" max="809" width="12.6640625" style="339" bestFit="1" customWidth="1"/>
    <col min="810" max="810" width="11.6640625" style="339" bestFit="1" customWidth="1"/>
    <col min="811" max="811" width="11" style="339" bestFit="1" customWidth="1"/>
    <col min="812" max="812" width="11.6640625" style="339" bestFit="1" customWidth="1"/>
    <col min="813" max="813" width="11" style="339" bestFit="1" customWidth="1"/>
    <col min="814" max="814" width="13.33203125" style="339" bestFit="1" customWidth="1"/>
    <col min="815" max="815" width="17" style="339" bestFit="1" customWidth="1"/>
    <col min="816" max="816" width="14.1328125" style="339" bestFit="1" customWidth="1"/>
    <col min="817" max="818" width="16.33203125" style="339" bestFit="1" customWidth="1"/>
    <col min="819" max="819" width="14.33203125" style="339" bestFit="1" customWidth="1"/>
    <col min="820" max="820" width="15.1328125" style="339" bestFit="1" customWidth="1"/>
    <col min="821" max="821" width="12.6640625" style="339" bestFit="1" customWidth="1"/>
    <col min="822" max="822" width="11.6640625" style="339" bestFit="1" customWidth="1"/>
    <col min="823" max="823" width="11" style="339" bestFit="1" customWidth="1"/>
    <col min="824" max="824" width="11.6640625" style="339" bestFit="1" customWidth="1"/>
    <col min="825" max="825" width="11" style="339" bestFit="1" customWidth="1"/>
    <col min="826" max="826" width="13.33203125" style="339" bestFit="1" customWidth="1"/>
    <col min="827" max="827" width="17" style="339" bestFit="1" customWidth="1"/>
    <col min="828" max="828" width="14.1328125" style="339" bestFit="1" customWidth="1"/>
    <col min="829" max="830" width="16.33203125" style="339" bestFit="1" customWidth="1"/>
    <col min="831" max="831" width="14.33203125" style="339" bestFit="1" customWidth="1"/>
    <col min="832" max="832" width="15.1328125" style="339" bestFit="1" customWidth="1"/>
    <col min="833" max="833" width="12.6640625" style="339" bestFit="1" customWidth="1"/>
    <col min="834" max="834" width="11.6640625" style="339" bestFit="1" customWidth="1"/>
    <col min="835" max="835" width="11" style="339" bestFit="1" customWidth="1"/>
    <col min="836" max="836" width="11.6640625" style="339" bestFit="1" customWidth="1"/>
    <col min="837" max="837" width="11" style="339" bestFit="1" customWidth="1"/>
    <col min="838" max="838" width="13.33203125" style="339" bestFit="1" customWidth="1"/>
    <col min="839" max="839" width="17" style="339" bestFit="1" customWidth="1"/>
    <col min="840" max="840" width="14.1328125" style="339" bestFit="1" customWidth="1"/>
    <col min="841" max="842" width="16.33203125" style="339" bestFit="1" customWidth="1"/>
    <col min="843" max="843" width="14.33203125" style="339" bestFit="1" customWidth="1"/>
    <col min="844" max="844" width="15.1328125" style="339" bestFit="1" customWidth="1"/>
    <col min="845" max="845" width="12.6640625" style="339" bestFit="1" customWidth="1"/>
    <col min="846" max="846" width="11.6640625" style="339" bestFit="1" customWidth="1"/>
    <col min="847" max="847" width="11" style="339" bestFit="1" customWidth="1"/>
    <col min="848" max="848" width="11.6640625" style="339" bestFit="1" customWidth="1"/>
    <col min="849" max="849" width="11" style="339" bestFit="1" customWidth="1"/>
    <col min="850" max="850" width="13.33203125" style="339" bestFit="1" customWidth="1"/>
    <col min="851" max="851" width="17" style="339" bestFit="1" customWidth="1"/>
    <col min="852" max="852" width="14.1328125" style="339" bestFit="1" customWidth="1"/>
    <col min="853" max="854" width="16.33203125" style="339" bestFit="1" customWidth="1"/>
    <col min="855" max="855" width="14.33203125" style="339" bestFit="1" customWidth="1"/>
    <col min="856" max="856" width="15.1328125" style="339" bestFit="1" customWidth="1"/>
    <col min="857" max="857" width="12.6640625" style="339" bestFit="1" customWidth="1"/>
    <col min="858" max="858" width="11.6640625" style="339" bestFit="1" customWidth="1"/>
    <col min="859" max="859" width="11" style="339" bestFit="1" customWidth="1"/>
    <col min="860" max="860" width="11.6640625" style="339" bestFit="1" customWidth="1"/>
    <col min="861" max="861" width="11" style="339" bestFit="1" customWidth="1"/>
    <col min="862" max="862" width="13.33203125" style="339" bestFit="1" customWidth="1"/>
    <col min="863" max="864" width="17" style="339" bestFit="1" customWidth="1"/>
    <col min="865" max="1028" width="9" style="339"/>
    <col min="1029" max="1029" width="12.1328125" style="339" customWidth="1"/>
    <col min="1030" max="1033" width="9" style="339"/>
    <col min="1034" max="1034" width="91.33203125" style="339" bestFit="1" customWidth="1"/>
    <col min="1035" max="1035" width="10.6640625" style="339" customWidth="1"/>
    <col min="1036" max="1036" width="14.1328125" style="339" bestFit="1" customWidth="1"/>
    <col min="1037" max="1038" width="16.33203125" style="339" bestFit="1" customWidth="1"/>
    <col min="1039" max="1039" width="14.33203125" style="339" bestFit="1" customWidth="1"/>
    <col min="1040" max="1040" width="15.1328125" style="339" bestFit="1" customWidth="1"/>
    <col min="1041" max="1041" width="12.6640625" style="339" bestFit="1" customWidth="1"/>
    <col min="1042" max="1042" width="11.6640625" style="339" bestFit="1" customWidth="1"/>
    <col min="1043" max="1043" width="11" style="339" bestFit="1" customWidth="1"/>
    <col min="1044" max="1044" width="13.6640625" style="339" bestFit="1" customWidth="1"/>
    <col min="1045" max="1045" width="11" style="339" bestFit="1" customWidth="1"/>
    <col min="1046" max="1046" width="13.33203125" style="339" bestFit="1" customWidth="1"/>
    <col min="1047" max="1047" width="17" style="339" bestFit="1" customWidth="1"/>
    <col min="1048" max="1048" width="14.1328125" style="339" bestFit="1" customWidth="1"/>
    <col min="1049" max="1050" width="16.33203125" style="339" bestFit="1" customWidth="1"/>
    <col min="1051" max="1051" width="14.33203125" style="339" bestFit="1" customWidth="1"/>
    <col min="1052" max="1052" width="15.1328125" style="339" bestFit="1" customWidth="1"/>
    <col min="1053" max="1053" width="12.6640625" style="339" bestFit="1" customWidth="1"/>
    <col min="1054" max="1054" width="11.6640625" style="339" bestFit="1" customWidth="1"/>
    <col min="1055" max="1055" width="11" style="339" bestFit="1" customWidth="1"/>
    <col min="1056" max="1056" width="11.6640625" style="339" bestFit="1" customWidth="1"/>
    <col min="1057" max="1057" width="11" style="339" bestFit="1" customWidth="1"/>
    <col min="1058" max="1058" width="13.33203125" style="339" bestFit="1" customWidth="1"/>
    <col min="1059" max="1059" width="17" style="339" bestFit="1" customWidth="1"/>
    <col min="1060" max="1060" width="14.1328125" style="339" bestFit="1" customWidth="1"/>
    <col min="1061" max="1062" width="16.33203125" style="339" bestFit="1" customWidth="1"/>
    <col min="1063" max="1063" width="14.33203125" style="339" bestFit="1" customWidth="1"/>
    <col min="1064" max="1064" width="15.1328125" style="339" bestFit="1" customWidth="1"/>
    <col min="1065" max="1065" width="12.6640625" style="339" bestFit="1" customWidth="1"/>
    <col min="1066" max="1066" width="11.6640625" style="339" bestFit="1" customWidth="1"/>
    <col min="1067" max="1067" width="11" style="339" bestFit="1" customWidth="1"/>
    <col min="1068" max="1068" width="11.6640625" style="339" bestFit="1" customWidth="1"/>
    <col min="1069" max="1069" width="11" style="339" bestFit="1" customWidth="1"/>
    <col min="1070" max="1070" width="13.33203125" style="339" bestFit="1" customWidth="1"/>
    <col min="1071" max="1071" width="17" style="339" bestFit="1" customWidth="1"/>
    <col min="1072" max="1072" width="14.1328125" style="339" bestFit="1" customWidth="1"/>
    <col min="1073" max="1074" width="16.33203125" style="339" bestFit="1" customWidth="1"/>
    <col min="1075" max="1075" width="14.33203125" style="339" bestFit="1" customWidth="1"/>
    <col min="1076" max="1076" width="15.1328125" style="339" bestFit="1" customWidth="1"/>
    <col min="1077" max="1077" width="12.6640625" style="339" bestFit="1" customWidth="1"/>
    <col min="1078" max="1078" width="11.6640625" style="339" bestFit="1" customWidth="1"/>
    <col min="1079" max="1079" width="11" style="339" bestFit="1" customWidth="1"/>
    <col min="1080" max="1080" width="11.6640625" style="339" bestFit="1" customWidth="1"/>
    <col min="1081" max="1081" width="11" style="339" bestFit="1" customWidth="1"/>
    <col min="1082" max="1082" width="13.33203125" style="339" bestFit="1" customWidth="1"/>
    <col min="1083" max="1083" width="17" style="339" bestFit="1" customWidth="1"/>
    <col min="1084" max="1084" width="14.1328125" style="339" bestFit="1" customWidth="1"/>
    <col min="1085" max="1086" width="16.33203125" style="339" bestFit="1" customWidth="1"/>
    <col min="1087" max="1087" width="14.33203125" style="339" bestFit="1" customWidth="1"/>
    <col min="1088" max="1088" width="15.1328125" style="339" bestFit="1" customWidth="1"/>
    <col min="1089" max="1089" width="12.6640625" style="339" bestFit="1" customWidth="1"/>
    <col min="1090" max="1090" width="11.6640625" style="339" bestFit="1" customWidth="1"/>
    <col min="1091" max="1091" width="11" style="339" bestFit="1" customWidth="1"/>
    <col min="1092" max="1092" width="11.6640625" style="339" bestFit="1" customWidth="1"/>
    <col min="1093" max="1093" width="11" style="339" bestFit="1" customWidth="1"/>
    <col min="1094" max="1094" width="13.33203125" style="339" bestFit="1" customWidth="1"/>
    <col min="1095" max="1095" width="17" style="339" bestFit="1" customWidth="1"/>
    <col min="1096" max="1096" width="14.1328125" style="339" bestFit="1" customWidth="1"/>
    <col min="1097" max="1098" width="16.33203125" style="339" bestFit="1" customWidth="1"/>
    <col min="1099" max="1099" width="14.33203125" style="339" bestFit="1" customWidth="1"/>
    <col min="1100" max="1100" width="15.1328125" style="339" bestFit="1" customWidth="1"/>
    <col min="1101" max="1101" width="12.6640625" style="339" bestFit="1" customWidth="1"/>
    <col min="1102" max="1102" width="11.6640625" style="339" bestFit="1" customWidth="1"/>
    <col min="1103" max="1103" width="11" style="339" bestFit="1" customWidth="1"/>
    <col min="1104" max="1104" width="11.6640625" style="339" bestFit="1" customWidth="1"/>
    <col min="1105" max="1105" width="11" style="339" bestFit="1" customWidth="1"/>
    <col min="1106" max="1106" width="13.33203125" style="339" bestFit="1" customWidth="1"/>
    <col min="1107" max="1107" width="17" style="339" bestFit="1" customWidth="1"/>
    <col min="1108" max="1108" width="14.1328125" style="339" bestFit="1" customWidth="1"/>
    <col min="1109" max="1110" width="16.33203125" style="339" bestFit="1" customWidth="1"/>
    <col min="1111" max="1111" width="14.33203125" style="339" bestFit="1" customWidth="1"/>
    <col min="1112" max="1112" width="15.1328125" style="339" bestFit="1" customWidth="1"/>
    <col min="1113" max="1113" width="12.6640625" style="339" bestFit="1" customWidth="1"/>
    <col min="1114" max="1114" width="11.6640625" style="339" bestFit="1" customWidth="1"/>
    <col min="1115" max="1115" width="11" style="339" bestFit="1" customWidth="1"/>
    <col min="1116" max="1116" width="11.6640625" style="339" bestFit="1" customWidth="1"/>
    <col min="1117" max="1117" width="11" style="339" bestFit="1" customWidth="1"/>
    <col min="1118" max="1118" width="13.33203125" style="339" bestFit="1" customWidth="1"/>
    <col min="1119" max="1120" width="17" style="339" bestFit="1" customWidth="1"/>
    <col min="1121" max="1284" width="9" style="339"/>
    <col min="1285" max="1285" width="12.1328125" style="339" customWidth="1"/>
    <col min="1286" max="1289" width="9" style="339"/>
    <col min="1290" max="1290" width="91.33203125" style="339" bestFit="1" customWidth="1"/>
    <col min="1291" max="1291" width="10.6640625" style="339" customWidth="1"/>
    <col min="1292" max="1292" width="14.1328125" style="339" bestFit="1" customWidth="1"/>
    <col min="1293" max="1294" width="16.33203125" style="339" bestFit="1" customWidth="1"/>
    <col min="1295" max="1295" width="14.33203125" style="339" bestFit="1" customWidth="1"/>
    <col min="1296" max="1296" width="15.1328125" style="339" bestFit="1" customWidth="1"/>
    <col min="1297" max="1297" width="12.6640625" style="339" bestFit="1" customWidth="1"/>
    <col min="1298" max="1298" width="11.6640625" style="339" bestFit="1" customWidth="1"/>
    <col min="1299" max="1299" width="11" style="339" bestFit="1" customWidth="1"/>
    <col min="1300" max="1300" width="13.6640625" style="339" bestFit="1" customWidth="1"/>
    <col min="1301" max="1301" width="11" style="339" bestFit="1" customWidth="1"/>
    <col min="1302" max="1302" width="13.33203125" style="339" bestFit="1" customWidth="1"/>
    <col min="1303" max="1303" width="17" style="339" bestFit="1" customWidth="1"/>
    <col min="1304" max="1304" width="14.1328125" style="339" bestFit="1" customWidth="1"/>
    <col min="1305" max="1306" width="16.33203125" style="339" bestFit="1" customWidth="1"/>
    <col min="1307" max="1307" width="14.33203125" style="339" bestFit="1" customWidth="1"/>
    <col min="1308" max="1308" width="15.1328125" style="339" bestFit="1" customWidth="1"/>
    <col min="1309" max="1309" width="12.6640625" style="339" bestFit="1" customWidth="1"/>
    <col min="1310" max="1310" width="11.6640625" style="339" bestFit="1" customWidth="1"/>
    <col min="1311" max="1311" width="11" style="339" bestFit="1" customWidth="1"/>
    <col min="1312" max="1312" width="11.6640625" style="339" bestFit="1" customWidth="1"/>
    <col min="1313" max="1313" width="11" style="339" bestFit="1" customWidth="1"/>
    <col min="1314" max="1314" width="13.33203125" style="339" bestFit="1" customWidth="1"/>
    <col min="1315" max="1315" width="17" style="339" bestFit="1" customWidth="1"/>
    <col min="1316" max="1316" width="14.1328125" style="339" bestFit="1" customWidth="1"/>
    <col min="1317" max="1318" width="16.33203125" style="339" bestFit="1" customWidth="1"/>
    <col min="1319" max="1319" width="14.33203125" style="339" bestFit="1" customWidth="1"/>
    <col min="1320" max="1320" width="15.1328125" style="339" bestFit="1" customWidth="1"/>
    <col min="1321" max="1321" width="12.6640625" style="339" bestFit="1" customWidth="1"/>
    <col min="1322" max="1322" width="11.6640625" style="339" bestFit="1" customWidth="1"/>
    <col min="1323" max="1323" width="11" style="339" bestFit="1" customWidth="1"/>
    <col min="1324" max="1324" width="11.6640625" style="339" bestFit="1" customWidth="1"/>
    <col min="1325" max="1325" width="11" style="339" bestFit="1" customWidth="1"/>
    <col min="1326" max="1326" width="13.33203125" style="339" bestFit="1" customWidth="1"/>
    <col min="1327" max="1327" width="17" style="339" bestFit="1" customWidth="1"/>
    <col min="1328" max="1328" width="14.1328125" style="339" bestFit="1" customWidth="1"/>
    <col min="1329" max="1330" width="16.33203125" style="339" bestFit="1" customWidth="1"/>
    <col min="1331" max="1331" width="14.33203125" style="339" bestFit="1" customWidth="1"/>
    <col min="1332" max="1332" width="15.1328125" style="339" bestFit="1" customWidth="1"/>
    <col min="1333" max="1333" width="12.6640625" style="339" bestFit="1" customWidth="1"/>
    <col min="1334" max="1334" width="11.6640625" style="339" bestFit="1" customWidth="1"/>
    <col min="1335" max="1335" width="11" style="339" bestFit="1" customWidth="1"/>
    <col min="1336" max="1336" width="11.6640625" style="339" bestFit="1" customWidth="1"/>
    <col min="1337" max="1337" width="11" style="339" bestFit="1" customWidth="1"/>
    <col min="1338" max="1338" width="13.33203125" style="339" bestFit="1" customWidth="1"/>
    <col min="1339" max="1339" width="17" style="339" bestFit="1" customWidth="1"/>
    <col min="1340" max="1340" width="14.1328125" style="339" bestFit="1" customWidth="1"/>
    <col min="1341" max="1342" width="16.33203125" style="339" bestFit="1" customWidth="1"/>
    <col min="1343" max="1343" width="14.33203125" style="339" bestFit="1" customWidth="1"/>
    <col min="1344" max="1344" width="15.1328125" style="339" bestFit="1" customWidth="1"/>
    <col min="1345" max="1345" width="12.6640625" style="339" bestFit="1" customWidth="1"/>
    <col min="1346" max="1346" width="11.6640625" style="339" bestFit="1" customWidth="1"/>
    <col min="1347" max="1347" width="11" style="339" bestFit="1" customWidth="1"/>
    <col min="1348" max="1348" width="11.6640625" style="339" bestFit="1" customWidth="1"/>
    <col min="1349" max="1349" width="11" style="339" bestFit="1" customWidth="1"/>
    <col min="1350" max="1350" width="13.33203125" style="339" bestFit="1" customWidth="1"/>
    <col min="1351" max="1351" width="17" style="339" bestFit="1" customWidth="1"/>
    <col min="1352" max="1352" width="14.1328125" style="339" bestFit="1" customWidth="1"/>
    <col min="1353" max="1354" width="16.33203125" style="339" bestFit="1" customWidth="1"/>
    <col min="1355" max="1355" width="14.33203125" style="339" bestFit="1" customWidth="1"/>
    <col min="1356" max="1356" width="15.1328125" style="339" bestFit="1" customWidth="1"/>
    <col min="1357" max="1357" width="12.6640625" style="339" bestFit="1" customWidth="1"/>
    <col min="1358" max="1358" width="11.6640625" style="339" bestFit="1" customWidth="1"/>
    <col min="1359" max="1359" width="11" style="339" bestFit="1" customWidth="1"/>
    <col min="1360" max="1360" width="11.6640625" style="339" bestFit="1" customWidth="1"/>
    <col min="1361" max="1361" width="11" style="339" bestFit="1" customWidth="1"/>
    <col min="1362" max="1362" width="13.33203125" style="339" bestFit="1" customWidth="1"/>
    <col min="1363" max="1363" width="17" style="339" bestFit="1" customWidth="1"/>
    <col min="1364" max="1364" width="14.1328125" style="339" bestFit="1" customWidth="1"/>
    <col min="1365" max="1366" width="16.33203125" style="339" bestFit="1" customWidth="1"/>
    <col min="1367" max="1367" width="14.33203125" style="339" bestFit="1" customWidth="1"/>
    <col min="1368" max="1368" width="15.1328125" style="339" bestFit="1" customWidth="1"/>
    <col min="1369" max="1369" width="12.6640625" style="339" bestFit="1" customWidth="1"/>
    <col min="1370" max="1370" width="11.6640625" style="339" bestFit="1" customWidth="1"/>
    <col min="1371" max="1371" width="11" style="339" bestFit="1" customWidth="1"/>
    <col min="1372" max="1372" width="11.6640625" style="339" bestFit="1" customWidth="1"/>
    <col min="1373" max="1373" width="11" style="339" bestFit="1" customWidth="1"/>
    <col min="1374" max="1374" width="13.33203125" style="339" bestFit="1" customWidth="1"/>
    <col min="1375" max="1376" width="17" style="339" bestFit="1" customWidth="1"/>
    <col min="1377" max="1540" width="9" style="339"/>
    <col min="1541" max="1541" width="12.1328125" style="339" customWidth="1"/>
    <col min="1542" max="1545" width="9" style="339"/>
    <col min="1546" max="1546" width="91.33203125" style="339" bestFit="1" customWidth="1"/>
    <col min="1547" max="1547" width="10.6640625" style="339" customWidth="1"/>
    <col min="1548" max="1548" width="14.1328125" style="339" bestFit="1" customWidth="1"/>
    <col min="1549" max="1550" width="16.33203125" style="339" bestFit="1" customWidth="1"/>
    <col min="1551" max="1551" width="14.33203125" style="339" bestFit="1" customWidth="1"/>
    <col min="1552" max="1552" width="15.1328125" style="339" bestFit="1" customWidth="1"/>
    <col min="1553" max="1553" width="12.6640625" style="339" bestFit="1" customWidth="1"/>
    <col min="1554" max="1554" width="11.6640625" style="339" bestFit="1" customWidth="1"/>
    <col min="1555" max="1555" width="11" style="339" bestFit="1" customWidth="1"/>
    <col min="1556" max="1556" width="13.6640625" style="339" bestFit="1" customWidth="1"/>
    <col min="1557" max="1557" width="11" style="339" bestFit="1" customWidth="1"/>
    <col min="1558" max="1558" width="13.33203125" style="339" bestFit="1" customWidth="1"/>
    <col min="1559" max="1559" width="17" style="339" bestFit="1" customWidth="1"/>
    <col min="1560" max="1560" width="14.1328125" style="339" bestFit="1" customWidth="1"/>
    <col min="1561" max="1562" width="16.33203125" style="339" bestFit="1" customWidth="1"/>
    <col min="1563" max="1563" width="14.33203125" style="339" bestFit="1" customWidth="1"/>
    <col min="1564" max="1564" width="15.1328125" style="339" bestFit="1" customWidth="1"/>
    <col min="1565" max="1565" width="12.6640625" style="339" bestFit="1" customWidth="1"/>
    <col min="1566" max="1566" width="11.6640625" style="339" bestFit="1" customWidth="1"/>
    <col min="1567" max="1567" width="11" style="339" bestFit="1" customWidth="1"/>
    <col min="1568" max="1568" width="11.6640625" style="339" bestFit="1" customWidth="1"/>
    <col min="1569" max="1569" width="11" style="339" bestFit="1" customWidth="1"/>
    <col min="1570" max="1570" width="13.33203125" style="339" bestFit="1" customWidth="1"/>
    <col min="1571" max="1571" width="17" style="339" bestFit="1" customWidth="1"/>
    <col min="1572" max="1572" width="14.1328125" style="339" bestFit="1" customWidth="1"/>
    <col min="1573" max="1574" width="16.33203125" style="339" bestFit="1" customWidth="1"/>
    <col min="1575" max="1575" width="14.33203125" style="339" bestFit="1" customWidth="1"/>
    <col min="1576" max="1576" width="15.1328125" style="339" bestFit="1" customWidth="1"/>
    <col min="1577" max="1577" width="12.6640625" style="339" bestFit="1" customWidth="1"/>
    <col min="1578" max="1578" width="11.6640625" style="339" bestFit="1" customWidth="1"/>
    <col min="1579" max="1579" width="11" style="339" bestFit="1" customWidth="1"/>
    <col min="1580" max="1580" width="11.6640625" style="339" bestFit="1" customWidth="1"/>
    <col min="1581" max="1581" width="11" style="339" bestFit="1" customWidth="1"/>
    <col min="1582" max="1582" width="13.33203125" style="339" bestFit="1" customWidth="1"/>
    <col min="1583" max="1583" width="17" style="339" bestFit="1" customWidth="1"/>
    <col min="1584" max="1584" width="14.1328125" style="339" bestFit="1" customWidth="1"/>
    <col min="1585" max="1586" width="16.33203125" style="339" bestFit="1" customWidth="1"/>
    <col min="1587" max="1587" width="14.33203125" style="339" bestFit="1" customWidth="1"/>
    <col min="1588" max="1588" width="15.1328125" style="339" bestFit="1" customWidth="1"/>
    <col min="1589" max="1589" width="12.6640625" style="339" bestFit="1" customWidth="1"/>
    <col min="1590" max="1590" width="11.6640625" style="339" bestFit="1" customWidth="1"/>
    <col min="1591" max="1591" width="11" style="339" bestFit="1" customWidth="1"/>
    <col min="1592" max="1592" width="11.6640625" style="339" bestFit="1" customWidth="1"/>
    <col min="1593" max="1593" width="11" style="339" bestFit="1" customWidth="1"/>
    <col min="1594" max="1594" width="13.33203125" style="339" bestFit="1" customWidth="1"/>
    <col min="1595" max="1595" width="17" style="339" bestFit="1" customWidth="1"/>
    <col min="1596" max="1596" width="14.1328125" style="339" bestFit="1" customWidth="1"/>
    <col min="1597" max="1598" width="16.33203125" style="339" bestFit="1" customWidth="1"/>
    <col min="1599" max="1599" width="14.33203125" style="339" bestFit="1" customWidth="1"/>
    <col min="1600" max="1600" width="15.1328125" style="339" bestFit="1" customWidth="1"/>
    <col min="1601" max="1601" width="12.6640625" style="339" bestFit="1" customWidth="1"/>
    <col min="1602" max="1602" width="11.6640625" style="339" bestFit="1" customWidth="1"/>
    <col min="1603" max="1603" width="11" style="339" bestFit="1" customWidth="1"/>
    <col min="1604" max="1604" width="11.6640625" style="339" bestFit="1" customWidth="1"/>
    <col min="1605" max="1605" width="11" style="339" bestFit="1" customWidth="1"/>
    <col min="1606" max="1606" width="13.33203125" style="339" bestFit="1" customWidth="1"/>
    <col min="1607" max="1607" width="17" style="339" bestFit="1" customWidth="1"/>
    <col min="1608" max="1608" width="14.1328125" style="339" bestFit="1" customWidth="1"/>
    <col min="1609" max="1610" width="16.33203125" style="339" bestFit="1" customWidth="1"/>
    <col min="1611" max="1611" width="14.33203125" style="339" bestFit="1" customWidth="1"/>
    <col min="1612" max="1612" width="15.1328125" style="339" bestFit="1" customWidth="1"/>
    <col min="1613" max="1613" width="12.6640625" style="339" bestFit="1" customWidth="1"/>
    <col min="1614" max="1614" width="11.6640625" style="339" bestFit="1" customWidth="1"/>
    <col min="1615" max="1615" width="11" style="339" bestFit="1" customWidth="1"/>
    <col min="1616" max="1616" width="11.6640625" style="339" bestFit="1" customWidth="1"/>
    <col min="1617" max="1617" width="11" style="339" bestFit="1" customWidth="1"/>
    <col min="1618" max="1618" width="13.33203125" style="339" bestFit="1" customWidth="1"/>
    <col min="1619" max="1619" width="17" style="339" bestFit="1" customWidth="1"/>
    <col min="1620" max="1620" width="14.1328125" style="339" bestFit="1" customWidth="1"/>
    <col min="1621" max="1622" width="16.33203125" style="339" bestFit="1" customWidth="1"/>
    <col min="1623" max="1623" width="14.33203125" style="339" bestFit="1" customWidth="1"/>
    <col min="1624" max="1624" width="15.1328125" style="339" bestFit="1" customWidth="1"/>
    <col min="1625" max="1625" width="12.6640625" style="339" bestFit="1" customWidth="1"/>
    <col min="1626" max="1626" width="11.6640625" style="339" bestFit="1" customWidth="1"/>
    <col min="1627" max="1627" width="11" style="339" bestFit="1" customWidth="1"/>
    <col min="1628" max="1628" width="11.6640625" style="339" bestFit="1" customWidth="1"/>
    <col min="1629" max="1629" width="11" style="339" bestFit="1" customWidth="1"/>
    <col min="1630" max="1630" width="13.33203125" style="339" bestFit="1" customWidth="1"/>
    <col min="1631" max="1632" width="17" style="339" bestFit="1" customWidth="1"/>
    <col min="1633" max="1796" width="9" style="339"/>
    <col min="1797" max="1797" width="12.1328125" style="339" customWidth="1"/>
    <col min="1798" max="1801" width="9" style="339"/>
    <col min="1802" max="1802" width="91.33203125" style="339" bestFit="1" customWidth="1"/>
    <col min="1803" max="1803" width="10.6640625" style="339" customWidth="1"/>
    <col min="1804" max="1804" width="14.1328125" style="339" bestFit="1" customWidth="1"/>
    <col min="1805" max="1806" width="16.33203125" style="339" bestFit="1" customWidth="1"/>
    <col min="1807" max="1807" width="14.33203125" style="339" bestFit="1" customWidth="1"/>
    <col min="1808" max="1808" width="15.1328125" style="339" bestFit="1" customWidth="1"/>
    <col min="1809" max="1809" width="12.6640625" style="339" bestFit="1" customWidth="1"/>
    <col min="1810" max="1810" width="11.6640625" style="339" bestFit="1" customWidth="1"/>
    <col min="1811" max="1811" width="11" style="339" bestFit="1" customWidth="1"/>
    <col min="1812" max="1812" width="13.6640625" style="339" bestFit="1" customWidth="1"/>
    <col min="1813" max="1813" width="11" style="339" bestFit="1" customWidth="1"/>
    <col min="1814" max="1814" width="13.33203125" style="339" bestFit="1" customWidth="1"/>
    <col min="1815" max="1815" width="17" style="339" bestFit="1" customWidth="1"/>
    <col min="1816" max="1816" width="14.1328125" style="339" bestFit="1" customWidth="1"/>
    <col min="1817" max="1818" width="16.33203125" style="339" bestFit="1" customWidth="1"/>
    <col min="1819" max="1819" width="14.33203125" style="339" bestFit="1" customWidth="1"/>
    <col min="1820" max="1820" width="15.1328125" style="339" bestFit="1" customWidth="1"/>
    <col min="1821" max="1821" width="12.6640625" style="339" bestFit="1" customWidth="1"/>
    <col min="1822" max="1822" width="11.6640625" style="339" bestFit="1" customWidth="1"/>
    <col min="1823" max="1823" width="11" style="339" bestFit="1" customWidth="1"/>
    <col min="1824" max="1824" width="11.6640625" style="339" bestFit="1" customWidth="1"/>
    <col min="1825" max="1825" width="11" style="339" bestFit="1" customWidth="1"/>
    <col min="1826" max="1826" width="13.33203125" style="339" bestFit="1" customWidth="1"/>
    <col min="1827" max="1827" width="17" style="339" bestFit="1" customWidth="1"/>
    <col min="1828" max="1828" width="14.1328125" style="339" bestFit="1" customWidth="1"/>
    <col min="1829" max="1830" width="16.33203125" style="339" bestFit="1" customWidth="1"/>
    <col min="1831" max="1831" width="14.33203125" style="339" bestFit="1" customWidth="1"/>
    <col min="1832" max="1832" width="15.1328125" style="339" bestFit="1" customWidth="1"/>
    <col min="1833" max="1833" width="12.6640625" style="339" bestFit="1" customWidth="1"/>
    <col min="1834" max="1834" width="11.6640625" style="339" bestFit="1" customWidth="1"/>
    <col min="1835" max="1835" width="11" style="339" bestFit="1" customWidth="1"/>
    <col min="1836" max="1836" width="11.6640625" style="339" bestFit="1" customWidth="1"/>
    <col min="1837" max="1837" width="11" style="339" bestFit="1" customWidth="1"/>
    <col min="1838" max="1838" width="13.33203125" style="339" bestFit="1" customWidth="1"/>
    <col min="1839" max="1839" width="17" style="339" bestFit="1" customWidth="1"/>
    <col min="1840" max="1840" width="14.1328125" style="339" bestFit="1" customWidth="1"/>
    <col min="1841" max="1842" width="16.33203125" style="339" bestFit="1" customWidth="1"/>
    <col min="1843" max="1843" width="14.33203125" style="339" bestFit="1" customWidth="1"/>
    <col min="1844" max="1844" width="15.1328125" style="339" bestFit="1" customWidth="1"/>
    <col min="1845" max="1845" width="12.6640625" style="339" bestFit="1" customWidth="1"/>
    <col min="1846" max="1846" width="11.6640625" style="339" bestFit="1" customWidth="1"/>
    <col min="1847" max="1847" width="11" style="339" bestFit="1" customWidth="1"/>
    <col min="1848" max="1848" width="11.6640625" style="339" bestFit="1" customWidth="1"/>
    <col min="1849" max="1849" width="11" style="339" bestFit="1" customWidth="1"/>
    <col min="1850" max="1850" width="13.33203125" style="339" bestFit="1" customWidth="1"/>
    <col min="1851" max="1851" width="17" style="339" bestFit="1" customWidth="1"/>
    <col min="1852" max="1852" width="14.1328125" style="339" bestFit="1" customWidth="1"/>
    <col min="1853" max="1854" width="16.33203125" style="339" bestFit="1" customWidth="1"/>
    <col min="1855" max="1855" width="14.33203125" style="339" bestFit="1" customWidth="1"/>
    <col min="1856" max="1856" width="15.1328125" style="339" bestFit="1" customWidth="1"/>
    <col min="1857" max="1857" width="12.6640625" style="339" bestFit="1" customWidth="1"/>
    <col min="1858" max="1858" width="11.6640625" style="339" bestFit="1" customWidth="1"/>
    <col min="1859" max="1859" width="11" style="339" bestFit="1" customWidth="1"/>
    <col min="1860" max="1860" width="11.6640625" style="339" bestFit="1" customWidth="1"/>
    <col min="1861" max="1861" width="11" style="339" bestFit="1" customWidth="1"/>
    <col min="1862" max="1862" width="13.33203125" style="339" bestFit="1" customWidth="1"/>
    <col min="1863" max="1863" width="17" style="339" bestFit="1" customWidth="1"/>
    <col min="1864" max="1864" width="14.1328125" style="339" bestFit="1" customWidth="1"/>
    <col min="1865" max="1866" width="16.33203125" style="339" bestFit="1" customWidth="1"/>
    <col min="1867" max="1867" width="14.33203125" style="339" bestFit="1" customWidth="1"/>
    <col min="1868" max="1868" width="15.1328125" style="339" bestFit="1" customWidth="1"/>
    <col min="1869" max="1869" width="12.6640625" style="339" bestFit="1" customWidth="1"/>
    <col min="1870" max="1870" width="11.6640625" style="339" bestFit="1" customWidth="1"/>
    <col min="1871" max="1871" width="11" style="339" bestFit="1" customWidth="1"/>
    <col min="1872" max="1872" width="11.6640625" style="339" bestFit="1" customWidth="1"/>
    <col min="1873" max="1873" width="11" style="339" bestFit="1" customWidth="1"/>
    <col min="1874" max="1874" width="13.33203125" style="339" bestFit="1" customWidth="1"/>
    <col min="1875" max="1875" width="17" style="339" bestFit="1" customWidth="1"/>
    <col min="1876" max="1876" width="14.1328125" style="339" bestFit="1" customWidth="1"/>
    <col min="1877" max="1878" width="16.33203125" style="339" bestFit="1" customWidth="1"/>
    <col min="1879" max="1879" width="14.33203125" style="339" bestFit="1" customWidth="1"/>
    <col min="1880" max="1880" width="15.1328125" style="339" bestFit="1" customWidth="1"/>
    <col min="1881" max="1881" width="12.6640625" style="339" bestFit="1" customWidth="1"/>
    <col min="1882" max="1882" width="11.6640625" style="339" bestFit="1" customWidth="1"/>
    <col min="1883" max="1883" width="11" style="339" bestFit="1" customWidth="1"/>
    <col min="1884" max="1884" width="11.6640625" style="339" bestFit="1" customWidth="1"/>
    <col min="1885" max="1885" width="11" style="339" bestFit="1" customWidth="1"/>
    <col min="1886" max="1886" width="13.33203125" style="339" bestFit="1" customWidth="1"/>
    <col min="1887" max="1888" width="17" style="339" bestFit="1" customWidth="1"/>
    <col min="1889" max="2052" width="9" style="339"/>
    <col min="2053" max="2053" width="12.1328125" style="339" customWidth="1"/>
    <col min="2054" max="2057" width="9" style="339"/>
    <col min="2058" max="2058" width="91.33203125" style="339" bestFit="1" customWidth="1"/>
    <col min="2059" max="2059" width="10.6640625" style="339" customWidth="1"/>
    <col min="2060" max="2060" width="14.1328125" style="339" bestFit="1" customWidth="1"/>
    <col min="2061" max="2062" width="16.33203125" style="339" bestFit="1" customWidth="1"/>
    <col min="2063" max="2063" width="14.33203125" style="339" bestFit="1" customWidth="1"/>
    <col min="2064" max="2064" width="15.1328125" style="339" bestFit="1" customWidth="1"/>
    <col min="2065" max="2065" width="12.6640625" style="339" bestFit="1" customWidth="1"/>
    <col min="2066" max="2066" width="11.6640625" style="339" bestFit="1" customWidth="1"/>
    <col min="2067" max="2067" width="11" style="339" bestFit="1" customWidth="1"/>
    <col min="2068" max="2068" width="13.6640625" style="339" bestFit="1" customWidth="1"/>
    <col min="2069" max="2069" width="11" style="339" bestFit="1" customWidth="1"/>
    <col min="2070" max="2070" width="13.33203125" style="339" bestFit="1" customWidth="1"/>
    <col min="2071" max="2071" width="17" style="339" bestFit="1" customWidth="1"/>
    <col min="2072" max="2072" width="14.1328125" style="339" bestFit="1" customWidth="1"/>
    <col min="2073" max="2074" width="16.33203125" style="339" bestFit="1" customWidth="1"/>
    <col min="2075" max="2075" width="14.33203125" style="339" bestFit="1" customWidth="1"/>
    <col min="2076" max="2076" width="15.1328125" style="339" bestFit="1" customWidth="1"/>
    <col min="2077" max="2077" width="12.6640625" style="339" bestFit="1" customWidth="1"/>
    <col min="2078" max="2078" width="11.6640625" style="339" bestFit="1" customWidth="1"/>
    <col min="2079" max="2079" width="11" style="339" bestFit="1" customWidth="1"/>
    <col min="2080" max="2080" width="11.6640625" style="339" bestFit="1" customWidth="1"/>
    <col min="2081" max="2081" width="11" style="339" bestFit="1" customWidth="1"/>
    <col min="2082" max="2082" width="13.33203125" style="339" bestFit="1" customWidth="1"/>
    <col min="2083" max="2083" width="17" style="339" bestFit="1" customWidth="1"/>
    <col min="2084" max="2084" width="14.1328125" style="339" bestFit="1" customWidth="1"/>
    <col min="2085" max="2086" width="16.33203125" style="339" bestFit="1" customWidth="1"/>
    <col min="2087" max="2087" width="14.33203125" style="339" bestFit="1" customWidth="1"/>
    <col min="2088" max="2088" width="15.1328125" style="339" bestFit="1" customWidth="1"/>
    <col min="2089" max="2089" width="12.6640625" style="339" bestFit="1" customWidth="1"/>
    <col min="2090" max="2090" width="11.6640625" style="339" bestFit="1" customWidth="1"/>
    <col min="2091" max="2091" width="11" style="339" bestFit="1" customWidth="1"/>
    <col min="2092" max="2092" width="11.6640625" style="339" bestFit="1" customWidth="1"/>
    <col min="2093" max="2093" width="11" style="339" bestFit="1" customWidth="1"/>
    <col min="2094" max="2094" width="13.33203125" style="339" bestFit="1" customWidth="1"/>
    <col min="2095" max="2095" width="17" style="339" bestFit="1" customWidth="1"/>
    <col min="2096" max="2096" width="14.1328125" style="339" bestFit="1" customWidth="1"/>
    <col min="2097" max="2098" width="16.33203125" style="339" bestFit="1" customWidth="1"/>
    <col min="2099" max="2099" width="14.33203125" style="339" bestFit="1" customWidth="1"/>
    <col min="2100" max="2100" width="15.1328125" style="339" bestFit="1" customWidth="1"/>
    <col min="2101" max="2101" width="12.6640625" style="339" bestFit="1" customWidth="1"/>
    <col min="2102" max="2102" width="11.6640625" style="339" bestFit="1" customWidth="1"/>
    <col min="2103" max="2103" width="11" style="339" bestFit="1" customWidth="1"/>
    <col min="2104" max="2104" width="11.6640625" style="339" bestFit="1" customWidth="1"/>
    <col min="2105" max="2105" width="11" style="339" bestFit="1" customWidth="1"/>
    <col min="2106" max="2106" width="13.33203125" style="339" bestFit="1" customWidth="1"/>
    <col min="2107" max="2107" width="17" style="339" bestFit="1" customWidth="1"/>
    <col min="2108" max="2108" width="14.1328125" style="339" bestFit="1" customWidth="1"/>
    <col min="2109" max="2110" width="16.33203125" style="339" bestFit="1" customWidth="1"/>
    <col min="2111" max="2111" width="14.33203125" style="339" bestFit="1" customWidth="1"/>
    <col min="2112" max="2112" width="15.1328125" style="339" bestFit="1" customWidth="1"/>
    <col min="2113" max="2113" width="12.6640625" style="339" bestFit="1" customWidth="1"/>
    <col min="2114" max="2114" width="11.6640625" style="339" bestFit="1" customWidth="1"/>
    <col min="2115" max="2115" width="11" style="339" bestFit="1" customWidth="1"/>
    <col min="2116" max="2116" width="11.6640625" style="339" bestFit="1" customWidth="1"/>
    <col min="2117" max="2117" width="11" style="339" bestFit="1" customWidth="1"/>
    <col min="2118" max="2118" width="13.33203125" style="339" bestFit="1" customWidth="1"/>
    <col min="2119" max="2119" width="17" style="339" bestFit="1" customWidth="1"/>
    <col min="2120" max="2120" width="14.1328125" style="339" bestFit="1" customWidth="1"/>
    <col min="2121" max="2122" width="16.33203125" style="339" bestFit="1" customWidth="1"/>
    <col min="2123" max="2123" width="14.33203125" style="339" bestFit="1" customWidth="1"/>
    <col min="2124" max="2124" width="15.1328125" style="339" bestFit="1" customWidth="1"/>
    <col min="2125" max="2125" width="12.6640625" style="339" bestFit="1" customWidth="1"/>
    <col min="2126" max="2126" width="11.6640625" style="339" bestFit="1" customWidth="1"/>
    <col min="2127" max="2127" width="11" style="339" bestFit="1" customWidth="1"/>
    <col min="2128" max="2128" width="11.6640625" style="339" bestFit="1" customWidth="1"/>
    <col min="2129" max="2129" width="11" style="339" bestFit="1" customWidth="1"/>
    <col min="2130" max="2130" width="13.33203125" style="339" bestFit="1" customWidth="1"/>
    <col min="2131" max="2131" width="17" style="339" bestFit="1" customWidth="1"/>
    <col min="2132" max="2132" width="14.1328125" style="339" bestFit="1" customWidth="1"/>
    <col min="2133" max="2134" width="16.33203125" style="339" bestFit="1" customWidth="1"/>
    <col min="2135" max="2135" width="14.33203125" style="339" bestFit="1" customWidth="1"/>
    <col min="2136" max="2136" width="15.1328125" style="339" bestFit="1" customWidth="1"/>
    <col min="2137" max="2137" width="12.6640625" style="339" bestFit="1" customWidth="1"/>
    <col min="2138" max="2138" width="11.6640625" style="339" bestFit="1" customWidth="1"/>
    <col min="2139" max="2139" width="11" style="339" bestFit="1" customWidth="1"/>
    <col min="2140" max="2140" width="11.6640625" style="339" bestFit="1" customWidth="1"/>
    <col min="2141" max="2141" width="11" style="339" bestFit="1" customWidth="1"/>
    <col min="2142" max="2142" width="13.33203125" style="339" bestFit="1" customWidth="1"/>
    <col min="2143" max="2144" width="17" style="339" bestFit="1" customWidth="1"/>
    <col min="2145" max="2308" width="9" style="339"/>
    <col min="2309" max="2309" width="12.1328125" style="339" customWidth="1"/>
    <col min="2310" max="2313" width="9" style="339"/>
    <col min="2314" max="2314" width="91.33203125" style="339" bestFit="1" customWidth="1"/>
    <col min="2315" max="2315" width="10.6640625" style="339" customWidth="1"/>
    <col min="2316" max="2316" width="14.1328125" style="339" bestFit="1" customWidth="1"/>
    <col min="2317" max="2318" width="16.33203125" style="339" bestFit="1" customWidth="1"/>
    <col min="2319" max="2319" width="14.33203125" style="339" bestFit="1" customWidth="1"/>
    <col min="2320" max="2320" width="15.1328125" style="339" bestFit="1" customWidth="1"/>
    <col min="2321" max="2321" width="12.6640625" style="339" bestFit="1" customWidth="1"/>
    <col min="2322" max="2322" width="11.6640625" style="339" bestFit="1" customWidth="1"/>
    <col min="2323" max="2323" width="11" style="339" bestFit="1" customWidth="1"/>
    <col min="2324" max="2324" width="13.6640625" style="339" bestFit="1" customWidth="1"/>
    <col min="2325" max="2325" width="11" style="339" bestFit="1" customWidth="1"/>
    <col min="2326" max="2326" width="13.33203125" style="339" bestFit="1" customWidth="1"/>
    <col min="2327" max="2327" width="17" style="339" bestFit="1" customWidth="1"/>
    <col min="2328" max="2328" width="14.1328125" style="339" bestFit="1" customWidth="1"/>
    <col min="2329" max="2330" width="16.33203125" style="339" bestFit="1" customWidth="1"/>
    <col min="2331" max="2331" width="14.33203125" style="339" bestFit="1" customWidth="1"/>
    <col min="2332" max="2332" width="15.1328125" style="339" bestFit="1" customWidth="1"/>
    <col min="2333" max="2333" width="12.6640625" style="339" bestFit="1" customWidth="1"/>
    <col min="2334" max="2334" width="11.6640625" style="339" bestFit="1" customWidth="1"/>
    <col min="2335" max="2335" width="11" style="339" bestFit="1" customWidth="1"/>
    <col min="2336" max="2336" width="11.6640625" style="339" bestFit="1" customWidth="1"/>
    <col min="2337" max="2337" width="11" style="339" bestFit="1" customWidth="1"/>
    <col min="2338" max="2338" width="13.33203125" style="339" bestFit="1" customWidth="1"/>
    <col min="2339" max="2339" width="17" style="339" bestFit="1" customWidth="1"/>
    <col min="2340" max="2340" width="14.1328125" style="339" bestFit="1" customWidth="1"/>
    <col min="2341" max="2342" width="16.33203125" style="339" bestFit="1" customWidth="1"/>
    <col min="2343" max="2343" width="14.33203125" style="339" bestFit="1" customWidth="1"/>
    <col min="2344" max="2344" width="15.1328125" style="339" bestFit="1" customWidth="1"/>
    <col min="2345" max="2345" width="12.6640625" style="339" bestFit="1" customWidth="1"/>
    <col min="2346" max="2346" width="11.6640625" style="339" bestFit="1" customWidth="1"/>
    <col min="2347" max="2347" width="11" style="339" bestFit="1" customWidth="1"/>
    <col min="2348" max="2348" width="11.6640625" style="339" bestFit="1" customWidth="1"/>
    <col min="2349" max="2349" width="11" style="339" bestFit="1" customWidth="1"/>
    <col min="2350" max="2350" width="13.33203125" style="339" bestFit="1" customWidth="1"/>
    <col min="2351" max="2351" width="17" style="339" bestFit="1" customWidth="1"/>
    <col min="2352" max="2352" width="14.1328125" style="339" bestFit="1" customWidth="1"/>
    <col min="2353" max="2354" width="16.33203125" style="339" bestFit="1" customWidth="1"/>
    <col min="2355" max="2355" width="14.33203125" style="339" bestFit="1" customWidth="1"/>
    <col min="2356" max="2356" width="15.1328125" style="339" bestFit="1" customWidth="1"/>
    <col min="2357" max="2357" width="12.6640625" style="339" bestFit="1" customWidth="1"/>
    <col min="2358" max="2358" width="11.6640625" style="339" bestFit="1" customWidth="1"/>
    <col min="2359" max="2359" width="11" style="339" bestFit="1" customWidth="1"/>
    <col min="2360" max="2360" width="11.6640625" style="339" bestFit="1" customWidth="1"/>
    <col min="2361" max="2361" width="11" style="339" bestFit="1" customWidth="1"/>
    <col min="2362" max="2362" width="13.33203125" style="339" bestFit="1" customWidth="1"/>
    <col min="2363" max="2363" width="17" style="339" bestFit="1" customWidth="1"/>
    <col min="2364" max="2364" width="14.1328125" style="339" bestFit="1" customWidth="1"/>
    <col min="2365" max="2366" width="16.33203125" style="339" bestFit="1" customWidth="1"/>
    <col min="2367" max="2367" width="14.33203125" style="339" bestFit="1" customWidth="1"/>
    <col min="2368" max="2368" width="15.1328125" style="339" bestFit="1" customWidth="1"/>
    <col min="2369" max="2369" width="12.6640625" style="339" bestFit="1" customWidth="1"/>
    <col min="2370" max="2370" width="11.6640625" style="339" bestFit="1" customWidth="1"/>
    <col min="2371" max="2371" width="11" style="339" bestFit="1" customWidth="1"/>
    <col min="2372" max="2372" width="11.6640625" style="339" bestFit="1" customWidth="1"/>
    <col min="2373" max="2373" width="11" style="339" bestFit="1" customWidth="1"/>
    <col min="2374" max="2374" width="13.33203125" style="339" bestFit="1" customWidth="1"/>
    <col min="2375" max="2375" width="17" style="339" bestFit="1" customWidth="1"/>
    <col min="2376" max="2376" width="14.1328125" style="339" bestFit="1" customWidth="1"/>
    <col min="2377" max="2378" width="16.33203125" style="339" bestFit="1" customWidth="1"/>
    <col min="2379" max="2379" width="14.33203125" style="339" bestFit="1" customWidth="1"/>
    <col min="2380" max="2380" width="15.1328125" style="339" bestFit="1" customWidth="1"/>
    <col min="2381" max="2381" width="12.6640625" style="339" bestFit="1" customWidth="1"/>
    <col min="2382" max="2382" width="11.6640625" style="339" bestFit="1" customWidth="1"/>
    <col min="2383" max="2383" width="11" style="339" bestFit="1" customWidth="1"/>
    <col min="2384" max="2384" width="11.6640625" style="339" bestFit="1" customWidth="1"/>
    <col min="2385" max="2385" width="11" style="339" bestFit="1" customWidth="1"/>
    <col min="2386" max="2386" width="13.33203125" style="339" bestFit="1" customWidth="1"/>
    <col min="2387" max="2387" width="17" style="339" bestFit="1" customWidth="1"/>
    <col min="2388" max="2388" width="14.1328125" style="339" bestFit="1" customWidth="1"/>
    <col min="2389" max="2390" width="16.33203125" style="339" bestFit="1" customWidth="1"/>
    <col min="2391" max="2391" width="14.33203125" style="339" bestFit="1" customWidth="1"/>
    <col min="2392" max="2392" width="15.1328125" style="339" bestFit="1" customWidth="1"/>
    <col min="2393" max="2393" width="12.6640625" style="339" bestFit="1" customWidth="1"/>
    <col min="2394" max="2394" width="11.6640625" style="339" bestFit="1" customWidth="1"/>
    <col min="2395" max="2395" width="11" style="339" bestFit="1" customWidth="1"/>
    <col min="2396" max="2396" width="11.6640625" style="339" bestFit="1" customWidth="1"/>
    <col min="2397" max="2397" width="11" style="339" bestFit="1" customWidth="1"/>
    <col min="2398" max="2398" width="13.33203125" style="339" bestFit="1" customWidth="1"/>
    <col min="2399" max="2400" width="17" style="339" bestFit="1" customWidth="1"/>
    <col min="2401" max="2564" width="9" style="339"/>
    <col min="2565" max="2565" width="12.1328125" style="339" customWidth="1"/>
    <col min="2566" max="2569" width="9" style="339"/>
    <col min="2570" max="2570" width="91.33203125" style="339" bestFit="1" customWidth="1"/>
    <col min="2571" max="2571" width="10.6640625" style="339" customWidth="1"/>
    <col min="2572" max="2572" width="14.1328125" style="339" bestFit="1" customWidth="1"/>
    <col min="2573" max="2574" width="16.33203125" style="339" bestFit="1" customWidth="1"/>
    <col min="2575" max="2575" width="14.33203125" style="339" bestFit="1" customWidth="1"/>
    <col min="2576" max="2576" width="15.1328125" style="339" bestFit="1" customWidth="1"/>
    <col min="2577" max="2577" width="12.6640625" style="339" bestFit="1" customWidth="1"/>
    <col min="2578" max="2578" width="11.6640625" style="339" bestFit="1" customWidth="1"/>
    <col min="2579" max="2579" width="11" style="339" bestFit="1" customWidth="1"/>
    <col min="2580" max="2580" width="13.6640625" style="339" bestFit="1" customWidth="1"/>
    <col min="2581" max="2581" width="11" style="339" bestFit="1" customWidth="1"/>
    <col min="2582" max="2582" width="13.33203125" style="339" bestFit="1" customWidth="1"/>
    <col min="2583" max="2583" width="17" style="339" bestFit="1" customWidth="1"/>
    <col min="2584" max="2584" width="14.1328125" style="339" bestFit="1" customWidth="1"/>
    <col min="2585" max="2586" width="16.33203125" style="339" bestFit="1" customWidth="1"/>
    <col min="2587" max="2587" width="14.33203125" style="339" bestFit="1" customWidth="1"/>
    <col min="2588" max="2588" width="15.1328125" style="339" bestFit="1" customWidth="1"/>
    <col min="2589" max="2589" width="12.6640625" style="339" bestFit="1" customWidth="1"/>
    <col min="2590" max="2590" width="11.6640625" style="339" bestFit="1" customWidth="1"/>
    <col min="2591" max="2591" width="11" style="339" bestFit="1" customWidth="1"/>
    <col min="2592" max="2592" width="11.6640625" style="339" bestFit="1" customWidth="1"/>
    <col min="2593" max="2593" width="11" style="339" bestFit="1" customWidth="1"/>
    <col min="2594" max="2594" width="13.33203125" style="339" bestFit="1" customWidth="1"/>
    <col min="2595" max="2595" width="17" style="339" bestFit="1" customWidth="1"/>
    <col min="2596" max="2596" width="14.1328125" style="339" bestFit="1" customWidth="1"/>
    <col min="2597" max="2598" width="16.33203125" style="339" bestFit="1" customWidth="1"/>
    <col min="2599" max="2599" width="14.33203125" style="339" bestFit="1" customWidth="1"/>
    <col min="2600" max="2600" width="15.1328125" style="339" bestFit="1" customWidth="1"/>
    <col min="2601" max="2601" width="12.6640625" style="339" bestFit="1" customWidth="1"/>
    <col min="2602" max="2602" width="11.6640625" style="339" bestFit="1" customWidth="1"/>
    <col min="2603" max="2603" width="11" style="339" bestFit="1" customWidth="1"/>
    <col min="2604" max="2604" width="11.6640625" style="339" bestFit="1" customWidth="1"/>
    <col min="2605" max="2605" width="11" style="339" bestFit="1" customWidth="1"/>
    <col min="2606" max="2606" width="13.33203125" style="339" bestFit="1" customWidth="1"/>
    <col min="2607" max="2607" width="17" style="339" bestFit="1" customWidth="1"/>
    <col min="2608" max="2608" width="14.1328125" style="339" bestFit="1" customWidth="1"/>
    <col min="2609" max="2610" width="16.33203125" style="339" bestFit="1" customWidth="1"/>
    <col min="2611" max="2611" width="14.33203125" style="339" bestFit="1" customWidth="1"/>
    <col min="2612" max="2612" width="15.1328125" style="339" bestFit="1" customWidth="1"/>
    <col min="2613" max="2613" width="12.6640625" style="339" bestFit="1" customWidth="1"/>
    <col min="2614" max="2614" width="11.6640625" style="339" bestFit="1" customWidth="1"/>
    <col min="2615" max="2615" width="11" style="339" bestFit="1" customWidth="1"/>
    <col min="2616" max="2616" width="11.6640625" style="339" bestFit="1" customWidth="1"/>
    <col min="2617" max="2617" width="11" style="339" bestFit="1" customWidth="1"/>
    <col min="2618" max="2618" width="13.33203125" style="339" bestFit="1" customWidth="1"/>
    <col min="2619" max="2619" width="17" style="339" bestFit="1" customWidth="1"/>
    <col min="2620" max="2620" width="14.1328125" style="339" bestFit="1" customWidth="1"/>
    <col min="2621" max="2622" width="16.33203125" style="339" bestFit="1" customWidth="1"/>
    <col min="2623" max="2623" width="14.33203125" style="339" bestFit="1" customWidth="1"/>
    <col min="2624" max="2624" width="15.1328125" style="339" bestFit="1" customWidth="1"/>
    <col min="2625" max="2625" width="12.6640625" style="339" bestFit="1" customWidth="1"/>
    <col min="2626" max="2626" width="11.6640625" style="339" bestFit="1" customWidth="1"/>
    <col min="2627" max="2627" width="11" style="339" bestFit="1" customWidth="1"/>
    <col min="2628" max="2628" width="11.6640625" style="339" bestFit="1" customWidth="1"/>
    <col min="2629" max="2629" width="11" style="339" bestFit="1" customWidth="1"/>
    <col min="2630" max="2630" width="13.33203125" style="339" bestFit="1" customWidth="1"/>
    <col min="2631" max="2631" width="17" style="339" bestFit="1" customWidth="1"/>
    <col min="2632" max="2632" width="14.1328125" style="339" bestFit="1" customWidth="1"/>
    <col min="2633" max="2634" width="16.33203125" style="339" bestFit="1" customWidth="1"/>
    <col min="2635" max="2635" width="14.33203125" style="339" bestFit="1" customWidth="1"/>
    <col min="2636" max="2636" width="15.1328125" style="339" bestFit="1" customWidth="1"/>
    <col min="2637" max="2637" width="12.6640625" style="339" bestFit="1" customWidth="1"/>
    <col min="2638" max="2638" width="11.6640625" style="339" bestFit="1" customWidth="1"/>
    <col min="2639" max="2639" width="11" style="339" bestFit="1" customWidth="1"/>
    <col min="2640" max="2640" width="11.6640625" style="339" bestFit="1" customWidth="1"/>
    <col min="2641" max="2641" width="11" style="339" bestFit="1" customWidth="1"/>
    <col min="2642" max="2642" width="13.33203125" style="339" bestFit="1" customWidth="1"/>
    <col min="2643" max="2643" width="17" style="339" bestFit="1" customWidth="1"/>
    <col min="2644" max="2644" width="14.1328125" style="339" bestFit="1" customWidth="1"/>
    <col min="2645" max="2646" width="16.33203125" style="339" bestFit="1" customWidth="1"/>
    <col min="2647" max="2647" width="14.33203125" style="339" bestFit="1" customWidth="1"/>
    <col min="2648" max="2648" width="15.1328125" style="339" bestFit="1" customWidth="1"/>
    <col min="2649" max="2649" width="12.6640625" style="339" bestFit="1" customWidth="1"/>
    <col min="2650" max="2650" width="11.6640625" style="339" bestFit="1" customWidth="1"/>
    <col min="2651" max="2651" width="11" style="339" bestFit="1" customWidth="1"/>
    <col min="2652" max="2652" width="11.6640625" style="339" bestFit="1" customWidth="1"/>
    <col min="2653" max="2653" width="11" style="339" bestFit="1" customWidth="1"/>
    <col min="2654" max="2654" width="13.33203125" style="339" bestFit="1" customWidth="1"/>
    <col min="2655" max="2656" width="17" style="339" bestFit="1" customWidth="1"/>
    <col min="2657" max="2820" width="9" style="339"/>
    <col min="2821" max="2821" width="12.1328125" style="339" customWidth="1"/>
    <col min="2822" max="2825" width="9" style="339"/>
    <col min="2826" max="2826" width="91.33203125" style="339" bestFit="1" customWidth="1"/>
    <col min="2827" max="2827" width="10.6640625" style="339" customWidth="1"/>
    <col min="2828" max="2828" width="14.1328125" style="339" bestFit="1" customWidth="1"/>
    <col min="2829" max="2830" width="16.33203125" style="339" bestFit="1" customWidth="1"/>
    <col min="2831" max="2831" width="14.33203125" style="339" bestFit="1" customWidth="1"/>
    <col min="2832" max="2832" width="15.1328125" style="339" bestFit="1" customWidth="1"/>
    <col min="2833" max="2833" width="12.6640625" style="339" bestFit="1" customWidth="1"/>
    <col min="2834" max="2834" width="11.6640625" style="339" bestFit="1" customWidth="1"/>
    <col min="2835" max="2835" width="11" style="339" bestFit="1" customWidth="1"/>
    <col min="2836" max="2836" width="13.6640625" style="339" bestFit="1" customWidth="1"/>
    <col min="2837" max="2837" width="11" style="339" bestFit="1" customWidth="1"/>
    <col min="2838" max="2838" width="13.33203125" style="339" bestFit="1" customWidth="1"/>
    <col min="2839" max="2839" width="17" style="339" bestFit="1" customWidth="1"/>
    <col min="2840" max="2840" width="14.1328125" style="339" bestFit="1" customWidth="1"/>
    <col min="2841" max="2842" width="16.33203125" style="339" bestFit="1" customWidth="1"/>
    <col min="2843" max="2843" width="14.33203125" style="339" bestFit="1" customWidth="1"/>
    <col min="2844" max="2844" width="15.1328125" style="339" bestFit="1" customWidth="1"/>
    <col min="2845" max="2845" width="12.6640625" style="339" bestFit="1" customWidth="1"/>
    <col min="2846" max="2846" width="11.6640625" style="339" bestFit="1" customWidth="1"/>
    <col min="2847" max="2847" width="11" style="339" bestFit="1" customWidth="1"/>
    <col min="2848" max="2848" width="11.6640625" style="339" bestFit="1" customWidth="1"/>
    <col min="2849" max="2849" width="11" style="339" bestFit="1" customWidth="1"/>
    <col min="2850" max="2850" width="13.33203125" style="339" bestFit="1" customWidth="1"/>
    <col min="2851" max="2851" width="17" style="339" bestFit="1" customWidth="1"/>
    <col min="2852" max="2852" width="14.1328125" style="339" bestFit="1" customWidth="1"/>
    <col min="2853" max="2854" width="16.33203125" style="339" bestFit="1" customWidth="1"/>
    <col min="2855" max="2855" width="14.33203125" style="339" bestFit="1" customWidth="1"/>
    <col min="2856" max="2856" width="15.1328125" style="339" bestFit="1" customWidth="1"/>
    <col min="2857" max="2857" width="12.6640625" style="339" bestFit="1" customWidth="1"/>
    <col min="2858" max="2858" width="11.6640625" style="339" bestFit="1" customWidth="1"/>
    <col min="2859" max="2859" width="11" style="339" bestFit="1" customWidth="1"/>
    <col min="2860" max="2860" width="11.6640625" style="339" bestFit="1" customWidth="1"/>
    <col min="2861" max="2861" width="11" style="339" bestFit="1" customWidth="1"/>
    <col min="2862" max="2862" width="13.33203125" style="339" bestFit="1" customWidth="1"/>
    <col min="2863" max="2863" width="17" style="339" bestFit="1" customWidth="1"/>
    <col min="2864" max="2864" width="14.1328125" style="339" bestFit="1" customWidth="1"/>
    <col min="2865" max="2866" width="16.33203125" style="339" bestFit="1" customWidth="1"/>
    <col min="2867" max="2867" width="14.33203125" style="339" bestFit="1" customWidth="1"/>
    <col min="2868" max="2868" width="15.1328125" style="339" bestFit="1" customWidth="1"/>
    <col min="2869" max="2869" width="12.6640625" style="339" bestFit="1" customWidth="1"/>
    <col min="2870" max="2870" width="11.6640625" style="339" bestFit="1" customWidth="1"/>
    <col min="2871" max="2871" width="11" style="339" bestFit="1" customWidth="1"/>
    <col min="2872" max="2872" width="11.6640625" style="339" bestFit="1" customWidth="1"/>
    <col min="2873" max="2873" width="11" style="339" bestFit="1" customWidth="1"/>
    <col min="2874" max="2874" width="13.33203125" style="339" bestFit="1" customWidth="1"/>
    <col min="2875" max="2875" width="17" style="339" bestFit="1" customWidth="1"/>
    <col min="2876" max="2876" width="14.1328125" style="339" bestFit="1" customWidth="1"/>
    <col min="2877" max="2878" width="16.33203125" style="339" bestFit="1" customWidth="1"/>
    <col min="2879" max="2879" width="14.33203125" style="339" bestFit="1" customWidth="1"/>
    <col min="2880" max="2880" width="15.1328125" style="339" bestFit="1" customWidth="1"/>
    <col min="2881" max="2881" width="12.6640625" style="339" bestFit="1" customWidth="1"/>
    <col min="2882" max="2882" width="11.6640625" style="339" bestFit="1" customWidth="1"/>
    <col min="2883" max="2883" width="11" style="339" bestFit="1" customWidth="1"/>
    <col min="2884" max="2884" width="11.6640625" style="339" bestFit="1" customWidth="1"/>
    <col min="2885" max="2885" width="11" style="339" bestFit="1" customWidth="1"/>
    <col min="2886" max="2886" width="13.33203125" style="339" bestFit="1" customWidth="1"/>
    <col min="2887" max="2887" width="17" style="339" bestFit="1" customWidth="1"/>
    <col min="2888" max="2888" width="14.1328125" style="339" bestFit="1" customWidth="1"/>
    <col min="2889" max="2890" width="16.33203125" style="339" bestFit="1" customWidth="1"/>
    <col min="2891" max="2891" width="14.33203125" style="339" bestFit="1" customWidth="1"/>
    <col min="2892" max="2892" width="15.1328125" style="339" bestFit="1" customWidth="1"/>
    <col min="2893" max="2893" width="12.6640625" style="339" bestFit="1" customWidth="1"/>
    <col min="2894" max="2894" width="11.6640625" style="339" bestFit="1" customWidth="1"/>
    <col min="2895" max="2895" width="11" style="339" bestFit="1" customWidth="1"/>
    <col min="2896" max="2896" width="11.6640625" style="339" bestFit="1" customWidth="1"/>
    <col min="2897" max="2897" width="11" style="339" bestFit="1" customWidth="1"/>
    <col min="2898" max="2898" width="13.33203125" style="339" bestFit="1" customWidth="1"/>
    <col min="2899" max="2899" width="17" style="339" bestFit="1" customWidth="1"/>
    <col min="2900" max="2900" width="14.1328125" style="339" bestFit="1" customWidth="1"/>
    <col min="2901" max="2902" width="16.33203125" style="339" bestFit="1" customWidth="1"/>
    <col min="2903" max="2903" width="14.33203125" style="339" bestFit="1" customWidth="1"/>
    <col min="2904" max="2904" width="15.1328125" style="339" bestFit="1" customWidth="1"/>
    <col min="2905" max="2905" width="12.6640625" style="339" bestFit="1" customWidth="1"/>
    <col min="2906" max="2906" width="11.6640625" style="339" bestFit="1" customWidth="1"/>
    <col min="2907" max="2907" width="11" style="339" bestFit="1" customWidth="1"/>
    <col min="2908" max="2908" width="11.6640625" style="339" bestFit="1" customWidth="1"/>
    <col min="2909" max="2909" width="11" style="339" bestFit="1" customWidth="1"/>
    <col min="2910" max="2910" width="13.33203125" style="339" bestFit="1" customWidth="1"/>
    <col min="2911" max="2912" width="17" style="339" bestFit="1" customWidth="1"/>
    <col min="2913" max="3076" width="9" style="339"/>
    <col min="3077" max="3077" width="12.1328125" style="339" customWidth="1"/>
    <col min="3078" max="3081" width="9" style="339"/>
    <col min="3082" max="3082" width="91.33203125" style="339" bestFit="1" customWidth="1"/>
    <col min="3083" max="3083" width="10.6640625" style="339" customWidth="1"/>
    <col min="3084" max="3084" width="14.1328125" style="339" bestFit="1" customWidth="1"/>
    <col min="3085" max="3086" width="16.33203125" style="339" bestFit="1" customWidth="1"/>
    <col min="3087" max="3087" width="14.33203125" style="339" bestFit="1" customWidth="1"/>
    <col min="3088" max="3088" width="15.1328125" style="339" bestFit="1" customWidth="1"/>
    <col min="3089" max="3089" width="12.6640625" style="339" bestFit="1" customWidth="1"/>
    <col min="3090" max="3090" width="11.6640625" style="339" bestFit="1" customWidth="1"/>
    <col min="3091" max="3091" width="11" style="339" bestFit="1" customWidth="1"/>
    <col min="3092" max="3092" width="13.6640625" style="339" bestFit="1" customWidth="1"/>
    <col min="3093" max="3093" width="11" style="339" bestFit="1" customWidth="1"/>
    <col min="3094" max="3094" width="13.33203125" style="339" bestFit="1" customWidth="1"/>
    <col min="3095" max="3095" width="17" style="339" bestFit="1" customWidth="1"/>
    <col min="3096" max="3096" width="14.1328125" style="339" bestFit="1" customWidth="1"/>
    <col min="3097" max="3098" width="16.33203125" style="339" bestFit="1" customWidth="1"/>
    <col min="3099" max="3099" width="14.33203125" style="339" bestFit="1" customWidth="1"/>
    <col min="3100" max="3100" width="15.1328125" style="339" bestFit="1" customWidth="1"/>
    <col min="3101" max="3101" width="12.6640625" style="339" bestFit="1" customWidth="1"/>
    <col min="3102" max="3102" width="11.6640625" style="339" bestFit="1" customWidth="1"/>
    <col min="3103" max="3103" width="11" style="339" bestFit="1" customWidth="1"/>
    <col min="3104" max="3104" width="11.6640625" style="339" bestFit="1" customWidth="1"/>
    <col min="3105" max="3105" width="11" style="339" bestFit="1" customWidth="1"/>
    <col min="3106" max="3106" width="13.33203125" style="339" bestFit="1" customWidth="1"/>
    <col min="3107" max="3107" width="17" style="339" bestFit="1" customWidth="1"/>
    <col min="3108" max="3108" width="14.1328125" style="339" bestFit="1" customWidth="1"/>
    <col min="3109" max="3110" width="16.33203125" style="339" bestFit="1" customWidth="1"/>
    <col min="3111" max="3111" width="14.33203125" style="339" bestFit="1" customWidth="1"/>
    <col min="3112" max="3112" width="15.1328125" style="339" bestFit="1" customWidth="1"/>
    <col min="3113" max="3113" width="12.6640625" style="339" bestFit="1" customWidth="1"/>
    <col min="3114" max="3114" width="11.6640625" style="339" bestFit="1" customWidth="1"/>
    <col min="3115" max="3115" width="11" style="339" bestFit="1" customWidth="1"/>
    <col min="3116" max="3116" width="11.6640625" style="339" bestFit="1" customWidth="1"/>
    <col min="3117" max="3117" width="11" style="339" bestFit="1" customWidth="1"/>
    <col min="3118" max="3118" width="13.33203125" style="339" bestFit="1" customWidth="1"/>
    <col min="3119" max="3119" width="17" style="339" bestFit="1" customWidth="1"/>
    <col min="3120" max="3120" width="14.1328125" style="339" bestFit="1" customWidth="1"/>
    <col min="3121" max="3122" width="16.33203125" style="339" bestFit="1" customWidth="1"/>
    <col min="3123" max="3123" width="14.33203125" style="339" bestFit="1" customWidth="1"/>
    <col min="3124" max="3124" width="15.1328125" style="339" bestFit="1" customWidth="1"/>
    <col min="3125" max="3125" width="12.6640625" style="339" bestFit="1" customWidth="1"/>
    <col min="3126" max="3126" width="11.6640625" style="339" bestFit="1" customWidth="1"/>
    <col min="3127" max="3127" width="11" style="339" bestFit="1" customWidth="1"/>
    <col min="3128" max="3128" width="11.6640625" style="339" bestFit="1" customWidth="1"/>
    <col min="3129" max="3129" width="11" style="339" bestFit="1" customWidth="1"/>
    <col min="3130" max="3130" width="13.33203125" style="339" bestFit="1" customWidth="1"/>
    <col min="3131" max="3131" width="17" style="339" bestFit="1" customWidth="1"/>
    <col min="3132" max="3132" width="14.1328125" style="339" bestFit="1" customWidth="1"/>
    <col min="3133" max="3134" width="16.33203125" style="339" bestFit="1" customWidth="1"/>
    <col min="3135" max="3135" width="14.33203125" style="339" bestFit="1" customWidth="1"/>
    <col min="3136" max="3136" width="15.1328125" style="339" bestFit="1" customWidth="1"/>
    <col min="3137" max="3137" width="12.6640625" style="339" bestFit="1" customWidth="1"/>
    <col min="3138" max="3138" width="11.6640625" style="339" bestFit="1" customWidth="1"/>
    <col min="3139" max="3139" width="11" style="339" bestFit="1" customWidth="1"/>
    <col min="3140" max="3140" width="11.6640625" style="339" bestFit="1" customWidth="1"/>
    <col min="3141" max="3141" width="11" style="339" bestFit="1" customWidth="1"/>
    <col min="3142" max="3142" width="13.33203125" style="339" bestFit="1" customWidth="1"/>
    <col min="3143" max="3143" width="17" style="339" bestFit="1" customWidth="1"/>
    <col min="3144" max="3144" width="14.1328125" style="339" bestFit="1" customWidth="1"/>
    <col min="3145" max="3146" width="16.33203125" style="339" bestFit="1" customWidth="1"/>
    <col min="3147" max="3147" width="14.33203125" style="339" bestFit="1" customWidth="1"/>
    <col min="3148" max="3148" width="15.1328125" style="339" bestFit="1" customWidth="1"/>
    <col min="3149" max="3149" width="12.6640625" style="339" bestFit="1" customWidth="1"/>
    <col min="3150" max="3150" width="11.6640625" style="339" bestFit="1" customWidth="1"/>
    <col min="3151" max="3151" width="11" style="339" bestFit="1" customWidth="1"/>
    <col min="3152" max="3152" width="11.6640625" style="339" bestFit="1" customWidth="1"/>
    <col min="3153" max="3153" width="11" style="339" bestFit="1" customWidth="1"/>
    <col min="3154" max="3154" width="13.33203125" style="339" bestFit="1" customWidth="1"/>
    <col min="3155" max="3155" width="17" style="339" bestFit="1" customWidth="1"/>
    <col min="3156" max="3156" width="14.1328125" style="339" bestFit="1" customWidth="1"/>
    <col min="3157" max="3158" width="16.33203125" style="339" bestFit="1" customWidth="1"/>
    <col min="3159" max="3159" width="14.33203125" style="339" bestFit="1" customWidth="1"/>
    <col min="3160" max="3160" width="15.1328125" style="339" bestFit="1" customWidth="1"/>
    <col min="3161" max="3161" width="12.6640625" style="339" bestFit="1" customWidth="1"/>
    <col min="3162" max="3162" width="11.6640625" style="339" bestFit="1" customWidth="1"/>
    <col min="3163" max="3163" width="11" style="339" bestFit="1" customWidth="1"/>
    <col min="3164" max="3164" width="11.6640625" style="339" bestFit="1" customWidth="1"/>
    <col min="3165" max="3165" width="11" style="339" bestFit="1" customWidth="1"/>
    <col min="3166" max="3166" width="13.33203125" style="339" bestFit="1" customWidth="1"/>
    <col min="3167" max="3168" width="17" style="339" bestFit="1" customWidth="1"/>
    <col min="3169" max="3332" width="9" style="339"/>
    <col min="3333" max="3333" width="12.1328125" style="339" customWidth="1"/>
    <col min="3334" max="3337" width="9" style="339"/>
    <col min="3338" max="3338" width="91.33203125" style="339" bestFit="1" customWidth="1"/>
    <col min="3339" max="3339" width="10.6640625" style="339" customWidth="1"/>
    <col min="3340" max="3340" width="14.1328125" style="339" bestFit="1" customWidth="1"/>
    <col min="3341" max="3342" width="16.33203125" style="339" bestFit="1" customWidth="1"/>
    <col min="3343" max="3343" width="14.33203125" style="339" bestFit="1" customWidth="1"/>
    <col min="3344" max="3344" width="15.1328125" style="339" bestFit="1" customWidth="1"/>
    <col min="3345" max="3345" width="12.6640625" style="339" bestFit="1" customWidth="1"/>
    <col min="3346" max="3346" width="11.6640625" style="339" bestFit="1" customWidth="1"/>
    <col min="3347" max="3347" width="11" style="339" bestFit="1" customWidth="1"/>
    <col min="3348" max="3348" width="13.6640625" style="339" bestFit="1" customWidth="1"/>
    <col min="3349" max="3349" width="11" style="339" bestFit="1" customWidth="1"/>
    <col min="3350" max="3350" width="13.33203125" style="339" bestFit="1" customWidth="1"/>
    <col min="3351" max="3351" width="17" style="339" bestFit="1" customWidth="1"/>
    <col min="3352" max="3352" width="14.1328125" style="339" bestFit="1" customWidth="1"/>
    <col min="3353" max="3354" width="16.33203125" style="339" bestFit="1" customWidth="1"/>
    <col min="3355" max="3355" width="14.33203125" style="339" bestFit="1" customWidth="1"/>
    <col min="3356" max="3356" width="15.1328125" style="339" bestFit="1" customWidth="1"/>
    <col min="3357" max="3357" width="12.6640625" style="339" bestFit="1" customWidth="1"/>
    <col min="3358" max="3358" width="11.6640625" style="339" bestFit="1" customWidth="1"/>
    <col min="3359" max="3359" width="11" style="339" bestFit="1" customWidth="1"/>
    <col min="3360" max="3360" width="11.6640625" style="339" bestFit="1" customWidth="1"/>
    <col min="3361" max="3361" width="11" style="339" bestFit="1" customWidth="1"/>
    <col min="3362" max="3362" width="13.33203125" style="339" bestFit="1" customWidth="1"/>
    <col min="3363" max="3363" width="17" style="339" bestFit="1" customWidth="1"/>
    <col min="3364" max="3364" width="14.1328125" style="339" bestFit="1" customWidth="1"/>
    <col min="3365" max="3366" width="16.33203125" style="339" bestFit="1" customWidth="1"/>
    <col min="3367" max="3367" width="14.33203125" style="339" bestFit="1" customWidth="1"/>
    <col min="3368" max="3368" width="15.1328125" style="339" bestFit="1" customWidth="1"/>
    <col min="3369" max="3369" width="12.6640625" style="339" bestFit="1" customWidth="1"/>
    <col min="3370" max="3370" width="11.6640625" style="339" bestFit="1" customWidth="1"/>
    <col min="3371" max="3371" width="11" style="339" bestFit="1" customWidth="1"/>
    <col min="3372" max="3372" width="11.6640625" style="339" bestFit="1" customWidth="1"/>
    <col min="3373" max="3373" width="11" style="339" bestFit="1" customWidth="1"/>
    <col min="3374" max="3374" width="13.33203125" style="339" bestFit="1" customWidth="1"/>
    <col min="3375" max="3375" width="17" style="339" bestFit="1" customWidth="1"/>
    <col min="3376" max="3376" width="14.1328125" style="339" bestFit="1" customWidth="1"/>
    <col min="3377" max="3378" width="16.33203125" style="339" bestFit="1" customWidth="1"/>
    <col min="3379" max="3379" width="14.33203125" style="339" bestFit="1" customWidth="1"/>
    <col min="3380" max="3380" width="15.1328125" style="339" bestFit="1" customWidth="1"/>
    <col min="3381" max="3381" width="12.6640625" style="339" bestFit="1" customWidth="1"/>
    <col min="3382" max="3382" width="11.6640625" style="339" bestFit="1" customWidth="1"/>
    <col min="3383" max="3383" width="11" style="339" bestFit="1" customWidth="1"/>
    <col min="3384" max="3384" width="11.6640625" style="339" bestFit="1" customWidth="1"/>
    <col min="3385" max="3385" width="11" style="339" bestFit="1" customWidth="1"/>
    <col min="3386" max="3386" width="13.33203125" style="339" bestFit="1" customWidth="1"/>
    <col min="3387" max="3387" width="17" style="339" bestFit="1" customWidth="1"/>
    <col min="3388" max="3388" width="14.1328125" style="339" bestFit="1" customWidth="1"/>
    <col min="3389" max="3390" width="16.33203125" style="339" bestFit="1" customWidth="1"/>
    <col min="3391" max="3391" width="14.33203125" style="339" bestFit="1" customWidth="1"/>
    <col min="3392" max="3392" width="15.1328125" style="339" bestFit="1" customWidth="1"/>
    <col min="3393" max="3393" width="12.6640625" style="339" bestFit="1" customWidth="1"/>
    <col min="3394" max="3394" width="11.6640625" style="339" bestFit="1" customWidth="1"/>
    <col min="3395" max="3395" width="11" style="339" bestFit="1" customWidth="1"/>
    <col min="3396" max="3396" width="11.6640625" style="339" bestFit="1" customWidth="1"/>
    <col min="3397" max="3397" width="11" style="339" bestFit="1" customWidth="1"/>
    <col min="3398" max="3398" width="13.33203125" style="339" bestFit="1" customWidth="1"/>
    <col min="3399" max="3399" width="17" style="339" bestFit="1" customWidth="1"/>
    <col min="3400" max="3400" width="14.1328125" style="339" bestFit="1" customWidth="1"/>
    <col min="3401" max="3402" width="16.33203125" style="339" bestFit="1" customWidth="1"/>
    <col min="3403" max="3403" width="14.33203125" style="339" bestFit="1" customWidth="1"/>
    <col min="3404" max="3404" width="15.1328125" style="339" bestFit="1" customWidth="1"/>
    <col min="3405" max="3405" width="12.6640625" style="339" bestFit="1" customWidth="1"/>
    <col min="3406" max="3406" width="11.6640625" style="339" bestFit="1" customWidth="1"/>
    <col min="3407" max="3407" width="11" style="339" bestFit="1" customWidth="1"/>
    <col min="3408" max="3408" width="11.6640625" style="339" bestFit="1" customWidth="1"/>
    <col min="3409" max="3409" width="11" style="339" bestFit="1" customWidth="1"/>
    <col min="3410" max="3410" width="13.33203125" style="339" bestFit="1" customWidth="1"/>
    <col min="3411" max="3411" width="17" style="339" bestFit="1" customWidth="1"/>
    <col min="3412" max="3412" width="14.1328125" style="339" bestFit="1" customWidth="1"/>
    <col min="3413" max="3414" width="16.33203125" style="339" bestFit="1" customWidth="1"/>
    <col min="3415" max="3415" width="14.33203125" style="339" bestFit="1" customWidth="1"/>
    <col min="3416" max="3416" width="15.1328125" style="339" bestFit="1" customWidth="1"/>
    <col min="3417" max="3417" width="12.6640625" style="339" bestFit="1" customWidth="1"/>
    <col min="3418" max="3418" width="11.6640625" style="339" bestFit="1" customWidth="1"/>
    <col min="3419" max="3419" width="11" style="339" bestFit="1" customWidth="1"/>
    <col min="3420" max="3420" width="11.6640625" style="339" bestFit="1" customWidth="1"/>
    <col min="3421" max="3421" width="11" style="339" bestFit="1" customWidth="1"/>
    <col min="3422" max="3422" width="13.33203125" style="339" bestFit="1" customWidth="1"/>
    <col min="3423" max="3424" width="17" style="339" bestFit="1" customWidth="1"/>
    <col min="3425" max="3588" width="9" style="339"/>
    <col min="3589" max="3589" width="12.1328125" style="339" customWidth="1"/>
    <col min="3590" max="3593" width="9" style="339"/>
    <col min="3594" max="3594" width="91.33203125" style="339" bestFit="1" customWidth="1"/>
    <col min="3595" max="3595" width="10.6640625" style="339" customWidth="1"/>
    <col min="3596" max="3596" width="14.1328125" style="339" bestFit="1" customWidth="1"/>
    <col min="3597" max="3598" width="16.33203125" style="339" bestFit="1" customWidth="1"/>
    <col min="3599" max="3599" width="14.33203125" style="339" bestFit="1" customWidth="1"/>
    <col min="3600" max="3600" width="15.1328125" style="339" bestFit="1" customWidth="1"/>
    <col min="3601" max="3601" width="12.6640625" style="339" bestFit="1" customWidth="1"/>
    <col min="3602" max="3602" width="11.6640625" style="339" bestFit="1" customWidth="1"/>
    <col min="3603" max="3603" width="11" style="339" bestFit="1" customWidth="1"/>
    <col min="3604" max="3604" width="13.6640625" style="339" bestFit="1" customWidth="1"/>
    <col min="3605" max="3605" width="11" style="339" bestFit="1" customWidth="1"/>
    <col min="3606" max="3606" width="13.33203125" style="339" bestFit="1" customWidth="1"/>
    <col min="3607" max="3607" width="17" style="339" bestFit="1" customWidth="1"/>
    <col min="3608" max="3608" width="14.1328125" style="339" bestFit="1" customWidth="1"/>
    <col min="3609" max="3610" width="16.33203125" style="339" bestFit="1" customWidth="1"/>
    <col min="3611" max="3611" width="14.33203125" style="339" bestFit="1" customWidth="1"/>
    <col min="3612" max="3612" width="15.1328125" style="339" bestFit="1" customWidth="1"/>
    <col min="3613" max="3613" width="12.6640625" style="339" bestFit="1" customWidth="1"/>
    <col min="3614" max="3614" width="11.6640625" style="339" bestFit="1" customWidth="1"/>
    <col min="3615" max="3615" width="11" style="339" bestFit="1" customWidth="1"/>
    <col min="3616" max="3616" width="11.6640625" style="339" bestFit="1" customWidth="1"/>
    <col min="3617" max="3617" width="11" style="339" bestFit="1" customWidth="1"/>
    <col min="3618" max="3618" width="13.33203125" style="339" bestFit="1" customWidth="1"/>
    <col min="3619" max="3619" width="17" style="339" bestFit="1" customWidth="1"/>
    <col min="3620" max="3620" width="14.1328125" style="339" bestFit="1" customWidth="1"/>
    <col min="3621" max="3622" width="16.33203125" style="339" bestFit="1" customWidth="1"/>
    <col min="3623" max="3623" width="14.33203125" style="339" bestFit="1" customWidth="1"/>
    <col min="3624" max="3624" width="15.1328125" style="339" bestFit="1" customWidth="1"/>
    <col min="3625" max="3625" width="12.6640625" style="339" bestFit="1" customWidth="1"/>
    <col min="3626" max="3626" width="11.6640625" style="339" bestFit="1" customWidth="1"/>
    <col min="3627" max="3627" width="11" style="339" bestFit="1" customWidth="1"/>
    <col min="3628" max="3628" width="11.6640625" style="339" bestFit="1" customWidth="1"/>
    <col min="3629" max="3629" width="11" style="339" bestFit="1" customWidth="1"/>
    <col min="3630" max="3630" width="13.33203125" style="339" bestFit="1" customWidth="1"/>
    <col min="3631" max="3631" width="17" style="339" bestFit="1" customWidth="1"/>
    <col min="3632" max="3632" width="14.1328125" style="339" bestFit="1" customWidth="1"/>
    <col min="3633" max="3634" width="16.33203125" style="339" bestFit="1" customWidth="1"/>
    <col min="3635" max="3635" width="14.33203125" style="339" bestFit="1" customWidth="1"/>
    <col min="3636" max="3636" width="15.1328125" style="339" bestFit="1" customWidth="1"/>
    <col min="3637" max="3637" width="12.6640625" style="339" bestFit="1" customWidth="1"/>
    <col min="3638" max="3638" width="11.6640625" style="339" bestFit="1" customWidth="1"/>
    <col min="3639" max="3639" width="11" style="339" bestFit="1" customWidth="1"/>
    <col min="3640" max="3640" width="11.6640625" style="339" bestFit="1" customWidth="1"/>
    <col min="3641" max="3641" width="11" style="339" bestFit="1" customWidth="1"/>
    <col min="3642" max="3642" width="13.33203125" style="339" bestFit="1" customWidth="1"/>
    <col min="3643" max="3643" width="17" style="339" bestFit="1" customWidth="1"/>
    <col min="3644" max="3644" width="14.1328125" style="339" bestFit="1" customWidth="1"/>
    <col min="3645" max="3646" width="16.33203125" style="339" bestFit="1" customWidth="1"/>
    <col min="3647" max="3647" width="14.33203125" style="339" bestFit="1" customWidth="1"/>
    <col min="3648" max="3648" width="15.1328125" style="339" bestFit="1" customWidth="1"/>
    <col min="3649" max="3649" width="12.6640625" style="339" bestFit="1" customWidth="1"/>
    <col min="3650" max="3650" width="11.6640625" style="339" bestFit="1" customWidth="1"/>
    <col min="3651" max="3651" width="11" style="339" bestFit="1" customWidth="1"/>
    <col min="3652" max="3652" width="11.6640625" style="339" bestFit="1" customWidth="1"/>
    <col min="3653" max="3653" width="11" style="339" bestFit="1" customWidth="1"/>
    <col min="3654" max="3654" width="13.33203125" style="339" bestFit="1" customWidth="1"/>
    <col min="3655" max="3655" width="17" style="339" bestFit="1" customWidth="1"/>
    <col min="3656" max="3656" width="14.1328125" style="339" bestFit="1" customWidth="1"/>
    <col min="3657" max="3658" width="16.33203125" style="339" bestFit="1" customWidth="1"/>
    <col min="3659" max="3659" width="14.33203125" style="339" bestFit="1" customWidth="1"/>
    <col min="3660" max="3660" width="15.1328125" style="339" bestFit="1" customWidth="1"/>
    <col min="3661" max="3661" width="12.6640625" style="339" bestFit="1" customWidth="1"/>
    <col min="3662" max="3662" width="11.6640625" style="339" bestFit="1" customWidth="1"/>
    <col min="3663" max="3663" width="11" style="339" bestFit="1" customWidth="1"/>
    <col min="3664" max="3664" width="11.6640625" style="339" bestFit="1" customWidth="1"/>
    <col min="3665" max="3665" width="11" style="339" bestFit="1" customWidth="1"/>
    <col min="3666" max="3666" width="13.33203125" style="339" bestFit="1" customWidth="1"/>
    <col min="3667" max="3667" width="17" style="339" bestFit="1" customWidth="1"/>
    <col min="3668" max="3668" width="14.1328125" style="339" bestFit="1" customWidth="1"/>
    <col min="3669" max="3670" width="16.33203125" style="339" bestFit="1" customWidth="1"/>
    <col min="3671" max="3671" width="14.33203125" style="339" bestFit="1" customWidth="1"/>
    <col min="3672" max="3672" width="15.1328125" style="339" bestFit="1" customWidth="1"/>
    <col min="3673" max="3673" width="12.6640625" style="339" bestFit="1" customWidth="1"/>
    <col min="3674" max="3674" width="11.6640625" style="339" bestFit="1" customWidth="1"/>
    <col min="3675" max="3675" width="11" style="339" bestFit="1" customWidth="1"/>
    <col min="3676" max="3676" width="11.6640625" style="339" bestFit="1" customWidth="1"/>
    <col min="3677" max="3677" width="11" style="339" bestFit="1" customWidth="1"/>
    <col min="3678" max="3678" width="13.33203125" style="339" bestFit="1" customWidth="1"/>
    <col min="3679" max="3680" width="17" style="339" bestFit="1" customWidth="1"/>
    <col min="3681" max="3844" width="9" style="339"/>
    <col min="3845" max="3845" width="12.1328125" style="339" customWidth="1"/>
    <col min="3846" max="3849" width="9" style="339"/>
    <col min="3850" max="3850" width="91.33203125" style="339" bestFit="1" customWidth="1"/>
    <col min="3851" max="3851" width="10.6640625" style="339" customWidth="1"/>
    <col min="3852" max="3852" width="14.1328125" style="339" bestFit="1" customWidth="1"/>
    <col min="3853" max="3854" width="16.33203125" style="339" bestFit="1" customWidth="1"/>
    <col min="3855" max="3855" width="14.33203125" style="339" bestFit="1" customWidth="1"/>
    <col min="3856" max="3856" width="15.1328125" style="339" bestFit="1" customWidth="1"/>
    <col min="3857" max="3857" width="12.6640625" style="339" bestFit="1" customWidth="1"/>
    <col min="3858" max="3858" width="11.6640625" style="339" bestFit="1" customWidth="1"/>
    <col min="3859" max="3859" width="11" style="339" bestFit="1" customWidth="1"/>
    <col min="3860" max="3860" width="13.6640625" style="339" bestFit="1" customWidth="1"/>
    <col min="3861" max="3861" width="11" style="339" bestFit="1" customWidth="1"/>
    <col min="3862" max="3862" width="13.33203125" style="339" bestFit="1" customWidth="1"/>
    <col min="3863" max="3863" width="17" style="339" bestFit="1" customWidth="1"/>
    <col min="3864" max="3864" width="14.1328125" style="339" bestFit="1" customWidth="1"/>
    <col min="3865" max="3866" width="16.33203125" style="339" bestFit="1" customWidth="1"/>
    <col min="3867" max="3867" width="14.33203125" style="339" bestFit="1" customWidth="1"/>
    <col min="3868" max="3868" width="15.1328125" style="339" bestFit="1" customWidth="1"/>
    <col min="3869" max="3869" width="12.6640625" style="339" bestFit="1" customWidth="1"/>
    <col min="3870" max="3870" width="11.6640625" style="339" bestFit="1" customWidth="1"/>
    <col min="3871" max="3871" width="11" style="339" bestFit="1" customWidth="1"/>
    <col min="3872" max="3872" width="11.6640625" style="339" bestFit="1" customWidth="1"/>
    <col min="3873" max="3873" width="11" style="339" bestFit="1" customWidth="1"/>
    <col min="3874" max="3874" width="13.33203125" style="339" bestFit="1" customWidth="1"/>
    <col min="3875" max="3875" width="17" style="339" bestFit="1" customWidth="1"/>
    <col min="3876" max="3876" width="14.1328125" style="339" bestFit="1" customWidth="1"/>
    <col min="3877" max="3878" width="16.33203125" style="339" bestFit="1" customWidth="1"/>
    <col min="3879" max="3879" width="14.33203125" style="339" bestFit="1" customWidth="1"/>
    <col min="3880" max="3880" width="15.1328125" style="339" bestFit="1" customWidth="1"/>
    <col min="3881" max="3881" width="12.6640625" style="339" bestFit="1" customWidth="1"/>
    <col min="3882" max="3882" width="11.6640625" style="339" bestFit="1" customWidth="1"/>
    <col min="3883" max="3883" width="11" style="339" bestFit="1" customWidth="1"/>
    <col min="3884" max="3884" width="11.6640625" style="339" bestFit="1" customWidth="1"/>
    <col min="3885" max="3885" width="11" style="339" bestFit="1" customWidth="1"/>
    <col min="3886" max="3886" width="13.33203125" style="339" bestFit="1" customWidth="1"/>
    <col min="3887" max="3887" width="17" style="339" bestFit="1" customWidth="1"/>
    <col min="3888" max="3888" width="14.1328125" style="339" bestFit="1" customWidth="1"/>
    <col min="3889" max="3890" width="16.33203125" style="339" bestFit="1" customWidth="1"/>
    <col min="3891" max="3891" width="14.33203125" style="339" bestFit="1" customWidth="1"/>
    <col min="3892" max="3892" width="15.1328125" style="339" bestFit="1" customWidth="1"/>
    <col min="3893" max="3893" width="12.6640625" style="339" bestFit="1" customWidth="1"/>
    <col min="3894" max="3894" width="11.6640625" style="339" bestFit="1" customWidth="1"/>
    <col min="3895" max="3895" width="11" style="339" bestFit="1" customWidth="1"/>
    <col min="3896" max="3896" width="11.6640625" style="339" bestFit="1" customWidth="1"/>
    <col min="3897" max="3897" width="11" style="339" bestFit="1" customWidth="1"/>
    <col min="3898" max="3898" width="13.33203125" style="339" bestFit="1" customWidth="1"/>
    <col min="3899" max="3899" width="17" style="339" bestFit="1" customWidth="1"/>
    <col min="3900" max="3900" width="14.1328125" style="339" bestFit="1" customWidth="1"/>
    <col min="3901" max="3902" width="16.33203125" style="339" bestFit="1" customWidth="1"/>
    <col min="3903" max="3903" width="14.33203125" style="339" bestFit="1" customWidth="1"/>
    <col min="3904" max="3904" width="15.1328125" style="339" bestFit="1" customWidth="1"/>
    <col min="3905" max="3905" width="12.6640625" style="339" bestFit="1" customWidth="1"/>
    <col min="3906" max="3906" width="11.6640625" style="339" bestFit="1" customWidth="1"/>
    <col min="3907" max="3907" width="11" style="339" bestFit="1" customWidth="1"/>
    <col min="3908" max="3908" width="11.6640625" style="339" bestFit="1" customWidth="1"/>
    <col min="3909" max="3909" width="11" style="339" bestFit="1" customWidth="1"/>
    <col min="3910" max="3910" width="13.33203125" style="339" bestFit="1" customWidth="1"/>
    <col min="3911" max="3911" width="17" style="339" bestFit="1" customWidth="1"/>
    <col min="3912" max="3912" width="14.1328125" style="339" bestFit="1" customWidth="1"/>
    <col min="3913" max="3914" width="16.33203125" style="339" bestFit="1" customWidth="1"/>
    <col min="3915" max="3915" width="14.33203125" style="339" bestFit="1" customWidth="1"/>
    <col min="3916" max="3916" width="15.1328125" style="339" bestFit="1" customWidth="1"/>
    <col min="3917" max="3917" width="12.6640625" style="339" bestFit="1" customWidth="1"/>
    <col min="3918" max="3918" width="11.6640625" style="339" bestFit="1" customWidth="1"/>
    <col min="3919" max="3919" width="11" style="339" bestFit="1" customWidth="1"/>
    <col min="3920" max="3920" width="11.6640625" style="339" bestFit="1" customWidth="1"/>
    <col min="3921" max="3921" width="11" style="339" bestFit="1" customWidth="1"/>
    <col min="3922" max="3922" width="13.33203125" style="339" bestFit="1" customWidth="1"/>
    <col min="3923" max="3923" width="17" style="339" bestFit="1" customWidth="1"/>
    <col min="3924" max="3924" width="14.1328125" style="339" bestFit="1" customWidth="1"/>
    <col min="3925" max="3926" width="16.33203125" style="339" bestFit="1" customWidth="1"/>
    <col min="3927" max="3927" width="14.33203125" style="339" bestFit="1" customWidth="1"/>
    <col min="3928" max="3928" width="15.1328125" style="339" bestFit="1" customWidth="1"/>
    <col min="3929" max="3929" width="12.6640625" style="339" bestFit="1" customWidth="1"/>
    <col min="3930" max="3930" width="11.6640625" style="339" bestFit="1" customWidth="1"/>
    <col min="3931" max="3931" width="11" style="339" bestFit="1" customWidth="1"/>
    <col min="3932" max="3932" width="11.6640625" style="339" bestFit="1" customWidth="1"/>
    <col min="3933" max="3933" width="11" style="339" bestFit="1" customWidth="1"/>
    <col min="3934" max="3934" width="13.33203125" style="339" bestFit="1" customWidth="1"/>
    <col min="3935" max="3936" width="17" style="339" bestFit="1" customWidth="1"/>
    <col min="3937" max="4100" width="9" style="339"/>
    <col min="4101" max="4101" width="12.1328125" style="339" customWidth="1"/>
    <col min="4102" max="4105" width="9" style="339"/>
    <col min="4106" max="4106" width="91.33203125" style="339" bestFit="1" customWidth="1"/>
    <col min="4107" max="4107" width="10.6640625" style="339" customWidth="1"/>
    <col min="4108" max="4108" width="14.1328125" style="339" bestFit="1" customWidth="1"/>
    <col min="4109" max="4110" width="16.33203125" style="339" bestFit="1" customWidth="1"/>
    <col min="4111" max="4111" width="14.33203125" style="339" bestFit="1" customWidth="1"/>
    <col min="4112" max="4112" width="15.1328125" style="339" bestFit="1" customWidth="1"/>
    <col min="4113" max="4113" width="12.6640625" style="339" bestFit="1" customWidth="1"/>
    <col min="4114" max="4114" width="11.6640625" style="339" bestFit="1" customWidth="1"/>
    <col min="4115" max="4115" width="11" style="339" bestFit="1" customWidth="1"/>
    <col min="4116" max="4116" width="13.6640625" style="339" bestFit="1" customWidth="1"/>
    <col min="4117" max="4117" width="11" style="339" bestFit="1" customWidth="1"/>
    <col min="4118" max="4118" width="13.33203125" style="339" bestFit="1" customWidth="1"/>
    <col min="4119" max="4119" width="17" style="339" bestFit="1" customWidth="1"/>
    <col min="4120" max="4120" width="14.1328125" style="339" bestFit="1" customWidth="1"/>
    <col min="4121" max="4122" width="16.33203125" style="339" bestFit="1" customWidth="1"/>
    <col min="4123" max="4123" width="14.33203125" style="339" bestFit="1" customWidth="1"/>
    <col min="4124" max="4124" width="15.1328125" style="339" bestFit="1" customWidth="1"/>
    <col min="4125" max="4125" width="12.6640625" style="339" bestFit="1" customWidth="1"/>
    <col min="4126" max="4126" width="11.6640625" style="339" bestFit="1" customWidth="1"/>
    <col min="4127" max="4127" width="11" style="339" bestFit="1" customWidth="1"/>
    <col min="4128" max="4128" width="11.6640625" style="339" bestFit="1" customWidth="1"/>
    <col min="4129" max="4129" width="11" style="339" bestFit="1" customWidth="1"/>
    <col min="4130" max="4130" width="13.33203125" style="339" bestFit="1" customWidth="1"/>
    <col min="4131" max="4131" width="17" style="339" bestFit="1" customWidth="1"/>
    <col min="4132" max="4132" width="14.1328125" style="339" bestFit="1" customWidth="1"/>
    <col min="4133" max="4134" width="16.33203125" style="339" bestFit="1" customWidth="1"/>
    <col min="4135" max="4135" width="14.33203125" style="339" bestFit="1" customWidth="1"/>
    <col min="4136" max="4136" width="15.1328125" style="339" bestFit="1" customWidth="1"/>
    <col min="4137" max="4137" width="12.6640625" style="339" bestFit="1" customWidth="1"/>
    <col min="4138" max="4138" width="11.6640625" style="339" bestFit="1" customWidth="1"/>
    <col min="4139" max="4139" width="11" style="339" bestFit="1" customWidth="1"/>
    <col min="4140" max="4140" width="11.6640625" style="339" bestFit="1" customWidth="1"/>
    <col min="4141" max="4141" width="11" style="339" bestFit="1" customWidth="1"/>
    <col min="4142" max="4142" width="13.33203125" style="339" bestFit="1" customWidth="1"/>
    <col min="4143" max="4143" width="17" style="339" bestFit="1" customWidth="1"/>
    <col min="4144" max="4144" width="14.1328125" style="339" bestFit="1" customWidth="1"/>
    <col min="4145" max="4146" width="16.33203125" style="339" bestFit="1" customWidth="1"/>
    <col min="4147" max="4147" width="14.33203125" style="339" bestFit="1" customWidth="1"/>
    <col min="4148" max="4148" width="15.1328125" style="339" bestFit="1" customWidth="1"/>
    <col min="4149" max="4149" width="12.6640625" style="339" bestFit="1" customWidth="1"/>
    <col min="4150" max="4150" width="11.6640625" style="339" bestFit="1" customWidth="1"/>
    <col min="4151" max="4151" width="11" style="339" bestFit="1" customWidth="1"/>
    <col min="4152" max="4152" width="11.6640625" style="339" bestFit="1" customWidth="1"/>
    <col min="4153" max="4153" width="11" style="339" bestFit="1" customWidth="1"/>
    <col min="4154" max="4154" width="13.33203125" style="339" bestFit="1" customWidth="1"/>
    <col min="4155" max="4155" width="17" style="339" bestFit="1" customWidth="1"/>
    <col min="4156" max="4156" width="14.1328125" style="339" bestFit="1" customWidth="1"/>
    <col min="4157" max="4158" width="16.33203125" style="339" bestFit="1" customWidth="1"/>
    <col min="4159" max="4159" width="14.33203125" style="339" bestFit="1" customWidth="1"/>
    <col min="4160" max="4160" width="15.1328125" style="339" bestFit="1" customWidth="1"/>
    <col min="4161" max="4161" width="12.6640625" style="339" bestFit="1" customWidth="1"/>
    <col min="4162" max="4162" width="11.6640625" style="339" bestFit="1" customWidth="1"/>
    <col min="4163" max="4163" width="11" style="339" bestFit="1" customWidth="1"/>
    <col min="4164" max="4164" width="11.6640625" style="339" bestFit="1" customWidth="1"/>
    <col min="4165" max="4165" width="11" style="339" bestFit="1" customWidth="1"/>
    <col min="4166" max="4166" width="13.33203125" style="339" bestFit="1" customWidth="1"/>
    <col min="4167" max="4167" width="17" style="339" bestFit="1" customWidth="1"/>
    <col min="4168" max="4168" width="14.1328125" style="339" bestFit="1" customWidth="1"/>
    <col min="4169" max="4170" width="16.33203125" style="339" bestFit="1" customWidth="1"/>
    <col min="4171" max="4171" width="14.33203125" style="339" bestFit="1" customWidth="1"/>
    <col min="4172" max="4172" width="15.1328125" style="339" bestFit="1" customWidth="1"/>
    <col min="4173" max="4173" width="12.6640625" style="339" bestFit="1" customWidth="1"/>
    <col min="4174" max="4174" width="11.6640625" style="339" bestFit="1" customWidth="1"/>
    <col min="4175" max="4175" width="11" style="339" bestFit="1" customWidth="1"/>
    <col min="4176" max="4176" width="11.6640625" style="339" bestFit="1" customWidth="1"/>
    <col min="4177" max="4177" width="11" style="339" bestFit="1" customWidth="1"/>
    <col min="4178" max="4178" width="13.33203125" style="339" bestFit="1" customWidth="1"/>
    <col min="4179" max="4179" width="17" style="339" bestFit="1" customWidth="1"/>
    <col min="4180" max="4180" width="14.1328125" style="339" bestFit="1" customWidth="1"/>
    <col min="4181" max="4182" width="16.33203125" style="339" bestFit="1" customWidth="1"/>
    <col min="4183" max="4183" width="14.33203125" style="339" bestFit="1" customWidth="1"/>
    <col min="4184" max="4184" width="15.1328125" style="339" bestFit="1" customWidth="1"/>
    <col min="4185" max="4185" width="12.6640625" style="339" bestFit="1" customWidth="1"/>
    <col min="4186" max="4186" width="11.6640625" style="339" bestFit="1" customWidth="1"/>
    <col min="4187" max="4187" width="11" style="339" bestFit="1" customWidth="1"/>
    <col min="4188" max="4188" width="11.6640625" style="339" bestFit="1" customWidth="1"/>
    <col min="4189" max="4189" width="11" style="339" bestFit="1" customWidth="1"/>
    <col min="4190" max="4190" width="13.33203125" style="339" bestFit="1" customWidth="1"/>
    <col min="4191" max="4192" width="17" style="339" bestFit="1" customWidth="1"/>
    <col min="4193" max="4356" width="9" style="339"/>
    <col min="4357" max="4357" width="12.1328125" style="339" customWidth="1"/>
    <col min="4358" max="4361" width="9" style="339"/>
    <col min="4362" max="4362" width="91.33203125" style="339" bestFit="1" customWidth="1"/>
    <col min="4363" max="4363" width="10.6640625" style="339" customWidth="1"/>
    <col min="4364" max="4364" width="14.1328125" style="339" bestFit="1" customWidth="1"/>
    <col min="4365" max="4366" width="16.33203125" style="339" bestFit="1" customWidth="1"/>
    <col min="4367" max="4367" width="14.33203125" style="339" bestFit="1" customWidth="1"/>
    <col min="4368" max="4368" width="15.1328125" style="339" bestFit="1" customWidth="1"/>
    <col min="4369" max="4369" width="12.6640625" style="339" bestFit="1" customWidth="1"/>
    <col min="4370" max="4370" width="11.6640625" style="339" bestFit="1" customWidth="1"/>
    <col min="4371" max="4371" width="11" style="339" bestFit="1" customWidth="1"/>
    <col min="4372" max="4372" width="13.6640625" style="339" bestFit="1" customWidth="1"/>
    <col min="4373" max="4373" width="11" style="339" bestFit="1" customWidth="1"/>
    <col min="4374" max="4374" width="13.33203125" style="339" bestFit="1" customWidth="1"/>
    <col min="4375" max="4375" width="17" style="339" bestFit="1" customWidth="1"/>
    <col min="4376" max="4376" width="14.1328125" style="339" bestFit="1" customWidth="1"/>
    <col min="4377" max="4378" width="16.33203125" style="339" bestFit="1" customWidth="1"/>
    <col min="4379" max="4379" width="14.33203125" style="339" bestFit="1" customWidth="1"/>
    <col min="4380" max="4380" width="15.1328125" style="339" bestFit="1" customWidth="1"/>
    <col min="4381" max="4381" width="12.6640625" style="339" bestFit="1" customWidth="1"/>
    <col min="4382" max="4382" width="11.6640625" style="339" bestFit="1" customWidth="1"/>
    <col min="4383" max="4383" width="11" style="339" bestFit="1" customWidth="1"/>
    <col min="4384" max="4384" width="11.6640625" style="339" bestFit="1" customWidth="1"/>
    <col min="4385" max="4385" width="11" style="339" bestFit="1" customWidth="1"/>
    <col min="4386" max="4386" width="13.33203125" style="339" bestFit="1" customWidth="1"/>
    <col min="4387" max="4387" width="17" style="339" bestFit="1" customWidth="1"/>
    <col min="4388" max="4388" width="14.1328125" style="339" bestFit="1" customWidth="1"/>
    <col min="4389" max="4390" width="16.33203125" style="339" bestFit="1" customWidth="1"/>
    <col min="4391" max="4391" width="14.33203125" style="339" bestFit="1" customWidth="1"/>
    <col min="4392" max="4392" width="15.1328125" style="339" bestFit="1" customWidth="1"/>
    <col min="4393" max="4393" width="12.6640625" style="339" bestFit="1" customWidth="1"/>
    <col min="4394" max="4394" width="11.6640625" style="339" bestFit="1" customWidth="1"/>
    <col min="4395" max="4395" width="11" style="339" bestFit="1" customWidth="1"/>
    <col min="4396" max="4396" width="11.6640625" style="339" bestFit="1" customWidth="1"/>
    <col min="4397" max="4397" width="11" style="339" bestFit="1" customWidth="1"/>
    <col min="4398" max="4398" width="13.33203125" style="339" bestFit="1" customWidth="1"/>
    <col min="4399" max="4399" width="17" style="339" bestFit="1" customWidth="1"/>
    <col min="4400" max="4400" width="14.1328125" style="339" bestFit="1" customWidth="1"/>
    <col min="4401" max="4402" width="16.33203125" style="339" bestFit="1" customWidth="1"/>
    <col min="4403" max="4403" width="14.33203125" style="339" bestFit="1" customWidth="1"/>
    <col min="4404" max="4404" width="15.1328125" style="339" bestFit="1" customWidth="1"/>
    <col min="4405" max="4405" width="12.6640625" style="339" bestFit="1" customWidth="1"/>
    <col min="4406" max="4406" width="11.6640625" style="339" bestFit="1" customWidth="1"/>
    <col min="4407" max="4407" width="11" style="339" bestFit="1" customWidth="1"/>
    <col min="4408" max="4408" width="11.6640625" style="339" bestFit="1" customWidth="1"/>
    <col min="4409" max="4409" width="11" style="339" bestFit="1" customWidth="1"/>
    <col min="4410" max="4410" width="13.33203125" style="339" bestFit="1" customWidth="1"/>
    <col min="4411" max="4411" width="17" style="339" bestFit="1" customWidth="1"/>
    <col min="4412" max="4412" width="14.1328125" style="339" bestFit="1" customWidth="1"/>
    <col min="4413" max="4414" width="16.33203125" style="339" bestFit="1" customWidth="1"/>
    <col min="4415" max="4415" width="14.33203125" style="339" bestFit="1" customWidth="1"/>
    <col min="4416" max="4416" width="15.1328125" style="339" bestFit="1" customWidth="1"/>
    <col min="4417" max="4417" width="12.6640625" style="339" bestFit="1" customWidth="1"/>
    <col min="4418" max="4418" width="11.6640625" style="339" bestFit="1" customWidth="1"/>
    <col min="4419" max="4419" width="11" style="339" bestFit="1" customWidth="1"/>
    <col min="4420" max="4420" width="11.6640625" style="339" bestFit="1" customWidth="1"/>
    <col min="4421" max="4421" width="11" style="339" bestFit="1" customWidth="1"/>
    <col min="4422" max="4422" width="13.33203125" style="339" bestFit="1" customWidth="1"/>
    <col min="4423" max="4423" width="17" style="339" bestFit="1" customWidth="1"/>
    <col min="4424" max="4424" width="14.1328125" style="339" bestFit="1" customWidth="1"/>
    <col min="4425" max="4426" width="16.33203125" style="339" bestFit="1" customWidth="1"/>
    <col min="4427" max="4427" width="14.33203125" style="339" bestFit="1" customWidth="1"/>
    <col min="4428" max="4428" width="15.1328125" style="339" bestFit="1" customWidth="1"/>
    <col min="4429" max="4429" width="12.6640625" style="339" bestFit="1" customWidth="1"/>
    <col min="4430" max="4430" width="11.6640625" style="339" bestFit="1" customWidth="1"/>
    <col min="4431" max="4431" width="11" style="339" bestFit="1" customWidth="1"/>
    <col min="4432" max="4432" width="11.6640625" style="339" bestFit="1" customWidth="1"/>
    <col min="4433" max="4433" width="11" style="339" bestFit="1" customWidth="1"/>
    <col min="4434" max="4434" width="13.33203125" style="339" bestFit="1" customWidth="1"/>
    <col min="4435" max="4435" width="17" style="339" bestFit="1" customWidth="1"/>
    <col min="4436" max="4436" width="14.1328125" style="339" bestFit="1" customWidth="1"/>
    <col min="4437" max="4438" width="16.33203125" style="339" bestFit="1" customWidth="1"/>
    <col min="4439" max="4439" width="14.33203125" style="339" bestFit="1" customWidth="1"/>
    <col min="4440" max="4440" width="15.1328125" style="339" bestFit="1" customWidth="1"/>
    <col min="4441" max="4441" width="12.6640625" style="339" bestFit="1" customWidth="1"/>
    <col min="4442" max="4442" width="11.6640625" style="339" bestFit="1" customWidth="1"/>
    <col min="4443" max="4443" width="11" style="339" bestFit="1" customWidth="1"/>
    <col min="4444" max="4444" width="11.6640625" style="339" bestFit="1" customWidth="1"/>
    <col min="4445" max="4445" width="11" style="339" bestFit="1" customWidth="1"/>
    <col min="4446" max="4446" width="13.33203125" style="339" bestFit="1" customWidth="1"/>
    <col min="4447" max="4448" width="17" style="339" bestFit="1" customWidth="1"/>
    <col min="4449" max="4612" width="9" style="339"/>
    <col min="4613" max="4613" width="12.1328125" style="339" customWidth="1"/>
    <col min="4614" max="4617" width="9" style="339"/>
    <col min="4618" max="4618" width="91.33203125" style="339" bestFit="1" customWidth="1"/>
    <col min="4619" max="4619" width="10.6640625" style="339" customWidth="1"/>
    <col min="4620" max="4620" width="14.1328125" style="339" bestFit="1" customWidth="1"/>
    <col min="4621" max="4622" width="16.33203125" style="339" bestFit="1" customWidth="1"/>
    <col min="4623" max="4623" width="14.33203125" style="339" bestFit="1" customWidth="1"/>
    <col min="4624" max="4624" width="15.1328125" style="339" bestFit="1" customWidth="1"/>
    <col min="4625" max="4625" width="12.6640625" style="339" bestFit="1" customWidth="1"/>
    <col min="4626" max="4626" width="11.6640625" style="339" bestFit="1" customWidth="1"/>
    <col min="4627" max="4627" width="11" style="339" bestFit="1" customWidth="1"/>
    <col min="4628" max="4628" width="13.6640625" style="339" bestFit="1" customWidth="1"/>
    <col min="4629" max="4629" width="11" style="339" bestFit="1" customWidth="1"/>
    <col min="4630" max="4630" width="13.33203125" style="339" bestFit="1" customWidth="1"/>
    <col min="4631" max="4631" width="17" style="339" bestFit="1" customWidth="1"/>
    <col min="4632" max="4632" width="14.1328125" style="339" bestFit="1" customWidth="1"/>
    <col min="4633" max="4634" width="16.33203125" style="339" bestFit="1" customWidth="1"/>
    <col min="4635" max="4635" width="14.33203125" style="339" bestFit="1" customWidth="1"/>
    <col min="4636" max="4636" width="15.1328125" style="339" bestFit="1" customWidth="1"/>
    <col min="4637" max="4637" width="12.6640625" style="339" bestFit="1" customWidth="1"/>
    <col min="4638" max="4638" width="11.6640625" style="339" bestFit="1" customWidth="1"/>
    <col min="4639" max="4639" width="11" style="339" bestFit="1" customWidth="1"/>
    <col min="4640" max="4640" width="11.6640625" style="339" bestFit="1" customWidth="1"/>
    <col min="4641" max="4641" width="11" style="339" bestFit="1" customWidth="1"/>
    <col min="4642" max="4642" width="13.33203125" style="339" bestFit="1" customWidth="1"/>
    <col min="4643" max="4643" width="17" style="339" bestFit="1" customWidth="1"/>
    <col min="4644" max="4644" width="14.1328125" style="339" bestFit="1" customWidth="1"/>
    <col min="4645" max="4646" width="16.33203125" style="339" bestFit="1" customWidth="1"/>
    <col min="4647" max="4647" width="14.33203125" style="339" bestFit="1" customWidth="1"/>
    <col min="4648" max="4648" width="15.1328125" style="339" bestFit="1" customWidth="1"/>
    <col min="4649" max="4649" width="12.6640625" style="339" bestFit="1" customWidth="1"/>
    <col min="4650" max="4650" width="11.6640625" style="339" bestFit="1" customWidth="1"/>
    <col min="4651" max="4651" width="11" style="339" bestFit="1" customWidth="1"/>
    <col min="4652" max="4652" width="11.6640625" style="339" bestFit="1" customWidth="1"/>
    <col min="4653" max="4653" width="11" style="339" bestFit="1" customWidth="1"/>
    <col min="4654" max="4654" width="13.33203125" style="339" bestFit="1" customWidth="1"/>
    <col min="4655" max="4655" width="17" style="339" bestFit="1" customWidth="1"/>
    <col min="4656" max="4656" width="14.1328125" style="339" bestFit="1" customWidth="1"/>
    <col min="4657" max="4658" width="16.33203125" style="339" bestFit="1" customWidth="1"/>
    <col min="4659" max="4659" width="14.33203125" style="339" bestFit="1" customWidth="1"/>
    <col min="4660" max="4660" width="15.1328125" style="339" bestFit="1" customWidth="1"/>
    <col min="4661" max="4661" width="12.6640625" style="339" bestFit="1" customWidth="1"/>
    <col min="4662" max="4662" width="11.6640625" style="339" bestFit="1" customWidth="1"/>
    <col min="4663" max="4663" width="11" style="339" bestFit="1" customWidth="1"/>
    <col min="4664" max="4664" width="11.6640625" style="339" bestFit="1" customWidth="1"/>
    <col min="4665" max="4665" width="11" style="339" bestFit="1" customWidth="1"/>
    <col min="4666" max="4666" width="13.33203125" style="339" bestFit="1" customWidth="1"/>
    <col min="4667" max="4667" width="17" style="339" bestFit="1" customWidth="1"/>
    <col min="4668" max="4668" width="14.1328125" style="339" bestFit="1" customWidth="1"/>
    <col min="4669" max="4670" width="16.33203125" style="339" bestFit="1" customWidth="1"/>
    <col min="4671" max="4671" width="14.33203125" style="339" bestFit="1" customWidth="1"/>
    <col min="4672" max="4672" width="15.1328125" style="339" bestFit="1" customWidth="1"/>
    <col min="4673" max="4673" width="12.6640625" style="339" bestFit="1" customWidth="1"/>
    <col min="4674" max="4674" width="11.6640625" style="339" bestFit="1" customWidth="1"/>
    <col min="4675" max="4675" width="11" style="339" bestFit="1" customWidth="1"/>
    <col min="4676" max="4676" width="11.6640625" style="339" bestFit="1" customWidth="1"/>
    <col min="4677" max="4677" width="11" style="339" bestFit="1" customWidth="1"/>
    <col min="4678" max="4678" width="13.33203125" style="339" bestFit="1" customWidth="1"/>
    <col min="4679" max="4679" width="17" style="339" bestFit="1" customWidth="1"/>
    <col min="4680" max="4680" width="14.1328125" style="339" bestFit="1" customWidth="1"/>
    <col min="4681" max="4682" width="16.33203125" style="339" bestFit="1" customWidth="1"/>
    <col min="4683" max="4683" width="14.33203125" style="339" bestFit="1" customWidth="1"/>
    <col min="4684" max="4684" width="15.1328125" style="339" bestFit="1" customWidth="1"/>
    <col min="4685" max="4685" width="12.6640625" style="339" bestFit="1" customWidth="1"/>
    <col min="4686" max="4686" width="11.6640625" style="339" bestFit="1" customWidth="1"/>
    <col min="4687" max="4687" width="11" style="339" bestFit="1" customWidth="1"/>
    <col min="4688" max="4688" width="11.6640625" style="339" bestFit="1" customWidth="1"/>
    <col min="4689" max="4689" width="11" style="339" bestFit="1" customWidth="1"/>
    <col min="4690" max="4690" width="13.33203125" style="339" bestFit="1" customWidth="1"/>
    <col min="4691" max="4691" width="17" style="339" bestFit="1" customWidth="1"/>
    <col min="4692" max="4692" width="14.1328125" style="339" bestFit="1" customWidth="1"/>
    <col min="4693" max="4694" width="16.33203125" style="339" bestFit="1" customWidth="1"/>
    <col min="4695" max="4695" width="14.33203125" style="339" bestFit="1" customWidth="1"/>
    <col min="4696" max="4696" width="15.1328125" style="339" bestFit="1" customWidth="1"/>
    <col min="4697" max="4697" width="12.6640625" style="339" bestFit="1" customWidth="1"/>
    <col min="4698" max="4698" width="11.6640625" style="339" bestFit="1" customWidth="1"/>
    <col min="4699" max="4699" width="11" style="339" bestFit="1" customWidth="1"/>
    <col min="4700" max="4700" width="11.6640625" style="339" bestFit="1" customWidth="1"/>
    <col min="4701" max="4701" width="11" style="339" bestFit="1" customWidth="1"/>
    <col min="4702" max="4702" width="13.33203125" style="339" bestFit="1" customWidth="1"/>
    <col min="4703" max="4704" width="17" style="339" bestFit="1" customWidth="1"/>
    <col min="4705" max="4868" width="9" style="339"/>
    <col min="4869" max="4869" width="12.1328125" style="339" customWidth="1"/>
    <col min="4870" max="4873" width="9" style="339"/>
    <col min="4874" max="4874" width="91.33203125" style="339" bestFit="1" customWidth="1"/>
    <col min="4875" max="4875" width="10.6640625" style="339" customWidth="1"/>
    <col min="4876" max="4876" width="14.1328125" style="339" bestFit="1" customWidth="1"/>
    <col min="4877" max="4878" width="16.33203125" style="339" bestFit="1" customWidth="1"/>
    <col min="4879" max="4879" width="14.33203125" style="339" bestFit="1" customWidth="1"/>
    <col min="4880" max="4880" width="15.1328125" style="339" bestFit="1" customWidth="1"/>
    <col min="4881" max="4881" width="12.6640625" style="339" bestFit="1" customWidth="1"/>
    <col min="4882" max="4882" width="11.6640625" style="339" bestFit="1" customWidth="1"/>
    <col min="4883" max="4883" width="11" style="339" bestFit="1" customWidth="1"/>
    <col min="4884" max="4884" width="13.6640625" style="339" bestFit="1" customWidth="1"/>
    <col min="4885" max="4885" width="11" style="339" bestFit="1" customWidth="1"/>
    <col min="4886" max="4886" width="13.33203125" style="339" bestFit="1" customWidth="1"/>
    <col min="4887" max="4887" width="17" style="339" bestFit="1" customWidth="1"/>
    <col min="4888" max="4888" width="14.1328125" style="339" bestFit="1" customWidth="1"/>
    <col min="4889" max="4890" width="16.33203125" style="339" bestFit="1" customWidth="1"/>
    <col min="4891" max="4891" width="14.33203125" style="339" bestFit="1" customWidth="1"/>
    <col min="4892" max="4892" width="15.1328125" style="339" bestFit="1" customWidth="1"/>
    <col min="4893" max="4893" width="12.6640625" style="339" bestFit="1" customWidth="1"/>
    <col min="4894" max="4894" width="11.6640625" style="339" bestFit="1" customWidth="1"/>
    <col min="4895" max="4895" width="11" style="339" bestFit="1" customWidth="1"/>
    <col min="4896" max="4896" width="11.6640625" style="339" bestFit="1" customWidth="1"/>
    <col min="4897" max="4897" width="11" style="339" bestFit="1" customWidth="1"/>
    <col min="4898" max="4898" width="13.33203125" style="339" bestFit="1" customWidth="1"/>
    <col min="4899" max="4899" width="17" style="339" bestFit="1" customWidth="1"/>
    <col min="4900" max="4900" width="14.1328125" style="339" bestFit="1" customWidth="1"/>
    <col min="4901" max="4902" width="16.33203125" style="339" bestFit="1" customWidth="1"/>
    <col min="4903" max="4903" width="14.33203125" style="339" bestFit="1" customWidth="1"/>
    <col min="4904" max="4904" width="15.1328125" style="339" bestFit="1" customWidth="1"/>
    <col min="4905" max="4905" width="12.6640625" style="339" bestFit="1" customWidth="1"/>
    <col min="4906" max="4906" width="11.6640625" style="339" bestFit="1" customWidth="1"/>
    <col min="4907" max="4907" width="11" style="339" bestFit="1" customWidth="1"/>
    <col min="4908" max="4908" width="11.6640625" style="339" bestFit="1" customWidth="1"/>
    <col min="4909" max="4909" width="11" style="339" bestFit="1" customWidth="1"/>
    <col min="4910" max="4910" width="13.33203125" style="339" bestFit="1" customWidth="1"/>
    <col min="4911" max="4911" width="17" style="339" bestFit="1" customWidth="1"/>
    <col min="4912" max="4912" width="14.1328125" style="339" bestFit="1" customWidth="1"/>
    <col min="4913" max="4914" width="16.33203125" style="339" bestFit="1" customWidth="1"/>
    <col min="4915" max="4915" width="14.33203125" style="339" bestFit="1" customWidth="1"/>
    <col min="4916" max="4916" width="15.1328125" style="339" bestFit="1" customWidth="1"/>
    <col min="4917" max="4917" width="12.6640625" style="339" bestFit="1" customWidth="1"/>
    <col min="4918" max="4918" width="11.6640625" style="339" bestFit="1" customWidth="1"/>
    <col min="4919" max="4919" width="11" style="339" bestFit="1" customWidth="1"/>
    <col min="4920" max="4920" width="11.6640625" style="339" bestFit="1" customWidth="1"/>
    <col min="4921" max="4921" width="11" style="339" bestFit="1" customWidth="1"/>
    <col min="4922" max="4922" width="13.33203125" style="339" bestFit="1" customWidth="1"/>
    <col min="4923" max="4923" width="17" style="339" bestFit="1" customWidth="1"/>
    <col min="4924" max="4924" width="14.1328125" style="339" bestFit="1" customWidth="1"/>
    <col min="4925" max="4926" width="16.33203125" style="339" bestFit="1" customWidth="1"/>
    <col min="4927" max="4927" width="14.33203125" style="339" bestFit="1" customWidth="1"/>
    <col min="4928" max="4928" width="15.1328125" style="339" bestFit="1" customWidth="1"/>
    <col min="4929" max="4929" width="12.6640625" style="339" bestFit="1" customWidth="1"/>
    <col min="4930" max="4930" width="11.6640625" style="339" bestFit="1" customWidth="1"/>
    <col min="4931" max="4931" width="11" style="339" bestFit="1" customWidth="1"/>
    <col min="4932" max="4932" width="11.6640625" style="339" bestFit="1" customWidth="1"/>
    <col min="4933" max="4933" width="11" style="339" bestFit="1" customWidth="1"/>
    <col min="4934" max="4934" width="13.33203125" style="339" bestFit="1" customWidth="1"/>
    <col min="4935" max="4935" width="17" style="339" bestFit="1" customWidth="1"/>
    <col min="4936" max="4936" width="14.1328125" style="339" bestFit="1" customWidth="1"/>
    <col min="4937" max="4938" width="16.33203125" style="339" bestFit="1" customWidth="1"/>
    <col min="4939" max="4939" width="14.33203125" style="339" bestFit="1" customWidth="1"/>
    <col min="4940" max="4940" width="15.1328125" style="339" bestFit="1" customWidth="1"/>
    <col min="4941" max="4941" width="12.6640625" style="339" bestFit="1" customWidth="1"/>
    <col min="4942" max="4942" width="11.6640625" style="339" bestFit="1" customWidth="1"/>
    <col min="4943" max="4943" width="11" style="339" bestFit="1" customWidth="1"/>
    <col min="4944" max="4944" width="11.6640625" style="339" bestFit="1" customWidth="1"/>
    <col min="4945" max="4945" width="11" style="339" bestFit="1" customWidth="1"/>
    <col min="4946" max="4946" width="13.33203125" style="339" bestFit="1" customWidth="1"/>
    <col min="4947" max="4947" width="17" style="339" bestFit="1" customWidth="1"/>
    <col min="4948" max="4948" width="14.1328125" style="339" bestFit="1" customWidth="1"/>
    <col min="4949" max="4950" width="16.33203125" style="339" bestFit="1" customWidth="1"/>
    <col min="4951" max="4951" width="14.33203125" style="339" bestFit="1" customWidth="1"/>
    <col min="4952" max="4952" width="15.1328125" style="339" bestFit="1" customWidth="1"/>
    <col min="4953" max="4953" width="12.6640625" style="339" bestFit="1" customWidth="1"/>
    <col min="4954" max="4954" width="11.6640625" style="339" bestFit="1" customWidth="1"/>
    <col min="4955" max="4955" width="11" style="339" bestFit="1" customWidth="1"/>
    <col min="4956" max="4956" width="11.6640625" style="339" bestFit="1" customWidth="1"/>
    <col min="4957" max="4957" width="11" style="339" bestFit="1" customWidth="1"/>
    <col min="4958" max="4958" width="13.33203125" style="339" bestFit="1" customWidth="1"/>
    <col min="4959" max="4960" width="17" style="339" bestFit="1" customWidth="1"/>
    <col min="4961" max="5124" width="9" style="339"/>
    <col min="5125" max="5125" width="12.1328125" style="339" customWidth="1"/>
    <col min="5126" max="5129" width="9" style="339"/>
    <col min="5130" max="5130" width="91.33203125" style="339" bestFit="1" customWidth="1"/>
    <col min="5131" max="5131" width="10.6640625" style="339" customWidth="1"/>
    <col min="5132" max="5132" width="14.1328125" style="339" bestFit="1" customWidth="1"/>
    <col min="5133" max="5134" width="16.33203125" style="339" bestFit="1" customWidth="1"/>
    <col min="5135" max="5135" width="14.33203125" style="339" bestFit="1" customWidth="1"/>
    <col min="5136" max="5136" width="15.1328125" style="339" bestFit="1" customWidth="1"/>
    <col min="5137" max="5137" width="12.6640625" style="339" bestFit="1" customWidth="1"/>
    <col min="5138" max="5138" width="11.6640625" style="339" bestFit="1" customWidth="1"/>
    <col min="5139" max="5139" width="11" style="339" bestFit="1" customWidth="1"/>
    <col min="5140" max="5140" width="13.6640625" style="339" bestFit="1" customWidth="1"/>
    <col min="5141" max="5141" width="11" style="339" bestFit="1" customWidth="1"/>
    <col min="5142" max="5142" width="13.33203125" style="339" bestFit="1" customWidth="1"/>
    <col min="5143" max="5143" width="17" style="339" bestFit="1" customWidth="1"/>
    <col min="5144" max="5144" width="14.1328125" style="339" bestFit="1" customWidth="1"/>
    <col min="5145" max="5146" width="16.33203125" style="339" bestFit="1" customWidth="1"/>
    <col min="5147" max="5147" width="14.33203125" style="339" bestFit="1" customWidth="1"/>
    <col min="5148" max="5148" width="15.1328125" style="339" bestFit="1" customWidth="1"/>
    <col min="5149" max="5149" width="12.6640625" style="339" bestFit="1" customWidth="1"/>
    <col min="5150" max="5150" width="11.6640625" style="339" bestFit="1" customWidth="1"/>
    <col min="5151" max="5151" width="11" style="339" bestFit="1" customWidth="1"/>
    <col min="5152" max="5152" width="11.6640625" style="339" bestFit="1" customWidth="1"/>
    <col min="5153" max="5153" width="11" style="339" bestFit="1" customWidth="1"/>
    <col min="5154" max="5154" width="13.33203125" style="339" bestFit="1" customWidth="1"/>
    <col min="5155" max="5155" width="17" style="339" bestFit="1" customWidth="1"/>
    <col min="5156" max="5156" width="14.1328125" style="339" bestFit="1" customWidth="1"/>
    <col min="5157" max="5158" width="16.33203125" style="339" bestFit="1" customWidth="1"/>
    <col min="5159" max="5159" width="14.33203125" style="339" bestFit="1" customWidth="1"/>
    <col min="5160" max="5160" width="15.1328125" style="339" bestFit="1" customWidth="1"/>
    <col min="5161" max="5161" width="12.6640625" style="339" bestFit="1" customWidth="1"/>
    <col min="5162" max="5162" width="11.6640625" style="339" bestFit="1" customWidth="1"/>
    <col min="5163" max="5163" width="11" style="339" bestFit="1" customWidth="1"/>
    <col min="5164" max="5164" width="11.6640625" style="339" bestFit="1" customWidth="1"/>
    <col min="5165" max="5165" width="11" style="339" bestFit="1" customWidth="1"/>
    <col min="5166" max="5166" width="13.33203125" style="339" bestFit="1" customWidth="1"/>
    <col min="5167" max="5167" width="17" style="339" bestFit="1" customWidth="1"/>
    <col min="5168" max="5168" width="14.1328125" style="339" bestFit="1" customWidth="1"/>
    <col min="5169" max="5170" width="16.33203125" style="339" bestFit="1" customWidth="1"/>
    <col min="5171" max="5171" width="14.33203125" style="339" bestFit="1" customWidth="1"/>
    <col min="5172" max="5172" width="15.1328125" style="339" bestFit="1" customWidth="1"/>
    <col min="5173" max="5173" width="12.6640625" style="339" bestFit="1" customWidth="1"/>
    <col min="5174" max="5174" width="11.6640625" style="339" bestFit="1" customWidth="1"/>
    <col min="5175" max="5175" width="11" style="339" bestFit="1" customWidth="1"/>
    <col min="5176" max="5176" width="11.6640625" style="339" bestFit="1" customWidth="1"/>
    <col min="5177" max="5177" width="11" style="339" bestFit="1" customWidth="1"/>
    <col min="5178" max="5178" width="13.33203125" style="339" bestFit="1" customWidth="1"/>
    <col min="5179" max="5179" width="17" style="339" bestFit="1" customWidth="1"/>
    <col min="5180" max="5180" width="14.1328125" style="339" bestFit="1" customWidth="1"/>
    <col min="5181" max="5182" width="16.33203125" style="339" bestFit="1" customWidth="1"/>
    <col min="5183" max="5183" width="14.33203125" style="339" bestFit="1" customWidth="1"/>
    <col min="5184" max="5184" width="15.1328125" style="339" bestFit="1" customWidth="1"/>
    <col min="5185" max="5185" width="12.6640625" style="339" bestFit="1" customWidth="1"/>
    <col min="5186" max="5186" width="11.6640625" style="339" bestFit="1" customWidth="1"/>
    <col min="5187" max="5187" width="11" style="339" bestFit="1" customWidth="1"/>
    <col min="5188" max="5188" width="11.6640625" style="339" bestFit="1" customWidth="1"/>
    <col min="5189" max="5189" width="11" style="339" bestFit="1" customWidth="1"/>
    <col min="5190" max="5190" width="13.33203125" style="339" bestFit="1" customWidth="1"/>
    <col min="5191" max="5191" width="17" style="339" bestFit="1" customWidth="1"/>
    <col min="5192" max="5192" width="14.1328125" style="339" bestFit="1" customWidth="1"/>
    <col min="5193" max="5194" width="16.33203125" style="339" bestFit="1" customWidth="1"/>
    <col min="5195" max="5195" width="14.33203125" style="339" bestFit="1" customWidth="1"/>
    <col min="5196" max="5196" width="15.1328125" style="339" bestFit="1" customWidth="1"/>
    <col min="5197" max="5197" width="12.6640625" style="339" bestFit="1" customWidth="1"/>
    <col min="5198" max="5198" width="11.6640625" style="339" bestFit="1" customWidth="1"/>
    <col min="5199" max="5199" width="11" style="339" bestFit="1" customWidth="1"/>
    <col min="5200" max="5200" width="11.6640625" style="339" bestFit="1" customWidth="1"/>
    <col min="5201" max="5201" width="11" style="339" bestFit="1" customWidth="1"/>
    <col min="5202" max="5202" width="13.33203125" style="339" bestFit="1" customWidth="1"/>
    <col min="5203" max="5203" width="17" style="339" bestFit="1" customWidth="1"/>
    <col min="5204" max="5204" width="14.1328125" style="339" bestFit="1" customWidth="1"/>
    <col min="5205" max="5206" width="16.33203125" style="339" bestFit="1" customWidth="1"/>
    <col min="5207" max="5207" width="14.33203125" style="339" bestFit="1" customWidth="1"/>
    <col min="5208" max="5208" width="15.1328125" style="339" bestFit="1" customWidth="1"/>
    <col min="5209" max="5209" width="12.6640625" style="339" bestFit="1" customWidth="1"/>
    <col min="5210" max="5210" width="11.6640625" style="339" bestFit="1" customWidth="1"/>
    <col min="5211" max="5211" width="11" style="339" bestFit="1" customWidth="1"/>
    <col min="5212" max="5212" width="11.6640625" style="339" bestFit="1" customWidth="1"/>
    <col min="5213" max="5213" width="11" style="339" bestFit="1" customWidth="1"/>
    <col min="5214" max="5214" width="13.33203125" style="339" bestFit="1" customWidth="1"/>
    <col min="5215" max="5216" width="17" style="339" bestFit="1" customWidth="1"/>
    <col min="5217" max="5380" width="9" style="339"/>
    <col min="5381" max="5381" width="12.1328125" style="339" customWidth="1"/>
    <col min="5382" max="5385" width="9" style="339"/>
    <col min="5386" max="5386" width="91.33203125" style="339" bestFit="1" customWidth="1"/>
    <col min="5387" max="5387" width="10.6640625" style="339" customWidth="1"/>
    <col min="5388" max="5388" width="14.1328125" style="339" bestFit="1" customWidth="1"/>
    <col min="5389" max="5390" width="16.33203125" style="339" bestFit="1" customWidth="1"/>
    <col min="5391" max="5391" width="14.33203125" style="339" bestFit="1" customWidth="1"/>
    <col min="5392" max="5392" width="15.1328125" style="339" bestFit="1" customWidth="1"/>
    <col min="5393" max="5393" width="12.6640625" style="339" bestFit="1" customWidth="1"/>
    <col min="5394" max="5394" width="11.6640625" style="339" bestFit="1" customWidth="1"/>
    <col min="5395" max="5395" width="11" style="339" bestFit="1" customWidth="1"/>
    <col min="5396" max="5396" width="13.6640625" style="339" bestFit="1" customWidth="1"/>
    <col min="5397" max="5397" width="11" style="339" bestFit="1" customWidth="1"/>
    <col min="5398" max="5398" width="13.33203125" style="339" bestFit="1" customWidth="1"/>
    <col min="5399" max="5399" width="17" style="339" bestFit="1" customWidth="1"/>
    <col min="5400" max="5400" width="14.1328125" style="339" bestFit="1" customWidth="1"/>
    <col min="5401" max="5402" width="16.33203125" style="339" bestFit="1" customWidth="1"/>
    <col min="5403" max="5403" width="14.33203125" style="339" bestFit="1" customWidth="1"/>
    <col min="5404" max="5404" width="15.1328125" style="339" bestFit="1" customWidth="1"/>
    <col min="5405" max="5405" width="12.6640625" style="339" bestFit="1" customWidth="1"/>
    <col min="5406" max="5406" width="11.6640625" style="339" bestFit="1" customWidth="1"/>
    <col min="5407" max="5407" width="11" style="339" bestFit="1" customWidth="1"/>
    <col min="5408" max="5408" width="11.6640625" style="339" bestFit="1" customWidth="1"/>
    <col min="5409" max="5409" width="11" style="339" bestFit="1" customWidth="1"/>
    <col min="5410" max="5410" width="13.33203125" style="339" bestFit="1" customWidth="1"/>
    <col min="5411" max="5411" width="17" style="339" bestFit="1" customWidth="1"/>
    <col min="5412" max="5412" width="14.1328125" style="339" bestFit="1" customWidth="1"/>
    <col min="5413" max="5414" width="16.33203125" style="339" bestFit="1" customWidth="1"/>
    <col min="5415" max="5415" width="14.33203125" style="339" bestFit="1" customWidth="1"/>
    <col min="5416" max="5416" width="15.1328125" style="339" bestFit="1" customWidth="1"/>
    <col min="5417" max="5417" width="12.6640625" style="339" bestFit="1" customWidth="1"/>
    <col min="5418" max="5418" width="11.6640625" style="339" bestFit="1" customWidth="1"/>
    <col min="5419" max="5419" width="11" style="339" bestFit="1" customWidth="1"/>
    <col min="5420" max="5420" width="11.6640625" style="339" bestFit="1" customWidth="1"/>
    <col min="5421" max="5421" width="11" style="339" bestFit="1" customWidth="1"/>
    <col min="5422" max="5422" width="13.33203125" style="339" bestFit="1" customWidth="1"/>
    <col min="5423" max="5423" width="17" style="339" bestFit="1" customWidth="1"/>
    <col min="5424" max="5424" width="14.1328125" style="339" bestFit="1" customWidth="1"/>
    <col min="5425" max="5426" width="16.33203125" style="339" bestFit="1" customWidth="1"/>
    <col min="5427" max="5427" width="14.33203125" style="339" bestFit="1" customWidth="1"/>
    <col min="5428" max="5428" width="15.1328125" style="339" bestFit="1" customWidth="1"/>
    <col min="5429" max="5429" width="12.6640625" style="339" bestFit="1" customWidth="1"/>
    <col min="5430" max="5430" width="11.6640625" style="339" bestFit="1" customWidth="1"/>
    <col min="5431" max="5431" width="11" style="339" bestFit="1" customWidth="1"/>
    <col min="5432" max="5432" width="11.6640625" style="339" bestFit="1" customWidth="1"/>
    <col min="5433" max="5433" width="11" style="339" bestFit="1" customWidth="1"/>
    <col min="5434" max="5434" width="13.33203125" style="339" bestFit="1" customWidth="1"/>
    <col min="5435" max="5435" width="17" style="339" bestFit="1" customWidth="1"/>
    <col min="5436" max="5436" width="14.1328125" style="339" bestFit="1" customWidth="1"/>
    <col min="5437" max="5438" width="16.33203125" style="339" bestFit="1" customWidth="1"/>
    <col min="5439" max="5439" width="14.33203125" style="339" bestFit="1" customWidth="1"/>
    <col min="5440" max="5440" width="15.1328125" style="339" bestFit="1" customWidth="1"/>
    <col min="5441" max="5441" width="12.6640625" style="339" bestFit="1" customWidth="1"/>
    <col min="5442" max="5442" width="11.6640625" style="339" bestFit="1" customWidth="1"/>
    <col min="5443" max="5443" width="11" style="339" bestFit="1" customWidth="1"/>
    <col min="5444" max="5444" width="11.6640625" style="339" bestFit="1" customWidth="1"/>
    <col min="5445" max="5445" width="11" style="339" bestFit="1" customWidth="1"/>
    <col min="5446" max="5446" width="13.33203125" style="339" bestFit="1" customWidth="1"/>
    <col min="5447" max="5447" width="17" style="339" bestFit="1" customWidth="1"/>
    <col min="5448" max="5448" width="14.1328125" style="339" bestFit="1" customWidth="1"/>
    <col min="5449" max="5450" width="16.33203125" style="339" bestFit="1" customWidth="1"/>
    <col min="5451" max="5451" width="14.33203125" style="339" bestFit="1" customWidth="1"/>
    <col min="5452" max="5452" width="15.1328125" style="339" bestFit="1" customWidth="1"/>
    <col min="5453" max="5453" width="12.6640625" style="339" bestFit="1" customWidth="1"/>
    <col min="5454" max="5454" width="11.6640625" style="339" bestFit="1" customWidth="1"/>
    <col min="5455" max="5455" width="11" style="339" bestFit="1" customWidth="1"/>
    <col min="5456" max="5456" width="11.6640625" style="339" bestFit="1" customWidth="1"/>
    <col min="5457" max="5457" width="11" style="339" bestFit="1" customWidth="1"/>
    <col min="5458" max="5458" width="13.33203125" style="339" bestFit="1" customWidth="1"/>
    <col min="5459" max="5459" width="17" style="339" bestFit="1" customWidth="1"/>
    <col min="5460" max="5460" width="14.1328125" style="339" bestFit="1" customWidth="1"/>
    <col min="5461" max="5462" width="16.33203125" style="339" bestFit="1" customWidth="1"/>
    <col min="5463" max="5463" width="14.33203125" style="339" bestFit="1" customWidth="1"/>
    <col min="5464" max="5464" width="15.1328125" style="339" bestFit="1" customWidth="1"/>
    <col min="5465" max="5465" width="12.6640625" style="339" bestFit="1" customWidth="1"/>
    <col min="5466" max="5466" width="11.6640625" style="339" bestFit="1" customWidth="1"/>
    <col min="5467" max="5467" width="11" style="339" bestFit="1" customWidth="1"/>
    <col min="5468" max="5468" width="11.6640625" style="339" bestFit="1" customWidth="1"/>
    <col min="5469" max="5469" width="11" style="339" bestFit="1" customWidth="1"/>
    <col min="5470" max="5470" width="13.33203125" style="339" bestFit="1" customWidth="1"/>
    <col min="5471" max="5472" width="17" style="339" bestFit="1" customWidth="1"/>
    <col min="5473" max="5636" width="9" style="339"/>
    <col min="5637" max="5637" width="12.1328125" style="339" customWidth="1"/>
    <col min="5638" max="5641" width="9" style="339"/>
    <col min="5642" max="5642" width="91.33203125" style="339" bestFit="1" customWidth="1"/>
    <col min="5643" max="5643" width="10.6640625" style="339" customWidth="1"/>
    <col min="5644" max="5644" width="14.1328125" style="339" bestFit="1" customWidth="1"/>
    <col min="5645" max="5646" width="16.33203125" style="339" bestFit="1" customWidth="1"/>
    <col min="5647" max="5647" width="14.33203125" style="339" bestFit="1" customWidth="1"/>
    <col min="5648" max="5648" width="15.1328125" style="339" bestFit="1" customWidth="1"/>
    <col min="5649" max="5649" width="12.6640625" style="339" bestFit="1" customWidth="1"/>
    <col min="5650" max="5650" width="11.6640625" style="339" bestFit="1" customWidth="1"/>
    <col min="5651" max="5651" width="11" style="339" bestFit="1" customWidth="1"/>
    <col min="5652" max="5652" width="13.6640625" style="339" bestFit="1" customWidth="1"/>
    <col min="5653" max="5653" width="11" style="339" bestFit="1" customWidth="1"/>
    <col min="5654" max="5654" width="13.33203125" style="339" bestFit="1" customWidth="1"/>
    <col min="5655" max="5655" width="17" style="339" bestFit="1" customWidth="1"/>
    <col min="5656" max="5656" width="14.1328125" style="339" bestFit="1" customWidth="1"/>
    <col min="5657" max="5658" width="16.33203125" style="339" bestFit="1" customWidth="1"/>
    <col min="5659" max="5659" width="14.33203125" style="339" bestFit="1" customWidth="1"/>
    <col min="5660" max="5660" width="15.1328125" style="339" bestFit="1" customWidth="1"/>
    <col min="5661" max="5661" width="12.6640625" style="339" bestFit="1" customWidth="1"/>
    <col min="5662" max="5662" width="11.6640625" style="339" bestFit="1" customWidth="1"/>
    <col min="5663" max="5663" width="11" style="339" bestFit="1" customWidth="1"/>
    <col min="5664" max="5664" width="11.6640625" style="339" bestFit="1" customWidth="1"/>
    <col min="5665" max="5665" width="11" style="339" bestFit="1" customWidth="1"/>
    <col min="5666" max="5666" width="13.33203125" style="339" bestFit="1" customWidth="1"/>
    <col min="5667" max="5667" width="17" style="339" bestFit="1" customWidth="1"/>
    <col min="5668" max="5668" width="14.1328125" style="339" bestFit="1" customWidth="1"/>
    <col min="5669" max="5670" width="16.33203125" style="339" bestFit="1" customWidth="1"/>
    <col min="5671" max="5671" width="14.33203125" style="339" bestFit="1" customWidth="1"/>
    <col min="5672" max="5672" width="15.1328125" style="339" bestFit="1" customWidth="1"/>
    <col min="5673" max="5673" width="12.6640625" style="339" bestFit="1" customWidth="1"/>
    <col min="5674" max="5674" width="11.6640625" style="339" bestFit="1" customWidth="1"/>
    <col min="5675" max="5675" width="11" style="339" bestFit="1" customWidth="1"/>
    <col min="5676" max="5676" width="11.6640625" style="339" bestFit="1" customWidth="1"/>
    <col min="5677" max="5677" width="11" style="339" bestFit="1" customWidth="1"/>
    <col min="5678" max="5678" width="13.33203125" style="339" bestFit="1" customWidth="1"/>
    <col min="5679" max="5679" width="17" style="339" bestFit="1" customWidth="1"/>
    <col min="5680" max="5680" width="14.1328125" style="339" bestFit="1" customWidth="1"/>
    <col min="5681" max="5682" width="16.33203125" style="339" bestFit="1" customWidth="1"/>
    <col min="5683" max="5683" width="14.33203125" style="339" bestFit="1" customWidth="1"/>
    <col min="5684" max="5684" width="15.1328125" style="339" bestFit="1" customWidth="1"/>
    <col min="5685" max="5685" width="12.6640625" style="339" bestFit="1" customWidth="1"/>
    <col min="5686" max="5686" width="11.6640625" style="339" bestFit="1" customWidth="1"/>
    <col min="5687" max="5687" width="11" style="339" bestFit="1" customWidth="1"/>
    <col min="5688" max="5688" width="11.6640625" style="339" bestFit="1" customWidth="1"/>
    <col min="5689" max="5689" width="11" style="339" bestFit="1" customWidth="1"/>
    <col min="5690" max="5690" width="13.33203125" style="339" bestFit="1" customWidth="1"/>
    <col min="5691" max="5691" width="17" style="339" bestFit="1" customWidth="1"/>
    <col min="5692" max="5692" width="14.1328125" style="339" bestFit="1" customWidth="1"/>
    <col min="5693" max="5694" width="16.33203125" style="339" bestFit="1" customWidth="1"/>
    <col min="5695" max="5695" width="14.33203125" style="339" bestFit="1" customWidth="1"/>
    <col min="5696" max="5696" width="15.1328125" style="339" bestFit="1" customWidth="1"/>
    <col min="5697" max="5697" width="12.6640625" style="339" bestFit="1" customWidth="1"/>
    <col min="5698" max="5698" width="11.6640625" style="339" bestFit="1" customWidth="1"/>
    <col min="5699" max="5699" width="11" style="339" bestFit="1" customWidth="1"/>
    <col min="5700" max="5700" width="11.6640625" style="339" bestFit="1" customWidth="1"/>
    <col min="5701" max="5701" width="11" style="339" bestFit="1" customWidth="1"/>
    <col min="5702" max="5702" width="13.33203125" style="339" bestFit="1" customWidth="1"/>
    <col min="5703" max="5703" width="17" style="339" bestFit="1" customWidth="1"/>
    <col min="5704" max="5704" width="14.1328125" style="339" bestFit="1" customWidth="1"/>
    <col min="5705" max="5706" width="16.33203125" style="339" bestFit="1" customWidth="1"/>
    <col min="5707" max="5707" width="14.33203125" style="339" bestFit="1" customWidth="1"/>
    <col min="5708" max="5708" width="15.1328125" style="339" bestFit="1" customWidth="1"/>
    <col min="5709" max="5709" width="12.6640625" style="339" bestFit="1" customWidth="1"/>
    <col min="5710" max="5710" width="11.6640625" style="339" bestFit="1" customWidth="1"/>
    <col min="5711" max="5711" width="11" style="339" bestFit="1" customWidth="1"/>
    <col min="5712" max="5712" width="11.6640625" style="339" bestFit="1" customWidth="1"/>
    <col min="5713" max="5713" width="11" style="339" bestFit="1" customWidth="1"/>
    <col min="5714" max="5714" width="13.33203125" style="339" bestFit="1" customWidth="1"/>
    <col min="5715" max="5715" width="17" style="339" bestFit="1" customWidth="1"/>
    <col min="5716" max="5716" width="14.1328125" style="339" bestFit="1" customWidth="1"/>
    <col min="5717" max="5718" width="16.33203125" style="339" bestFit="1" customWidth="1"/>
    <col min="5719" max="5719" width="14.33203125" style="339" bestFit="1" customWidth="1"/>
    <col min="5720" max="5720" width="15.1328125" style="339" bestFit="1" customWidth="1"/>
    <col min="5721" max="5721" width="12.6640625" style="339" bestFit="1" customWidth="1"/>
    <col min="5722" max="5722" width="11.6640625" style="339" bestFit="1" customWidth="1"/>
    <col min="5723" max="5723" width="11" style="339" bestFit="1" customWidth="1"/>
    <col min="5724" max="5724" width="11.6640625" style="339" bestFit="1" customWidth="1"/>
    <col min="5725" max="5725" width="11" style="339" bestFit="1" customWidth="1"/>
    <col min="5726" max="5726" width="13.33203125" style="339" bestFit="1" customWidth="1"/>
    <col min="5727" max="5728" width="17" style="339" bestFit="1" customWidth="1"/>
    <col min="5729" max="5892" width="9" style="339"/>
    <col min="5893" max="5893" width="12.1328125" style="339" customWidth="1"/>
    <col min="5894" max="5897" width="9" style="339"/>
    <col min="5898" max="5898" width="91.33203125" style="339" bestFit="1" customWidth="1"/>
    <col min="5899" max="5899" width="10.6640625" style="339" customWidth="1"/>
    <col min="5900" max="5900" width="14.1328125" style="339" bestFit="1" customWidth="1"/>
    <col min="5901" max="5902" width="16.33203125" style="339" bestFit="1" customWidth="1"/>
    <col min="5903" max="5903" width="14.33203125" style="339" bestFit="1" customWidth="1"/>
    <col min="5904" max="5904" width="15.1328125" style="339" bestFit="1" customWidth="1"/>
    <col min="5905" max="5905" width="12.6640625" style="339" bestFit="1" customWidth="1"/>
    <col min="5906" max="5906" width="11.6640625" style="339" bestFit="1" customWidth="1"/>
    <col min="5907" max="5907" width="11" style="339" bestFit="1" customWidth="1"/>
    <col min="5908" max="5908" width="13.6640625" style="339" bestFit="1" customWidth="1"/>
    <col min="5909" max="5909" width="11" style="339" bestFit="1" customWidth="1"/>
    <col min="5910" max="5910" width="13.33203125" style="339" bestFit="1" customWidth="1"/>
    <col min="5911" max="5911" width="17" style="339" bestFit="1" customWidth="1"/>
    <col min="5912" max="5912" width="14.1328125" style="339" bestFit="1" customWidth="1"/>
    <col min="5913" max="5914" width="16.33203125" style="339" bestFit="1" customWidth="1"/>
    <col min="5915" max="5915" width="14.33203125" style="339" bestFit="1" customWidth="1"/>
    <col min="5916" max="5916" width="15.1328125" style="339" bestFit="1" customWidth="1"/>
    <col min="5917" max="5917" width="12.6640625" style="339" bestFit="1" customWidth="1"/>
    <col min="5918" max="5918" width="11.6640625" style="339" bestFit="1" customWidth="1"/>
    <col min="5919" max="5919" width="11" style="339" bestFit="1" customWidth="1"/>
    <col min="5920" max="5920" width="11.6640625" style="339" bestFit="1" customWidth="1"/>
    <col min="5921" max="5921" width="11" style="339" bestFit="1" customWidth="1"/>
    <col min="5922" max="5922" width="13.33203125" style="339" bestFit="1" customWidth="1"/>
    <col min="5923" max="5923" width="17" style="339" bestFit="1" customWidth="1"/>
    <col min="5924" max="5924" width="14.1328125" style="339" bestFit="1" customWidth="1"/>
    <col min="5925" max="5926" width="16.33203125" style="339" bestFit="1" customWidth="1"/>
    <col min="5927" max="5927" width="14.33203125" style="339" bestFit="1" customWidth="1"/>
    <col min="5928" max="5928" width="15.1328125" style="339" bestFit="1" customWidth="1"/>
    <col min="5929" max="5929" width="12.6640625" style="339" bestFit="1" customWidth="1"/>
    <col min="5930" max="5930" width="11.6640625" style="339" bestFit="1" customWidth="1"/>
    <col min="5931" max="5931" width="11" style="339" bestFit="1" customWidth="1"/>
    <col min="5932" max="5932" width="11.6640625" style="339" bestFit="1" customWidth="1"/>
    <col min="5933" max="5933" width="11" style="339" bestFit="1" customWidth="1"/>
    <col min="5934" max="5934" width="13.33203125" style="339" bestFit="1" customWidth="1"/>
    <col min="5935" max="5935" width="17" style="339" bestFit="1" customWidth="1"/>
    <col min="5936" max="5936" width="14.1328125" style="339" bestFit="1" customWidth="1"/>
    <col min="5937" max="5938" width="16.33203125" style="339" bestFit="1" customWidth="1"/>
    <col min="5939" max="5939" width="14.33203125" style="339" bestFit="1" customWidth="1"/>
    <col min="5940" max="5940" width="15.1328125" style="339" bestFit="1" customWidth="1"/>
    <col min="5941" max="5941" width="12.6640625" style="339" bestFit="1" customWidth="1"/>
    <col min="5942" max="5942" width="11.6640625" style="339" bestFit="1" customWidth="1"/>
    <col min="5943" max="5943" width="11" style="339" bestFit="1" customWidth="1"/>
    <col min="5944" max="5944" width="11.6640625" style="339" bestFit="1" customWidth="1"/>
    <col min="5945" max="5945" width="11" style="339" bestFit="1" customWidth="1"/>
    <col min="5946" max="5946" width="13.33203125" style="339" bestFit="1" customWidth="1"/>
    <col min="5947" max="5947" width="17" style="339" bestFit="1" customWidth="1"/>
    <col min="5948" max="5948" width="14.1328125" style="339" bestFit="1" customWidth="1"/>
    <col min="5949" max="5950" width="16.33203125" style="339" bestFit="1" customWidth="1"/>
    <col min="5951" max="5951" width="14.33203125" style="339" bestFit="1" customWidth="1"/>
    <col min="5952" max="5952" width="15.1328125" style="339" bestFit="1" customWidth="1"/>
    <col min="5953" max="5953" width="12.6640625" style="339" bestFit="1" customWidth="1"/>
    <col min="5954" max="5954" width="11.6640625" style="339" bestFit="1" customWidth="1"/>
    <col min="5955" max="5955" width="11" style="339" bestFit="1" customWidth="1"/>
    <col min="5956" max="5956" width="11.6640625" style="339" bestFit="1" customWidth="1"/>
    <col min="5957" max="5957" width="11" style="339" bestFit="1" customWidth="1"/>
    <col min="5958" max="5958" width="13.33203125" style="339" bestFit="1" customWidth="1"/>
    <col min="5959" max="5959" width="17" style="339" bestFit="1" customWidth="1"/>
    <col min="5960" max="5960" width="14.1328125" style="339" bestFit="1" customWidth="1"/>
    <col min="5961" max="5962" width="16.33203125" style="339" bestFit="1" customWidth="1"/>
    <col min="5963" max="5963" width="14.33203125" style="339" bestFit="1" customWidth="1"/>
    <col min="5964" max="5964" width="15.1328125" style="339" bestFit="1" customWidth="1"/>
    <col min="5965" max="5965" width="12.6640625" style="339" bestFit="1" customWidth="1"/>
    <col min="5966" max="5966" width="11.6640625" style="339" bestFit="1" customWidth="1"/>
    <col min="5967" max="5967" width="11" style="339" bestFit="1" customWidth="1"/>
    <col min="5968" max="5968" width="11.6640625" style="339" bestFit="1" customWidth="1"/>
    <col min="5969" max="5969" width="11" style="339" bestFit="1" customWidth="1"/>
    <col min="5970" max="5970" width="13.33203125" style="339" bestFit="1" customWidth="1"/>
    <col min="5971" max="5971" width="17" style="339" bestFit="1" customWidth="1"/>
    <col min="5972" max="5972" width="14.1328125" style="339" bestFit="1" customWidth="1"/>
    <col min="5973" max="5974" width="16.33203125" style="339" bestFit="1" customWidth="1"/>
    <col min="5975" max="5975" width="14.33203125" style="339" bestFit="1" customWidth="1"/>
    <col min="5976" max="5976" width="15.1328125" style="339" bestFit="1" customWidth="1"/>
    <col min="5977" max="5977" width="12.6640625" style="339" bestFit="1" customWidth="1"/>
    <col min="5978" max="5978" width="11.6640625" style="339" bestFit="1" customWidth="1"/>
    <col min="5979" max="5979" width="11" style="339" bestFit="1" customWidth="1"/>
    <col min="5980" max="5980" width="11.6640625" style="339" bestFit="1" customWidth="1"/>
    <col min="5981" max="5981" width="11" style="339" bestFit="1" customWidth="1"/>
    <col min="5982" max="5982" width="13.33203125" style="339" bestFit="1" customWidth="1"/>
    <col min="5983" max="5984" width="17" style="339" bestFit="1" customWidth="1"/>
    <col min="5985" max="6148" width="9" style="339"/>
    <col min="6149" max="6149" width="12.1328125" style="339" customWidth="1"/>
    <col min="6150" max="6153" width="9" style="339"/>
    <col min="6154" max="6154" width="91.33203125" style="339" bestFit="1" customWidth="1"/>
    <col min="6155" max="6155" width="10.6640625" style="339" customWidth="1"/>
    <col min="6156" max="6156" width="14.1328125" style="339" bestFit="1" customWidth="1"/>
    <col min="6157" max="6158" width="16.33203125" style="339" bestFit="1" customWidth="1"/>
    <col min="6159" max="6159" width="14.33203125" style="339" bestFit="1" customWidth="1"/>
    <col min="6160" max="6160" width="15.1328125" style="339" bestFit="1" customWidth="1"/>
    <col min="6161" max="6161" width="12.6640625" style="339" bestFit="1" customWidth="1"/>
    <col min="6162" max="6162" width="11.6640625" style="339" bestFit="1" customWidth="1"/>
    <col min="6163" max="6163" width="11" style="339" bestFit="1" customWidth="1"/>
    <col min="6164" max="6164" width="13.6640625" style="339" bestFit="1" customWidth="1"/>
    <col min="6165" max="6165" width="11" style="339" bestFit="1" customWidth="1"/>
    <col min="6166" max="6166" width="13.33203125" style="339" bestFit="1" customWidth="1"/>
    <col min="6167" max="6167" width="17" style="339" bestFit="1" customWidth="1"/>
    <col min="6168" max="6168" width="14.1328125" style="339" bestFit="1" customWidth="1"/>
    <col min="6169" max="6170" width="16.33203125" style="339" bestFit="1" customWidth="1"/>
    <col min="6171" max="6171" width="14.33203125" style="339" bestFit="1" customWidth="1"/>
    <col min="6172" max="6172" width="15.1328125" style="339" bestFit="1" customWidth="1"/>
    <col min="6173" max="6173" width="12.6640625" style="339" bestFit="1" customWidth="1"/>
    <col min="6174" max="6174" width="11.6640625" style="339" bestFit="1" customWidth="1"/>
    <col min="6175" max="6175" width="11" style="339" bestFit="1" customWidth="1"/>
    <col min="6176" max="6176" width="11.6640625" style="339" bestFit="1" customWidth="1"/>
    <col min="6177" max="6177" width="11" style="339" bestFit="1" customWidth="1"/>
    <col min="6178" max="6178" width="13.33203125" style="339" bestFit="1" customWidth="1"/>
    <col min="6179" max="6179" width="17" style="339" bestFit="1" customWidth="1"/>
    <col min="6180" max="6180" width="14.1328125" style="339" bestFit="1" customWidth="1"/>
    <col min="6181" max="6182" width="16.33203125" style="339" bestFit="1" customWidth="1"/>
    <col min="6183" max="6183" width="14.33203125" style="339" bestFit="1" customWidth="1"/>
    <col min="6184" max="6184" width="15.1328125" style="339" bestFit="1" customWidth="1"/>
    <col min="6185" max="6185" width="12.6640625" style="339" bestFit="1" customWidth="1"/>
    <col min="6186" max="6186" width="11.6640625" style="339" bestFit="1" customWidth="1"/>
    <col min="6187" max="6187" width="11" style="339" bestFit="1" customWidth="1"/>
    <col min="6188" max="6188" width="11.6640625" style="339" bestFit="1" customWidth="1"/>
    <col min="6189" max="6189" width="11" style="339" bestFit="1" customWidth="1"/>
    <col min="6190" max="6190" width="13.33203125" style="339" bestFit="1" customWidth="1"/>
    <col min="6191" max="6191" width="17" style="339" bestFit="1" customWidth="1"/>
    <col min="6192" max="6192" width="14.1328125" style="339" bestFit="1" customWidth="1"/>
    <col min="6193" max="6194" width="16.33203125" style="339" bestFit="1" customWidth="1"/>
    <col min="6195" max="6195" width="14.33203125" style="339" bestFit="1" customWidth="1"/>
    <col min="6196" max="6196" width="15.1328125" style="339" bestFit="1" customWidth="1"/>
    <col min="6197" max="6197" width="12.6640625" style="339" bestFit="1" customWidth="1"/>
    <col min="6198" max="6198" width="11.6640625" style="339" bestFit="1" customWidth="1"/>
    <col min="6199" max="6199" width="11" style="339" bestFit="1" customWidth="1"/>
    <col min="6200" max="6200" width="11.6640625" style="339" bestFit="1" customWidth="1"/>
    <col min="6201" max="6201" width="11" style="339" bestFit="1" customWidth="1"/>
    <col min="6202" max="6202" width="13.33203125" style="339" bestFit="1" customWidth="1"/>
    <col min="6203" max="6203" width="17" style="339" bestFit="1" customWidth="1"/>
    <col min="6204" max="6204" width="14.1328125" style="339" bestFit="1" customWidth="1"/>
    <col min="6205" max="6206" width="16.33203125" style="339" bestFit="1" customWidth="1"/>
    <col min="6207" max="6207" width="14.33203125" style="339" bestFit="1" customWidth="1"/>
    <col min="6208" max="6208" width="15.1328125" style="339" bestFit="1" customWidth="1"/>
    <col min="6209" max="6209" width="12.6640625" style="339" bestFit="1" customWidth="1"/>
    <col min="6210" max="6210" width="11.6640625" style="339" bestFit="1" customWidth="1"/>
    <col min="6211" max="6211" width="11" style="339" bestFit="1" customWidth="1"/>
    <col min="6212" max="6212" width="11.6640625" style="339" bestFit="1" customWidth="1"/>
    <col min="6213" max="6213" width="11" style="339" bestFit="1" customWidth="1"/>
    <col min="6214" max="6214" width="13.33203125" style="339" bestFit="1" customWidth="1"/>
    <col min="6215" max="6215" width="17" style="339" bestFit="1" customWidth="1"/>
    <col min="6216" max="6216" width="14.1328125" style="339" bestFit="1" customWidth="1"/>
    <col min="6217" max="6218" width="16.33203125" style="339" bestFit="1" customWidth="1"/>
    <col min="6219" max="6219" width="14.33203125" style="339" bestFit="1" customWidth="1"/>
    <col min="6220" max="6220" width="15.1328125" style="339" bestFit="1" customWidth="1"/>
    <col min="6221" max="6221" width="12.6640625" style="339" bestFit="1" customWidth="1"/>
    <col min="6222" max="6222" width="11.6640625" style="339" bestFit="1" customWidth="1"/>
    <col min="6223" max="6223" width="11" style="339" bestFit="1" customWidth="1"/>
    <col min="6224" max="6224" width="11.6640625" style="339" bestFit="1" customWidth="1"/>
    <col min="6225" max="6225" width="11" style="339" bestFit="1" customWidth="1"/>
    <col min="6226" max="6226" width="13.33203125" style="339" bestFit="1" customWidth="1"/>
    <col min="6227" max="6227" width="17" style="339" bestFit="1" customWidth="1"/>
    <col min="6228" max="6228" width="14.1328125" style="339" bestFit="1" customWidth="1"/>
    <col min="6229" max="6230" width="16.33203125" style="339" bestFit="1" customWidth="1"/>
    <col min="6231" max="6231" width="14.33203125" style="339" bestFit="1" customWidth="1"/>
    <col min="6232" max="6232" width="15.1328125" style="339" bestFit="1" customWidth="1"/>
    <col min="6233" max="6233" width="12.6640625" style="339" bestFit="1" customWidth="1"/>
    <col min="6234" max="6234" width="11.6640625" style="339" bestFit="1" customWidth="1"/>
    <col min="6235" max="6235" width="11" style="339" bestFit="1" customWidth="1"/>
    <col min="6236" max="6236" width="11.6640625" style="339" bestFit="1" customWidth="1"/>
    <col min="6237" max="6237" width="11" style="339" bestFit="1" customWidth="1"/>
    <col min="6238" max="6238" width="13.33203125" style="339" bestFit="1" customWidth="1"/>
    <col min="6239" max="6240" width="17" style="339" bestFit="1" customWidth="1"/>
    <col min="6241" max="6404" width="9" style="339"/>
    <col min="6405" max="6405" width="12.1328125" style="339" customWidth="1"/>
    <col min="6406" max="6409" width="9" style="339"/>
    <col min="6410" max="6410" width="91.33203125" style="339" bestFit="1" customWidth="1"/>
    <col min="6411" max="6411" width="10.6640625" style="339" customWidth="1"/>
    <col min="6412" max="6412" width="14.1328125" style="339" bestFit="1" customWidth="1"/>
    <col min="6413" max="6414" width="16.33203125" style="339" bestFit="1" customWidth="1"/>
    <col min="6415" max="6415" width="14.33203125" style="339" bestFit="1" customWidth="1"/>
    <col min="6416" max="6416" width="15.1328125" style="339" bestFit="1" customWidth="1"/>
    <col min="6417" max="6417" width="12.6640625" style="339" bestFit="1" customWidth="1"/>
    <col min="6418" max="6418" width="11.6640625" style="339" bestFit="1" customWidth="1"/>
    <col min="6419" max="6419" width="11" style="339" bestFit="1" customWidth="1"/>
    <col min="6420" max="6420" width="13.6640625" style="339" bestFit="1" customWidth="1"/>
    <col min="6421" max="6421" width="11" style="339" bestFit="1" customWidth="1"/>
    <col min="6422" max="6422" width="13.33203125" style="339" bestFit="1" customWidth="1"/>
    <col min="6423" max="6423" width="17" style="339" bestFit="1" customWidth="1"/>
    <col min="6424" max="6424" width="14.1328125" style="339" bestFit="1" customWidth="1"/>
    <col min="6425" max="6426" width="16.33203125" style="339" bestFit="1" customWidth="1"/>
    <col min="6427" max="6427" width="14.33203125" style="339" bestFit="1" customWidth="1"/>
    <col min="6428" max="6428" width="15.1328125" style="339" bestFit="1" customWidth="1"/>
    <col min="6429" max="6429" width="12.6640625" style="339" bestFit="1" customWidth="1"/>
    <col min="6430" max="6430" width="11.6640625" style="339" bestFit="1" customWidth="1"/>
    <col min="6431" max="6431" width="11" style="339" bestFit="1" customWidth="1"/>
    <col min="6432" max="6432" width="11.6640625" style="339" bestFit="1" customWidth="1"/>
    <col min="6433" max="6433" width="11" style="339" bestFit="1" customWidth="1"/>
    <col min="6434" max="6434" width="13.33203125" style="339" bestFit="1" customWidth="1"/>
    <col min="6435" max="6435" width="17" style="339" bestFit="1" customWidth="1"/>
    <col min="6436" max="6436" width="14.1328125" style="339" bestFit="1" customWidth="1"/>
    <col min="6437" max="6438" width="16.33203125" style="339" bestFit="1" customWidth="1"/>
    <col min="6439" max="6439" width="14.33203125" style="339" bestFit="1" customWidth="1"/>
    <col min="6440" max="6440" width="15.1328125" style="339" bestFit="1" customWidth="1"/>
    <col min="6441" max="6441" width="12.6640625" style="339" bestFit="1" customWidth="1"/>
    <col min="6442" max="6442" width="11.6640625" style="339" bestFit="1" customWidth="1"/>
    <col min="6443" max="6443" width="11" style="339" bestFit="1" customWidth="1"/>
    <col min="6444" max="6444" width="11.6640625" style="339" bestFit="1" customWidth="1"/>
    <col min="6445" max="6445" width="11" style="339" bestFit="1" customWidth="1"/>
    <col min="6446" max="6446" width="13.33203125" style="339" bestFit="1" customWidth="1"/>
    <col min="6447" max="6447" width="17" style="339" bestFit="1" customWidth="1"/>
    <col min="6448" max="6448" width="14.1328125" style="339" bestFit="1" customWidth="1"/>
    <col min="6449" max="6450" width="16.33203125" style="339" bestFit="1" customWidth="1"/>
    <col min="6451" max="6451" width="14.33203125" style="339" bestFit="1" customWidth="1"/>
    <col min="6452" max="6452" width="15.1328125" style="339" bestFit="1" customWidth="1"/>
    <col min="6453" max="6453" width="12.6640625" style="339" bestFit="1" customWidth="1"/>
    <col min="6454" max="6454" width="11.6640625" style="339" bestFit="1" customWidth="1"/>
    <col min="6455" max="6455" width="11" style="339" bestFit="1" customWidth="1"/>
    <col min="6456" max="6456" width="11.6640625" style="339" bestFit="1" customWidth="1"/>
    <col min="6457" max="6457" width="11" style="339" bestFit="1" customWidth="1"/>
    <col min="6458" max="6458" width="13.33203125" style="339" bestFit="1" customWidth="1"/>
    <col min="6459" max="6459" width="17" style="339" bestFit="1" customWidth="1"/>
    <col min="6460" max="6460" width="14.1328125" style="339" bestFit="1" customWidth="1"/>
    <col min="6461" max="6462" width="16.33203125" style="339" bestFit="1" customWidth="1"/>
    <col min="6463" max="6463" width="14.33203125" style="339" bestFit="1" customWidth="1"/>
    <col min="6464" max="6464" width="15.1328125" style="339" bestFit="1" customWidth="1"/>
    <col min="6465" max="6465" width="12.6640625" style="339" bestFit="1" customWidth="1"/>
    <col min="6466" max="6466" width="11.6640625" style="339" bestFit="1" customWidth="1"/>
    <col min="6467" max="6467" width="11" style="339" bestFit="1" customWidth="1"/>
    <col min="6468" max="6468" width="11.6640625" style="339" bestFit="1" customWidth="1"/>
    <col min="6469" max="6469" width="11" style="339" bestFit="1" customWidth="1"/>
    <col min="6470" max="6470" width="13.33203125" style="339" bestFit="1" customWidth="1"/>
    <col min="6471" max="6471" width="17" style="339" bestFit="1" customWidth="1"/>
    <col min="6472" max="6472" width="14.1328125" style="339" bestFit="1" customWidth="1"/>
    <col min="6473" max="6474" width="16.33203125" style="339" bestFit="1" customWidth="1"/>
    <col min="6475" max="6475" width="14.33203125" style="339" bestFit="1" customWidth="1"/>
    <col min="6476" max="6476" width="15.1328125" style="339" bestFit="1" customWidth="1"/>
    <col min="6477" max="6477" width="12.6640625" style="339" bestFit="1" customWidth="1"/>
    <col min="6478" max="6478" width="11.6640625" style="339" bestFit="1" customWidth="1"/>
    <col min="6479" max="6479" width="11" style="339" bestFit="1" customWidth="1"/>
    <col min="6480" max="6480" width="11.6640625" style="339" bestFit="1" customWidth="1"/>
    <col min="6481" max="6481" width="11" style="339" bestFit="1" customWidth="1"/>
    <col min="6482" max="6482" width="13.33203125" style="339" bestFit="1" customWidth="1"/>
    <col min="6483" max="6483" width="17" style="339" bestFit="1" customWidth="1"/>
    <col min="6484" max="6484" width="14.1328125" style="339" bestFit="1" customWidth="1"/>
    <col min="6485" max="6486" width="16.33203125" style="339" bestFit="1" customWidth="1"/>
    <col min="6487" max="6487" width="14.33203125" style="339" bestFit="1" customWidth="1"/>
    <col min="6488" max="6488" width="15.1328125" style="339" bestFit="1" customWidth="1"/>
    <col min="6489" max="6489" width="12.6640625" style="339" bestFit="1" customWidth="1"/>
    <col min="6490" max="6490" width="11.6640625" style="339" bestFit="1" customWidth="1"/>
    <col min="6491" max="6491" width="11" style="339" bestFit="1" customWidth="1"/>
    <col min="6492" max="6492" width="11.6640625" style="339" bestFit="1" customWidth="1"/>
    <col min="6493" max="6493" width="11" style="339" bestFit="1" customWidth="1"/>
    <col min="6494" max="6494" width="13.33203125" style="339" bestFit="1" customWidth="1"/>
    <col min="6495" max="6496" width="17" style="339" bestFit="1" customWidth="1"/>
    <col min="6497" max="6660" width="9" style="339"/>
    <col min="6661" max="6661" width="12.1328125" style="339" customWidth="1"/>
    <col min="6662" max="6665" width="9" style="339"/>
    <col min="6666" max="6666" width="91.33203125" style="339" bestFit="1" customWidth="1"/>
    <col min="6667" max="6667" width="10.6640625" style="339" customWidth="1"/>
    <col min="6668" max="6668" width="14.1328125" style="339" bestFit="1" customWidth="1"/>
    <col min="6669" max="6670" width="16.33203125" style="339" bestFit="1" customWidth="1"/>
    <col min="6671" max="6671" width="14.33203125" style="339" bestFit="1" customWidth="1"/>
    <col min="6672" max="6672" width="15.1328125" style="339" bestFit="1" customWidth="1"/>
    <col min="6673" max="6673" width="12.6640625" style="339" bestFit="1" customWidth="1"/>
    <col min="6674" max="6674" width="11.6640625" style="339" bestFit="1" customWidth="1"/>
    <col min="6675" max="6675" width="11" style="339" bestFit="1" customWidth="1"/>
    <col min="6676" max="6676" width="13.6640625" style="339" bestFit="1" customWidth="1"/>
    <col min="6677" max="6677" width="11" style="339" bestFit="1" customWidth="1"/>
    <col min="6678" max="6678" width="13.33203125" style="339" bestFit="1" customWidth="1"/>
    <col min="6679" max="6679" width="17" style="339" bestFit="1" customWidth="1"/>
    <col min="6680" max="6680" width="14.1328125" style="339" bestFit="1" customWidth="1"/>
    <col min="6681" max="6682" width="16.33203125" style="339" bestFit="1" customWidth="1"/>
    <col min="6683" max="6683" width="14.33203125" style="339" bestFit="1" customWidth="1"/>
    <col min="6684" max="6684" width="15.1328125" style="339" bestFit="1" customWidth="1"/>
    <col min="6685" max="6685" width="12.6640625" style="339" bestFit="1" customWidth="1"/>
    <col min="6686" max="6686" width="11.6640625" style="339" bestFit="1" customWidth="1"/>
    <col min="6687" max="6687" width="11" style="339" bestFit="1" customWidth="1"/>
    <col min="6688" max="6688" width="11.6640625" style="339" bestFit="1" customWidth="1"/>
    <col min="6689" max="6689" width="11" style="339" bestFit="1" customWidth="1"/>
    <col min="6690" max="6690" width="13.33203125" style="339" bestFit="1" customWidth="1"/>
    <col min="6691" max="6691" width="17" style="339" bestFit="1" customWidth="1"/>
    <col min="6692" max="6692" width="14.1328125" style="339" bestFit="1" customWidth="1"/>
    <col min="6693" max="6694" width="16.33203125" style="339" bestFit="1" customWidth="1"/>
    <col min="6695" max="6695" width="14.33203125" style="339" bestFit="1" customWidth="1"/>
    <col min="6696" max="6696" width="15.1328125" style="339" bestFit="1" customWidth="1"/>
    <col min="6697" max="6697" width="12.6640625" style="339" bestFit="1" customWidth="1"/>
    <col min="6698" max="6698" width="11.6640625" style="339" bestFit="1" customWidth="1"/>
    <col min="6699" max="6699" width="11" style="339" bestFit="1" customWidth="1"/>
    <col min="6700" max="6700" width="11.6640625" style="339" bestFit="1" customWidth="1"/>
    <col min="6701" max="6701" width="11" style="339" bestFit="1" customWidth="1"/>
    <col min="6702" max="6702" width="13.33203125" style="339" bestFit="1" customWidth="1"/>
    <col min="6703" max="6703" width="17" style="339" bestFit="1" customWidth="1"/>
    <col min="6704" max="6704" width="14.1328125" style="339" bestFit="1" customWidth="1"/>
    <col min="6705" max="6706" width="16.33203125" style="339" bestFit="1" customWidth="1"/>
    <col min="6707" max="6707" width="14.33203125" style="339" bestFit="1" customWidth="1"/>
    <col min="6708" max="6708" width="15.1328125" style="339" bestFit="1" customWidth="1"/>
    <col min="6709" max="6709" width="12.6640625" style="339" bestFit="1" customWidth="1"/>
    <col min="6710" max="6710" width="11.6640625" style="339" bestFit="1" customWidth="1"/>
    <col min="6711" max="6711" width="11" style="339" bestFit="1" customWidth="1"/>
    <col min="6712" max="6712" width="11.6640625" style="339" bestFit="1" customWidth="1"/>
    <col min="6713" max="6713" width="11" style="339" bestFit="1" customWidth="1"/>
    <col min="6714" max="6714" width="13.33203125" style="339" bestFit="1" customWidth="1"/>
    <col min="6715" max="6715" width="17" style="339" bestFit="1" customWidth="1"/>
    <col min="6716" max="6716" width="14.1328125" style="339" bestFit="1" customWidth="1"/>
    <col min="6717" max="6718" width="16.33203125" style="339" bestFit="1" customWidth="1"/>
    <col min="6719" max="6719" width="14.33203125" style="339" bestFit="1" customWidth="1"/>
    <col min="6720" max="6720" width="15.1328125" style="339" bestFit="1" customWidth="1"/>
    <col min="6721" max="6721" width="12.6640625" style="339" bestFit="1" customWidth="1"/>
    <col min="6722" max="6722" width="11.6640625" style="339" bestFit="1" customWidth="1"/>
    <col min="6723" max="6723" width="11" style="339" bestFit="1" customWidth="1"/>
    <col min="6724" max="6724" width="11.6640625" style="339" bestFit="1" customWidth="1"/>
    <col min="6725" max="6725" width="11" style="339" bestFit="1" customWidth="1"/>
    <col min="6726" max="6726" width="13.33203125" style="339" bestFit="1" customWidth="1"/>
    <col min="6727" max="6727" width="17" style="339" bestFit="1" customWidth="1"/>
    <col min="6728" max="6728" width="14.1328125" style="339" bestFit="1" customWidth="1"/>
    <col min="6729" max="6730" width="16.33203125" style="339" bestFit="1" customWidth="1"/>
    <col min="6731" max="6731" width="14.33203125" style="339" bestFit="1" customWidth="1"/>
    <col min="6732" max="6732" width="15.1328125" style="339" bestFit="1" customWidth="1"/>
    <col min="6733" max="6733" width="12.6640625" style="339" bestFit="1" customWidth="1"/>
    <col min="6734" max="6734" width="11.6640625" style="339" bestFit="1" customWidth="1"/>
    <col min="6735" max="6735" width="11" style="339" bestFit="1" customWidth="1"/>
    <col min="6736" max="6736" width="11.6640625" style="339" bestFit="1" customWidth="1"/>
    <col min="6737" max="6737" width="11" style="339" bestFit="1" customWidth="1"/>
    <col min="6738" max="6738" width="13.33203125" style="339" bestFit="1" customWidth="1"/>
    <col min="6739" max="6739" width="17" style="339" bestFit="1" customWidth="1"/>
    <col min="6740" max="6740" width="14.1328125" style="339" bestFit="1" customWidth="1"/>
    <col min="6741" max="6742" width="16.33203125" style="339" bestFit="1" customWidth="1"/>
    <col min="6743" max="6743" width="14.33203125" style="339" bestFit="1" customWidth="1"/>
    <col min="6744" max="6744" width="15.1328125" style="339" bestFit="1" customWidth="1"/>
    <col min="6745" max="6745" width="12.6640625" style="339" bestFit="1" customWidth="1"/>
    <col min="6746" max="6746" width="11.6640625" style="339" bestFit="1" customWidth="1"/>
    <col min="6747" max="6747" width="11" style="339" bestFit="1" customWidth="1"/>
    <col min="6748" max="6748" width="11.6640625" style="339" bestFit="1" customWidth="1"/>
    <col min="6749" max="6749" width="11" style="339" bestFit="1" customWidth="1"/>
    <col min="6750" max="6750" width="13.33203125" style="339" bestFit="1" customWidth="1"/>
    <col min="6751" max="6752" width="17" style="339" bestFit="1" customWidth="1"/>
    <col min="6753" max="6916" width="9" style="339"/>
    <col min="6917" max="6917" width="12.1328125" style="339" customWidth="1"/>
    <col min="6918" max="6921" width="9" style="339"/>
    <col min="6922" max="6922" width="91.33203125" style="339" bestFit="1" customWidth="1"/>
    <col min="6923" max="6923" width="10.6640625" style="339" customWidth="1"/>
    <col min="6924" max="6924" width="14.1328125" style="339" bestFit="1" customWidth="1"/>
    <col min="6925" max="6926" width="16.33203125" style="339" bestFit="1" customWidth="1"/>
    <col min="6927" max="6927" width="14.33203125" style="339" bestFit="1" customWidth="1"/>
    <col min="6928" max="6928" width="15.1328125" style="339" bestFit="1" customWidth="1"/>
    <col min="6929" max="6929" width="12.6640625" style="339" bestFit="1" customWidth="1"/>
    <col min="6930" max="6930" width="11.6640625" style="339" bestFit="1" customWidth="1"/>
    <col min="6931" max="6931" width="11" style="339" bestFit="1" customWidth="1"/>
    <col min="6932" max="6932" width="13.6640625" style="339" bestFit="1" customWidth="1"/>
    <col min="6933" max="6933" width="11" style="339" bestFit="1" customWidth="1"/>
    <col min="6934" max="6934" width="13.33203125" style="339" bestFit="1" customWidth="1"/>
    <col min="6935" max="6935" width="17" style="339" bestFit="1" customWidth="1"/>
    <col min="6936" max="6936" width="14.1328125" style="339" bestFit="1" customWidth="1"/>
    <col min="6937" max="6938" width="16.33203125" style="339" bestFit="1" customWidth="1"/>
    <col min="6939" max="6939" width="14.33203125" style="339" bestFit="1" customWidth="1"/>
    <col min="6940" max="6940" width="15.1328125" style="339" bestFit="1" customWidth="1"/>
    <col min="6941" max="6941" width="12.6640625" style="339" bestFit="1" customWidth="1"/>
    <col min="6942" max="6942" width="11.6640625" style="339" bestFit="1" customWidth="1"/>
    <col min="6943" max="6943" width="11" style="339" bestFit="1" customWidth="1"/>
    <col min="6944" max="6944" width="11.6640625" style="339" bestFit="1" customWidth="1"/>
    <col min="6945" max="6945" width="11" style="339" bestFit="1" customWidth="1"/>
    <col min="6946" max="6946" width="13.33203125" style="339" bestFit="1" customWidth="1"/>
    <col min="6947" max="6947" width="17" style="339" bestFit="1" customWidth="1"/>
    <col min="6948" max="6948" width="14.1328125" style="339" bestFit="1" customWidth="1"/>
    <col min="6949" max="6950" width="16.33203125" style="339" bestFit="1" customWidth="1"/>
    <col min="6951" max="6951" width="14.33203125" style="339" bestFit="1" customWidth="1"/>
    <col min="6952" max="6952" width="15.1328125" style="339" bestFit="1" customWidth="1"/>
    <col min="6953" max="6953" width="12.6640625" style="339" bestFit="1" customWidth="1"/>
    <col min="6954" max="6954" width="11.6640625" style="339" bestFit="1" customWidth="1"/>
    <col min="6955" max="6955" width="11" style="339" bestFit="1" customWidth="1"/>
    <col min="6956" max="6956" width="11.6640625" style="339" bestFit="1" customWidth="1"/>
    <col min="6957" max="6957" width="11" style="339" bestFit="1" customWidth="1"/>
    <col min="6958" max="6958" width="13.33203125" style="339" bestFit="1" customWidth="1"/>
    <col min="6959" max="6959" width="17" style="339" bestFit="1" customWidth="1"/>
    <col min="6960" max="6960" width="14.1328125" style="339" bestFit="1" customWidth="1"/>
    <col min="6961" max="6962" width="16.33203125" style="339" bestFit="1" customWidth="1"/>
    <col min="6963" max="6963" width="14.33203125" style="339" bestFit="1" customWidth="1"/>
    <col min="6964" max="6964" width="15.1328125" style="339" bestFit="1" customWidth="1"/>
    <col min="6965" max="6965" width="12.6640625" style="339" bestFit="1" customWidth="1"/>
    <col min="6966" max="6966" width="11.6640625" style="339" bestFit="1" customWidth="1"/>
    <col min="6967" max="6967" width="11" style="339" bestFit="1" customWidth="1"/>
    <col min="6968" max="6968" width="11.6640625" style="339" bestFit="1" customWidth="1"/>
    <col min="6969" max="6969" width="11" style="339" bestFit="1" customWidth="1"/>
    <col min="6970" max="6970" width="13.33203125" style="339" bestFit="1" customWidth="1"/>
    <col min="6971" max="6971" width="17" style="339" bestFit="1" customWidth="1"/>
    <col min="6972" max="6972" width="14.1328125" style="339" bestFit="1" customWidth="1"/>
    <col min="6973" max="6974" width="16.33203125" style="339" bestFit="1" customWidth="1"/>
    <col min="6975" max="6975" width="14.33203125" style="339" bestFit="1" customWidth="1"/>
    <col min="6976" max="6976" width="15.1328125" style="339" bestFit="1" customWidth="1"/>
    <col min="6977" max="6977" width="12.6640625" style="339" bestFit="1" customWidth="1"/>
    <col min="6978" max="6978" width="11.6640625" style="339" bestFit="1" customWidth="1"/>
    <col min="6979" max="6979" width="11" style="339" bestFit="1" customWidth="1"/>
    <col min="6980" max="6980" width="11.6640625" style="339" bestFit="1" customWidth="1"/>
    <col min="6981" max="6981" width="11" style="339" bestFit="1" customWidth="1"/>
    <col min="6982" max="6982" width="13.33203125" style="339" bestFit="1" customWidth="1"/>
    <col min="6983" max="6983" width="17" style="339" bestFit="1" customWidth="1"/>
    <col min="6984" max="6984" width="14.1328125" style="339" bestFit="1" customWidth="1"/>
    <col min="6985" max="6986" width="16.33203125" style="339" bestFit="1" customWidth="1"/>
    <col min="6987" max="6987" width="14.33203125" style="339" bestFit="1" customWidth="1"/>
    <col min="6988" max="6988" width="15.1328125" style="339" bestFit="1" customWidth="1"/>
    <col min="6989" max="6989" width="12.6640625" style="339" bestFit="1" customWidth="1"/>
    <col min="6990" max="6990" width="11.6640625" style="339" bestFit="1" customWidth="1"/>
    <col min="6991" max="6991" width="11" style="339" bestFit="1" customWidth="1"/>
    <col min="6992" max="6992" width="11.6640625" style="339" bestFit="1" customWidth="1"/>
    <col min="6993" max="6993" width="11" style="339" bestFit="1" customWidth="1"/>
    <col min="6994" max="6994" width="13.33203125" style="339" bestFit="1" customWidth="1"/>
    <col min="6995" max="6995" width="17" style="339" bestFit="1" customWidth="1"/>
    <col min="6996" max="6996" width="14.1328125" style="339" bestFit="1" customWidth="1"/>
    <col min="6997" max="6998" width="16.33203125" style="339" bestFit="1" customWidth="1"/>
    <col min="6999" max="6999" width="14.33203125" style="339" bestFit="1" customWidth="1"/>
    <col min="7000" max="7000" width="15.1328125" style="339" bestFit="1" customWidth="1"/>
    <col min="7001" max="7001" width="12.6640625" style="339" bestFit="1" customWidth="1"/>
    <col min="7002" max="7002" width="11.6640625" style="339" bestFit="1" customWidth="1"/>
    <col min="7003" max="7003" width="11" style="339" bestFit="1" customWidth="1"/>
    <col min="7004" max="7004" width="11.6640625" style="339" bestFit="1" customWidth="1"/>
    <col min="7005" max="7005" width="11" style="339" bestFit="1" customWidth="1"/>
    <col min="7006" max="7006" width="13.33203125" style="339" bestFit="1" customWidth="1"/>
    <col min="7007" max="7008" width="17" style="339" bestFit="1" customWidth="1"/>
    <col min="7009" max="7172" width="9" style="339"/>
    <col min="7173" max="7173" width="12.1328125" style="339" customWidth="1"/>
    <col min="7174" max="7177" width="9" style="339"/>
    <col min="7178" max="7178" width="91.33203125" style="339" bestFit="1" customWidth="1"/>
    <col min="7179" max="7179" width="10.6640625" style="339" customWidth="1"/>
    <col min="7180" max="7180" width="14.1328125" style="339" bestFit="1" customWidth="1"/>
    <col min="7181" max="7182" width="16.33203125" style="339" bestFit="1" customWidth="1"/>
    <col min="7183" max="7183" width="14.33203125" style="339" bestFit="1" customWidth="1"/>
    <col min="7184" max="7184" width="15.1328125" style="339" bestFit="1" customWidth="1"/>
    <col min="7185" max="7185" width="12.6640625" style="339" bestFit="1" customWidth="1"/>
    <col min="7186" max="7186" width="11.6640625" style="339" bestFit="1" customWidth="1"/>
    <col min="7187" max="7187" width="11" style="339" bestFit="1" customWidth="1"/>
    <col min="7188" max="7188" width="13.6640625" style="339" bestFit="1" customWidth="1"/>
    <col min="7189" max="7189" width="11" style="339" bestFit="1" customWidth="1"/>
    <col min="7190" max="7190" width="13.33203125" style="339" bestFit="1" customWidth="1"/>
    <col min="7191" max="7191" width="17" style="339" bestFit="1" customWidth="1"/>
    <col min="7192" max="7192" width="14.1328125" style="339" bestFit="1" customWidth="1"/>
    <col min="7193" max="7194" width="16.33203125" style="339" bestFit="1" customWidth="1"/>
    <col min="7195" max="7195" width="14.33203125" style="339" bestFit="1" customWidth="1"/>
    <col min="7196" max="7196" width="15.1328125" style="339" bestFit="1" customWidth="1"/>
    <col min="7197" max="7197" width="12.6640625" style="339" bestFit="1" customWidth="1"/>
    <col min="7198" max="7198" width="11.6640625" style="339" bestFit="1" customWidth="1"/>
    <col min="7199" max="7199" width="11" style="339" bestFit="1" customWidth="1"/>
    <col min="7200" max="7200" width="11.6640625" style="339" bestFit="1" customWidth="1"/>
    <col min="7201" max="7201" width="11" style="339" bestFit="1" customWidth="1"/>
    <col min="7202" max="7202" width="13.33203125" style="339" bestFit="1" customWidth="1"/>
    <col min="7203" max="7203" width="17" style="339" bestFit="1" customWidth="1"/>
    <col min="7204" max="7204" width="14.1328125" style="339" bestFit="1" customWidth="1"/>
    <col min="7205" max="7206" width="16.33203125" style="339" bestFit="1" customWidth="1"/>
    <col min="7207" max="7207" width="14.33203125" style="339" bestFit="1" customWidth="1"/>
    <col min="7208" max="7208" width="15.1328125" style="339" bestFit="1" customWidth="1"/>
    <col min="7209" max="7209" width="12.6640625" style="339" bestFit="1" customWidth="1"/>
    <col min="7210" max="7210" width="11.6640625" style="339" bestFit="1" customWidth="1"/>
    <col min="7211" max="7211" width="11" style="339" bestFit="1" customWidth="1"/>
    <col min="7212" max="7212" width="11.6640625" style="339" bestFit="1" customWidth="1"/>
    <col min="7213" max="7213" width="11" style="339" bestFit="1" customWidth="1"/>
    <col min="7214" max="7214" width="13.33203125" style="339" bestFit="1" customWidth="1"/>
    <col min="7215" max="7215" width="17" style="339" bestFit="1" customWidth="1"/>
    <col min="7216" max="7216" width="14.1328125" style="339" bestFit="1" customWidth="1"/>
    <col min="7217" max="7218" width="16.33203125" style="339" bestFit="1" customWidth="1"/>
    <col min="7219" max="7219" width="14.33203125" style="339" bestFit="1" customWidth="1"/>
    <col min="7220" max="7220" width="15.1328125" style="339" bestFit="1" customWidth="1"/>
    <col min="7221" max="7221" width="12.6640625" style="339" bestFit="1" customWidth="1"/>
    <col min="7222" max="7222" width="11.6640625" style="339" bestFit="1" customWidth="1"/>
    <col min="7223" max="7223" width="11" style="339" bestFit="1" customWidth="1"/>
    <col min="7224" max="7224" width="11.6640625" style="339" bestFit="1" customWidth="1"/>
    <col min="7225" max="7225" width="11" style="339" bestFit="1" customWidth="1"/>
    <col min="7226" max="7226" width="13.33203125" style="339" bestFit="1" customWidth="1"/>
    <col min="7227" max="7227" width="17" style="339" bestFit="1" customWidth="1"/>
    <col min="7228" max="7228" width="14.1328125" style="339" bestFit="1" customWidth="1"/>
    <col min="7229" max="7230" width="16.33203125" style="339" bestFit="1" customWidth="1"/>
    <col min="7231" max="7231" width="14.33203125" style="339" bestFit="1" customWidth="1"/>
    <col min="7232" max="7232" width="15.1328125" style="339" bestFit="1" customWidth="1"/>
    <col min="7233" max="7233" width="12.6640625" style="339" bestFit="1" customWidth="1"/>
    <col min="7234" max="7234" width="11.6640625" style="339" bestFit="1" customWidth="1"/>
    <col min="7235" max="7235" width="11" style="339" bestFit="1" customWidth="1"/>
    <col min="7236" max="7236" width="11.6640625" style="339" bestFit="1" customWidth="1"/>
    <col min="7237" max="7237" width="11" style="339" bestFit="1" customWidth="1"/>
    <col min="7238" max="7238" width="13.33203125" style="339" bestFit="1" customWidth="1"/>
    <col min="7239" max="7239" width="17" style="339" bestFit="1" customWidth="1"/>
    <col min="7240" max="7240" width="14.1328125" style="339" bestFit="1" customWidth="1"/>
    <col min="7241" max="7242" width="16.33203125" style="339" bestFit="1" customWidth="1"/>
    <col min="7243" max="7243" width="14.33203125" style="339" bestFit="1" customWidth="1"/>
    <col min="7244" max="7244" width="15.1328125" style="339" bestFit="1" customWidth="1"/>
    <col min="7245" max="7245" width="12.6640625" style="339" bestFit="1" customWidth="1"/>
    <col min="7246" max="7246" width="11.6640625" style="339" bestFit="1" customWidth="1"/>
    <col min="7247" max="7247" width="11" style="339" bestFit="1" customWidth="1"/>
    <col min="7248" max="7248" width="11.6640625" style="339" bestFit="1" customWidth="1"/>
    <col min="7249" max="7249" width="11" style="339" bestFit="1" customWidth="1"/>
    <col min="7250" max="7250" width="13.33203125" style="339" bestFit="1" customWidth="1"/>
    <col min="7251" max="7251" width="17" style="339" bestFit="1" customWidth="1"/>
    <col min="7252" max="7252" width="14.1328125" style="339" bestFit="1" customWidth="1"/>
    <col min="7253" max="7254" width="16.33203125" style="339" bestFit="1" customWidth="1"/>
    <col min="7255" max="7255" width="14.33203125" style="339" bestFit="1" customWidth="1"/>
    <col min="7256" max="7256" width="15.1328125" style="339" bestFit="1" customWidth="1"/>
    <col min="7257" max="7257" width="12.6640625" style="339" bestFit="1" customWidth="1"/>
    <col min="7258" max="7258" width="11.6640625" style="339" bestFit="1" customWidth="1"/>
    <col min="7259" max="7259" width="11" style="339" bestFit="1" customWidth="1"/>
    <col min="7260" max="7260" width="11.6640625" style="339" bestFit="1" customWidth="1"/>
    <col min="7261" max="7261" width="11" style="339" bestFit="1" customWidth="1"/>
    <col min="7262" max="7262" width="13.33203125" style="339" bestFit="1" customWidth="1"/>
    <col min="7263" max="7264" width="17" style="339" bestFit="1" customWidth="1"/>
    <col min="7265" max="7428" width="9" style="339"/>
    <col min="7429" max="7429" width="12.1328125" style="339" customWidth="1"/>
    <col min="7430" max="7433" width="9" style="339"/>
    <col min="7434" max="7434" width="91.33203125" style="339" bestFit="1" customWidth="1"/>
    <col min="7435" max="7435" width="10.6640625" style="339" customWidth="1"/>
    <col min="7436" max="7436" width="14.1328125" style="339" bestFit="1" customWidth="1"/>
    <col min="7437" max="7438" width="16.33203125" style="339" bestFit="1" customWidth="1"/>
    <col min="7439" max="7439" width="14.33203125" style="339" bestFit="1" customWidth="1"/>
    <col min="7440" max="7440" width="15.1328125" style="339" bestFit="1" customWidth="1"/>
    <col min="7441" max="7441" width="12.6640625" style="339" bestFit="1" customWidth="1"/>
    <col min="7442" max="7442" width="11.6640625" style="339" bestFit="1" customWidth="1"/>
    <col min="7443" max="7443" width="11" style="339" bestFit="1" customWidth="1"/>
    <col min="7444" max="7444" width="13.6640625" style="339" bestFit="1" customWidth="1"/>
    <col min="7445" max="7445" width="11" style="339" bestFit="1" customWidth="1"/>
    <col min="7446" max="7446" width="13.33203125" style="339" bestFit="1" customWidth="1"/>
    <col min="7447" max="7447" width="17" style="339" bestFit="1" customWidth="1"/>
    <col min="7448" max="7448" width="14.1328125" style="339" bestFit="1" customWidth="1"/>
    <col min="7449" max="7450" width="16.33203125" style="339" bestFit="1" customWidth="1"/>
    <col min="7451" max="7451" width="14.33203125" style="339" bestFit="1" customWidth="1"/>
    <col min="7452" max="7452" width="15.1328125" style="339" bestFit="1" customWidth="1"/>
    <col min="7453" max="7453" width="12.6640625" style="339" bestFit="1" customWidth="1"/>
    <col min="7454" max="7454" width="11.6640625" style="339" bestFit="1" customWidth="1"/>
    <col min="7455" max="7455" width="11" style="339" bestFit="1" customWidth="1"/>
    <col min="7456" max="7456" width="11.6640625" style="339" bestFit="1" customWidth="1"/>
    <col min="7457" max="7457" width="11" style="339" bestFit="1" customWidth="1"/>
    <col min="7458" max="7458" width="13.33203125" style="339" bestFit="1" customWidth="1"/>
    <col min="7459" max="7459" width="17" style="339" bestFit="1" customWidth="1"/>
    <col min="7460" max="7460" width="14.1328125" style="339" bestFit="1" customWidth="1"/>
    <col min="7461" max="7462" width="16.33203125" style="339" bestFit="1" customWidth="1"/>
    <col min="7463" max="7463" width="14.33203125" style="339" bestFit="1" customWidth="1"/>
    <col min="7464" max="7464" width="15.1328125" style="339" bestFit="1" customWidth="1"/>
    <col min="7465" max="7465" width="12.6640625" style="339" bestFit="1" customWidth="1"/>
    <col min="7466" max="7466" width="11.6640625" style="339" bestFit="1" customWidth="1"/>
    <col min="7467" max="7467" width="11" style="339" bestFit="1" customWidth="1"/>
    <col min="7468" max="7468" width="11.6640625" style="339" bestFit="1" customWidth="1"/>
    <col min="7469" max="7469" width="11" style="339" bestFit="1" customWidth="1"/>
    <col min="7470" max="7470" width="13.33203125" style="339" bestFit="1" customWidth="1"/>
    <col min="7471" max="7471" width="17" style="339" bestFit="1" customWidth="1"/>
    <col min="7472" max="7472" width="14.1328125" style="339" bestFit="1" customWidth="1"/>
    <col min="7473" max="7474" width="16.33203125" style="339" bestFit="1" customWidth="1"/>
    <col min="7475" max="7475" width="14.33203125" style="339" bestFit="1" customWidth="1"/>
    <col min="7476" max="7476" width="15.1328125" style="339" bestFit="1" customWidth="1"/>
    <col min="7477" max="7477" width="12.6640625" style="339" bestFit="1" customWidth="1"/>
    <col min="7478" max="7478" width="11.6640625" style="339" bestFit="1" customWidth="1"/>
    <col min="7479" max="7479" width="11" style="339" bestFit="1" customWidth="1"/>
    <col min="7480" max="7480" width="11.6640625" style="339" bestFit="1" customWidth="1"/>
    <col min="7481" max="7481" width="11" style="339" bestFit="1" customWidth="1"/>
    <col min="7482" max="7482" width="13.33203125" style="339" bestFit="1" customWidth="1"/>
    <col min="7483" max="7483" width="17" style="339" bestFit="1" customWidth="1"/>
    <col min="7484" max="7484" width="14.1328125" style="339" bestFit="1" customWidth="1"/>
    <col min="7485" max="7486" width="16.33203125" style="339" bestFit="1" customWidth="1"/>
    <col min="7487" max="7487" width="14.33203125" style="339" bestFit="1" customWidth="1"/>
    <col min="7488" max="7488" width="15.1328125" style="339" bestFit="1" customWidth="1"/>
    <col min="7489" max="7489" width="12.6640625" style="339" bestFit="1" customWidth="1"/>
    <col min="7490" max="7490" width="11.6640625" style="339" bestFit="1" customWidth="1"/>
    <col min="7491" max="7491" width="11" style="339" bestFit="1" customWidth="1"/>
    <col min="7492" max="7492" width="11.6640625" style="339" bestFit="1" customWidth="1"/>
    <col min="7493" max="7493" width="11" style="339" bestFit="1" customWidth="1"/>
    <col min="7494" max="7494" width="13.33203125" style="339" bestFit="1" customWidth="1"/>
    <col min="7495" max="7495" width="17" style="339" bestFit="1" customWidth="1"/>
    <col min="7496" max="7496" width="14.1328125" style="339" bestFit="1" customWidth="1"/>
    <col min="7497" max="7498" width="16.33203125" style="339" bestFit="1" customWidth="1"/>
    <col min="7499" max="7499" width="14.33203125" style="339" bestFit="1" customWidth="1"/>
    <col min="7500" max="7500" width="15.1328125" style="339" bestFit="1" customWidth="1"/>
    <col min="7501" max="7501" width="12.6640625" style="339" bestFit="1" customWidth="1"/>
    <col min="7502" max="7502" width="11.6640625" style="339" bestFit="1" customWidth="1"/>
    <col min="7503" max="7503" width="11" style="339" bestFit="1" customWidth="1"/>
    <col min="7504" max="7504" width="11.6640625" style="339" bestFit="1" customWidth="1"/>
    <col min="7505" max="7505" width="11" style="339" bestFit="1" customWidth="1"/>
    <col min="7506" max="7506" width="13.33203125" style="339" bestFit="1" customWidth="1"/>
    <col min="7507" max="7507" width="17" style="339" bestFit="1" customWidth="1"/>
    <col min="7508" max="7508" width="14.1328125" style="339" bestFit="1" customWidth="1"/>
    <col min="7509" max="7510" width="16.33203125" style="339" bestFit="1" customWidth="1"/>
    <col min="7511" max="7511" width="14.33203125" style="339" bestFit="1" customWidth="1"/>
    <col min="7512" max="7512" width="15.1328125" style="339" bestFit="1" customWidth="1"/>
    <col min="7513" max="7513" width="12.6640625" style="339" bestFit="1" customWidth="1"/>
    <col min="7514" max="7514" width="11.6640625" style="339" bestFit="1" customWidth="1"/>
    <col min="7515" max="7515" width="11" style="339" bestFit="1" customWidth="1"/>
    <col min="7516" max="7516" width="11.6640625" style="339" bestFit="1" customWidth="1"/>
    <col min="7517" max="7517" width="11" style="339" bestFit="1" customWidth="1"/>
    <col min="7518" max="7518" width="13.33203125" style="339" bestFit="1" customWidth="1"/>
    <col min="7519" max="7520" width="17" style="339" bestFit="1" customWidth="1"/>
    <col min="7521" max="7684" width="9" style="339"/>
    <col min="7685" max="7685" width="12.1328125" style="339" customWidth="1"/>
    <col min="7686" max="7689" width="9" style="339"/>
    <col min="7690" max="7690" width="91.33203125" style="339" bestFit="1" customWidth="1"/>
    <col min="7691" max="7691" width="10.6640625" style="339" customWidth="1"/>
    <col min="7692" max="7692" width="14.1328125" style="339" bestFit="1" customWidth="1"/>
    <col min="7693" max="7694" width="16.33203125" style="339" bestFit="1" customWidth="1"/>
    <col min="7695" max="7695" width="14.33203125" style="339" bestFit="1" customWidth="1"/>
    <col min="7696" max="7696" width="15.1328125" style="339" bestFit="1" customWidth="1"/>
    <col min="7697" max="7697" width="12.6640625" style="339" bestFit="1" customWidth="1"/>
    <col min="7698" max="7698" width="11.6640625" style="339" bestFit="1" customWidth="1"/>
    <col min="7699" max="7699" width="11" style="339" bestFit="1" customWidth="1"/>
    <col min="7700" max="7700" width="13.6640625" style="339" bestFit="1" customWidth="1"/>
    <col min="7701" max="7701" width="11" style="339" bestFit="1" customWidth="1"/>
    <col min="7702" max="7702" width="13.33203125" style="339" bestFit="1" customWidth="1"/>
    <col min="7703" max="7703" width="17" style="339" bestFit="1" customWidth="1"/>
    <col min="7704" max="7704" width="14.1328125" style="339" bestFit="1" customWidth="1"/>
    <col min="7705" max="7706" width="16.33203125" style="339" bestFit="1" customWidth="1"/>
    <col min="7707" max="7707" width="14.33203125" style="339" bestFit="1" customWidth="1"/>
    <col min="7708" max="7708" width="15.1328125" style="339" bestFit="1" customWidth="1"/>
    <col min="7709" max="7709" width="12.6640625" style="339" bestFit="1" customWidth="1"/>
    <col min="7710" max="7710" width="11.6640625" style="339" bestFit="1" customWidth="1"/>
    <col min="7711" max="7711" width="11" style="339" bestFit="1" customWidth="1"/>
    <col min="7712" max="7712" width="11.6640625" style="339" bestFit="1" customWidth="1"/>
    <col min="7713" max="7713" width="11" style="339" bestFit="1" customWidth="1"/>
    <col min="7714" max="7714" width="13.33203125" style="339" bestFit="1" customWidth="1"/>
    <col min="7715" max="7715" width="17" style="339" bestFit="1" customWidth="1"/>
    <col min="7716" max="7716" width="14.1328125" style="339" bestFit="1" customWidth="1"/>
    <col min="7717" max="7718" width="16.33203125" style="339" bestFit="1" customWidth="1"/>
    <col min="7719" max="7719" width="14.33203125" style="339" bestFit="1" customWidth="1"/>
    <col min="7720" max="7720" width="15.1328125" style="339" bestFit="1" customWidth="1"/>
    <col min="7721" max="7721" width="12.6640625" style="339" bestFit="1" customWidth="1"/>
    <col min="7722" max="7722" width="11.6640625" style="339" bestFit="1" customWidth="1"/>
    <col min="7723" max="7723" width="11" style="339" bestFit="1" customWidth="1"/>
    <col min="7724" max="7724" width="11.6640625" style="339" bestFit="1" customWidth="1"/>
    <col min="7725" max="7725" width="11" style="339" bestFit="1" customWidth="1"/>
    <col min="7726" max="7726" width="13.33203125" style="339" bestFit="1" customWidth="1"/>
    <col min="7727" max="7727" width="17" style="339" bestFit="1" customWidth="1"/>
    <col min="7728" max="7728" width="14.1328125" style="339" bestFit="1" customWidth="1"/>
    <col min="7729" max="7730" width="16.33203125" style="339" bestFit="1" customWidth="1"/>
    <col min="7731" max="7731" width="14.33203125" style="339" bestFit="1" customWidth="1"/>
    <col min="7732" max="7732" width="15.1328125" style="339" bestFit="1" customWidth="1"/>
    <col min="7733" max="7733" width="12.6640625" style="339" bestFit="1" customWidth="1"/>
    <col min="7734" max="7734" width="11.6640625" style="339" bestFit="1" customWidth="1"/>
    <col min="7735" max="7735" width="11" style="339" bestFit="1" customWidth="1"/>
    <col min="7736" max="7736" width="11.6640625" style="339" bestFit="1" customWidth="1"/>
    <col min="7737" max="7737" width="11" style="339" bestFit="1" customWidth="1"/>
    <col min="7738" max="7738" width="13.33203125" style="339" bestFit="1" customWidth="1"/>
    <col min="7739" max="7739" width="17" style="339" bestFit="1" customWidth="1"/>
    <col min="7740" max="7740" width="14.1328125" style="339" bestFit="1" customWidth="1"/>
    <col min="7741" max="7742" width="16.33203125" style="339" bestFit="1" customWidth="1"/>
    <col min="7743" max="7743" width="14.33203125" style="339" bestFit="1" customWidth="1"/>
    <col min="7744" max="7744" width="15.1328125" style="339" bestFit="1" customWidth="1"/>
    <col min="7745" max="7745" width="12.6640625" style="339" bestFit="1" customWidth="1"/>
    <col min="7746" max="7746" width="11.6640625" style="339" bestFit="1" customWidth="1"/>
    <col min="7747" max="7747" width="11" style="339" bestFit="1" customWidth="1"/>
    <col min="7748" max="7748" width="11.6640625" style="339" bestFit="1" customWidth="1"/>
    <col min="7749" max="7749" width="11" style="339" bestFit="1" customWidth="1"/>
    <col min="7750" max="7750" width="13.33203125" style="339" bestFit="1" customWidth="1"/>
    <col min="7751" max="7751" width="17" style="339" bestFit="1" customWidth="1"/>
    <col min="7752" max="7752" width="14.1328125" style="339" bestFit="1" customWidth="1"/>
    <col min="7753" max="7754" width="16.33203125" style="339" bestFit="1" customWidth="1"/>
    <col min="7755" max="7755" width="14.33203125" style="339" bestFit="1" customWidth="1"/>
    <col min="7756" max="7756" width="15.1328125" style="339" bestFit="1" customWidth="1"/>
    <col min="7757" max="7757" width="12.6640625" style="339" bestFit="1" customWidth="1"/>
    <col min="7758" max="7758" width="11.6640625" style="339" bestFit="1" customWidth="1"/>
    <col min="7759" max="7759" width="11" style="339" bestFit="1" customWidth="1"/>
    <col min="7760" max="7760" width="11.6640625" style="339" bestFit="1" customWidth="1"/>
    <col min="7761" max="7761" width="11" style="339" bestFit="1" customWidth="1"/>
    <col min="7762" max="7762" width="13.33203125" style="339" bestFit="1" customWidth="1"/>
    <col min="7763" max="7763" width="17" style="339" bestFit="1" customWidth="1"/>
    <col min="7764" max="7764" width="14.1328125" style="339" bestFit="1" customWidth="1"/>
    <col min="7765" max="7766" width="16.33203125" style="339" bestFit="1" customWidth="1"/>
    <col min="7767" max="7767" width="14.33203125" style="339" bestFit="1" customWidth="1"/>
    <col min="7768" max="7768" width="15.1328125" style="339" bestFit="1" customWidth="1"/>
    <col min="7769" max="7769" width="12.6640625" style="339" bestFit="1" customWidth="1"/>
    <col min="7770" max="7770" width="11.6640625" style="339" bestFit="1" customWidth="1"/>
    <col min="7771" max="7771" width="11" style="339" bestFit="1" customWidth="1"/>
    <col min="7772" max="7772" width="11.6640625" style="339" bestFit="1" customWidth="1"/>
    <col min="7773" max="7773" width="11" style="339" bestFit="1" customWidth="1"/>
    <col min="7774" max="7774" width="13.33203125" style="339" bestFit="1" customWidth="1"/>
    <col min="7775" max="7776" width="17" style="339" bestFit="1" customWidth="1"/>
    <col min="7777" max="7940" width="9" style="339"/>
    <col min="7941" max="7941" width="12.1328125" style="339" customWidth="1"/>
    <col min="7942" max="7945" width="9" style="339"/>
    <col min="7946" max="7946" width="91.33203125" style="339" bestFit="1" customWidth="1"/>
    <col min="7947" max="7947" width="10.6640625" style="339" customWidth="1"/>
    <col min="7948" max="7948" width="14.1328125" style="339" bestFit="1" customWidth="1"/>
    <col min="7949" max="7950" width="16.33203125" style="339" bestFit="1" customWidth="1"/>
    <col min="7951" max="7951" width="14.33203125" style="339" bestFit="1" customWidth="1"/>
    <col min="7952" max="7952" width="15.1328125" style="339" bestFit="1" customWidth="1"/>
    <col min="7953" max="7953" width="12.6640625" style="339" bestFit="1" customWidth="1"/>
    <col min="7954" max="7954" width="11.6640625" style="339" bestFit="1" customWidth="1"/>
    <col min="7955" max="7955" width="11" style="339" bestFit="1" customWidth="1"/>
    <col min="7956" max="7956" width="13.6640625" style="339" bestFit="1" customWidth="1"/>
    <col min="7957" max="7957" width="11" style="339" bestFit="1" customWidth="1"/>
    <col min="7958" max="7958" width="13.33203125" style="339" bestFit="1" customWidth="1"/>
    <col min="7959" max="7959" width="17" style="339" bestFit="1" customWidth="1"/>
    <col min="7960" max="7960" width="14.1328125" style="339" bestFit="1" customWidth="1"/>
    <col min="7961" max="7962" width="16.33203125" style="339" bestFit="1" customWidth="1"/>
    <col min="7963" max="7963" width="14.33203125" style="339" bestFit="1" customWidth="1"/>
    <col min="7964" max="7964" width="15.1328125" style="339" bestFit="1" customWidth="1"/>
    <col min="7965" max="7965" width="12.6640625" style="339" bestFit="1" customWidth="1"/>
    <col min="7966" max="7966" width="11.6640625" style="339" bestFit="1" customWidth="1"/>
    <col min="7967" max="7967" width="11" style="339" bestFit="1" customWidth="1"/>
    <col min="7968" max="7968" width="11.6640625" style="339" bestFit="1" customWidth="1"/>
    <col min="7969" max="7969" width="11" style="339" bestFit="1" customWidth="1"/>
    <col min="7970" max="7970" width="13.33203125" style="339" bestFit="1" customWidth="1"/>
    <col min="7971" max="7971" width="17" style="339" bestFit="1" customWidth="1"/>
    <col min="7972" max="7972" width="14.1328125" style="339" bestFit="1" customWidth="1"/>
    <col min="7973" max="7974" width="16.33203125" style="339" bestFit="1" customWidth="1"/>
    <col min="7975" max="7975" width="14.33203125" style="339" bestFit="1" customWidth="1"/>
    <col min="7976" max="7976" width="15.1328125" style="339" bestFit="1" customWidth="1"/>
    <col min="7977" max="7977" width="12.6640625" style="339" bestFit="1" customWidth="1"/>
    <col min="7978" max="7978" width="11.6640625" style="339" bestFit="1" customWidth="1"/>
    <col min="7979" max="7979" width="11" style="339" bestFit="1" customWidth="1"/>
    <col min="7980" max="7980" width="11.6640625" style="339" bestFit="1" customWidth="1"/>
    <col min="7981" max="7981" width="11" style="339" bestFit="1" customWidth="1"/>
    <col min="7982" max="7982" width="13.33203125" style="339" bestFit="1" customWidth="1"/>
    <col min="7983" max="7983" width="17" style="339" bestFit="1" customWidth="1"/>
    <col min="7984" max="7984" width="14.1328125" style="339" bestFit="1" customWidth="1"/>
    <col min="7985" max="7986" width="16.33203125" style="339" bestFit="1" customWidth="1"/>
    <col min="7987" max="7987" width="14.33203125" style="339" bestFit="1" customWidth="1"/>
    <col min="7988" max="7988" width="15.1328125" style="339" bestFit="1" customWidth="1"/>
    <col min="7989" max="7989" width="12.6640625" style="339" bestFit="1" customWidth="1"/>
    <col min="7990" max="7990" width="11.6640625" style="339" bestFit="1" customWidth="1"/>
    <col min="7991" max="7991" width="11" style="339" bestFit="1" customWidth="1"/>
    <col min="7992" max="7992" width="11.6640625" style="339" bestFit="1" customWidth="1"/>
    <col min="7993" max="7993" width="11" style="339" bestFit="1" customWidth="1"/>
    <col min="7994" max="7994" width="13.33203125" style="339" bestFit="1" customWidth="1"/>
    <col min="7995" max="7995" width="17" style="339" bestFit="1" customWidth="1"/>
    <col min="7996" max="7996" width="14.1328125" style="339" bestFit="1" customWidth="1"/>
    <col min="7997" max="7998" width="16.33203125" style="339" bestFit="1" customWidth="1"/>
    <col min="7999" max="7999" width="14.33203125" style="339" bestFit="1" customWidth="1"/>
    <col min="8000" max="8000" width="15.1328125" style="339" bestFit="1" customWidth="1"/>
    <col min="8001" max="8001" width="12.6640625" style="339" bestFit="1" customWidth="1"/>
    <col min="8002" max="8002" width="11.6640625" style="339" bestFit="1" customWidth="1"/>
    <col min="8003" max="8003" width="11" style="339" bestFit="1" customWidth="1"/>
    <col min="8004" max="8004" width="11.6640625" style="339" bestFit="1" customWidth="1"/>
    <col min="8005" max="8005" width="11" style="339" bestFit="1" customWidth="1"/>
    <col min="8006" max="8006" width="13.33203125" style="339" bestFit="1" customWidth="1"/>
    <col min="8007" max="8007" width="17" style="339" bestFit="1" customWidth="1"/>
    <col min="8008" max="8008" width="14.1328125" style="339" bestFit="1" customWidth="1"/>
    <col min="8009" max="8010" width="16.33203125" style="339" bestFit="1" customWidth="1"/>
    <col min="8011" max="8011" width="14.33203125" style="339" bestFit="1" customWidth="1"/>
    <col min="8012" max="8012" width="15.1328125" style="339" bestFit="1" customWidth="1"/>
    <col min="8013" max="8013" width="12.6640625" style="339" bestFit="1" customWidth="1"/>
    <col min="8014" max="8014" width="11.6640625" style="339" bestFit="1" customWidth="1"/>
    <col min="8015" max="8015" width="11" style="339" bestFit="1" customWidth="1"/>
    <col min="8016" max="8016" width="11.6640625" style="339" bestFit="1" customWidth="1"/>
    <col min="8017" max="8017" width="11" style="339" bestFit="1" customWidth="1"/>
    <col min="8018" max="8018" width="13.33203125" style="339" bestFit="1" customWidth="1"/>
    <col min="8019" max="8019" width="17" style="339" bestFit="1" customWidth="1"/>
    <col min="8020" max="8020" width="14.1328125" style="339" bestFit="1" customWidth="1"/>
    <col min="8021" max="8022" width="16.33203125" style="339" bestFit="1" customWidth="1"/>
    <col min="8023" max="8023" width="14.33203125" style="339" bestFit="1" customWidth="1"/>
    <col min="8024" max="8024" width="15.1328125" style="339" bestFit="1" customWidth="1"/>
    <col min="8025" max="8025" width="12.6640625" style="339" bestFit="1" customWidth="1"/>
    <col min="8026" max="8026" width="11.6640625" style="339" bestFit="1" customWidth="1"/>
    <col min="8027" max="8027" width="11" style="339" bestFit="1" customWidth="1"/>
    <col min="8028" max="8028" width="11.6640625" style="339" bestFit="1" customWidth="1"/>
    <col min="8029" max="8029" width="11" style="339" bestFit="1" customWidth="1"/>
    <col min="8030" max="8030" width="13.33203125" style="339" bestFit="1" customWidth="1"/>
    <col min="8031" max="8032" width="17" style="339" bestFit="1" customWidth="1"/>
    <col min="8033" max="8196" width="9" style="339"/>
    <col min="8197" max="8197" width="12.1328125" style="339" customWidth="1"/>
    <col min="8198" max="8201" width="9" style="339"/>
    <col min="8202" max="8202" width="91.33203125" style="339" bestFit="1" customWidth="1"/>
    <col min="8203" max="8203" width="10.6640625" style="339" customWidth="1"/>
    <col min="8204" max="8204" width="14.1328125" style="339" bestFit="1" customWidth="1"/>
    <col min="8205" max="8206" width="16.33203125" style="339" bestFit="1" customWidth="1"/>
    <col min="8207" max="8207" width="14.33203125" style="339" bestFit="1" customWidth="1"/>
    <col min="8208" max="8208" width="15.1328125" style="339" bestFit="1" customWidth="1"/>
    <col min="8209" max="8209" width="12.6640625" style="339" bestFit="1" customWidth="1"/>
    <col min="8210" max="8210" width="11.6640625" style="339" bestFit="1" customWidth="1"/>
    <col min="8211" max="8211" width="11" style="339" bestFit="1" customWidth="1"/>
    <col min="8212" max="8212" width="13.6640625" style="339" bestFit="1" customWidth="1"/>
    <col min="8213" max="8213" width="11" style="339" bestFit="1" customWidth="1"/>
    <col min="8214" max="8214" width="13.33203125" style="339" bestFit="1" customWidth="1"/>
    <col min="8215" max="8215" width="17" style="339" bestFit="1" customWidth="1"/>
    <col min="8216" max="8216" width="14.1328125" style="339" bestFit="1" customWidth="1"/>
    <col min="8217" max="8218" width="16.33203125" style="339" bestFit="1" customWidth="1"/>
    <col min="8219" max="8219" width="14.33203125" style="339" bestFit="1" customWidth="1"/>
    <col min="8220" max="8220" width="15.1328125" style="339" bestFit="1" customWidth="1"/>
    <col min="8221" max="8221" width="12.6640625" style="339" bestFit="1" customWidth="1"/>
    <col min="8222" max="8222" width="11.6640625" style="339" bestFit="1" customWidth="1"/>
    <col min="8223" max="8223" width="11" style="339" bestFit="1" customWidth="1"/>
    <col min="8224" max="8224" width="11.6640625" style="339" bestFit="1" customWidth="1"/>
    <col min="8225" max="8225" width="11" style="339" bestFit="1" customWidth="1"/>
    <col min="8226" max="8226" width="13.33203125" style="339" bestFit="1" customWidth="1"/>
    <col min="8227" max="8227" width="17" style="339" bestFit="1" customWidth="1"/>
    <col min="8228" max="8228" width="14.1328125" style="339" bestFit="1" customWidth="1"/>
    <col min="8229" max="8230" width="16.33203125" style="339" bestFit="1" customWidth="1"/>
    <col min="8231" max="8231" width="14.33203125" style="339" bestFit="1" customWidth="1"/>
    <col min="8232" max="8232" width="15.1328125" style="339" bestFit="1" customWidth="1"/>
    <col min="8233" max="8233" width="12.6640625" style="339" bestFit="1" customWidth="1"/>
    <col min="8234" max="8234" width="11.6640625" style="339" bestFit="1" customWidth="1"/>
    <col min="8235" max="8235" width="11" style="339" bestFit="1" customWidth="1"/>
    <col min="8236" max="8236" width="11.6640625" style="339" bestFit="1" customWidth="1"/>
    <col min="8237" max="8237" width="11" style="339" bestFit="1" customWidth="1"/>
    <col min="8238" max="8238" width="13.33203125" style="339" bestFit="1" customWidth="1"/>
    <col min="8239" max="8239" width="17" style="339" bestFit="1" customWidth="1"/>
    <col min="8240" max="8240" width="14.1328125" style="339" bestFit="1" customWidth="1"/>
    <col min="8241" max="8242" width="16.33203125" style="339" bestFit="1" customWidth="1"/>
    <col min="8243" max="8243" width="14.33203125" style="339" bestFit="1" customWidth="1"/>
    <col min="8244" max="8244" width="15.1328125" style="339" bestFit="1" customWidth="1"/>
    <col min="8245" max="8245" width="12.6640625" style="339" bestFit="1" customWidth="1"/>
    <col min="8246" max="8246" width="11.6640625" style="339" bestFit="1" customWidth="1"/>
    <col min="8247" max="8247" width="11" style="339" bestFit="1" customWidth="1"/>
    <col min="8248" max="8248" width="11.6640625" style="339" bestFit="1" customWidth="1"/>
    <col min="8249" max="8249" width="11" style="339" bestFit="1" customWidth="1"/>
    <col min="8250" max="8250" width="13.33203125" style="339" bestFit="1" customWidth="1"/>
    <col min="8251" max="8251" width="17" style="339" bestFit="1" customWidth="1"/>
    <col min="8252" max="8252" width="14.1328125" style="339" bestFit="1" customWidth="1"/>
    <col min="8253" max="8254" width="16.33203125" style="339" bestFit="1" customWidth="1"/>
    <col min="8255" max="8255" width="14.33203125" style="339" bestFit="1" customWidth="1"/>
    <col min="8256" max="8256" width="15.1328125" style="339" bestFit="1" customWidth="1"/>
    <col min="8257" max="8257" width="12.6640625" style="339" bestFit="1" customWidth="1"/>
    <col min="8258" max="8258" width="11.6640625" style="339" bestFit="1" customWidth="1"/>
    <col min="8259" max="8259" width="11" style="339" bestFit="1" customWidth="1"/>
    <col min="8260" max="8260" width="11.6640625" style="339" bestFit="1" customWidth="1"/>
    <col min="8261" max="8261" width="11" style="339" bestFit="1" customWidth="1"/>
    <col min="8262" max="8262" width="13.33203125" style="339" bestFit="1" customWidth="1"/>
    <col min="8263" max="8263" width="17" style="339" bestFit="1" customWidth="1"/>
    <col min="8264" max="8264" width="14.1328125" style="339" bestFit="1" customWidth="1"/>
    <col min="8265" max="8266" width="16.33203125" style="339" bestFit="1" customWidth="1"/>
    <col min="8267" max="8267" width="14.33203125" style="339" bestFit="1" customWidth="1"/>
    <col min="8268" max="8268" width="15.1328125" style="339" bestFit="1" customWidth="1"/>
    <col min="8269" max="8269" width="12.6640625" style="339" bestFit="1" customWidth="1"/>
    <col min="8270" max="8270" width="11.6640625" style="339" bestFit="1" customWidth="1"/>
    <col min="8271" max="8271" width="11" style="339" bestFit="1" customWidth="1"/>
    <col min="8272" max="8272" width="11.6640625" style="339" bestFit="1" customWidth="1"/>
    <col min="8273" max="8273" width="11" style="339" bestFit="1" customWidth="1"/>
    <col min="8274" max="8274" width="13.33203125" style="339" bestFit="1" customWidth="1"/>
    <col min="8275" max="8275" width="17" style="339" bestFit="1" customWidth="1"/>
    <col min="8276" max="8276" width="14.1328125" style="339" bestFit="1" customWidth="1"/>
    <col min="8277" max="8278" width="16.33203125" style="339" bestFit="1" customWidth="1"/>
    <col min="8279" max="8279" width="14.33203125" style="339" bestFit="1" customWidth="1"/>
    <col min="8280" max="8280" width="15.1328125" style="339" bestFit="1" customWidth="1"/>
    <col min="8281" max="8281" width="12.6640625" style="339" bestFit="1" customWidth="1"/>
    <col min="8282" max="8282" width="11.6640625" style="339" bestFit="1" customWidth="1"/>
    <col min="8283" max="8283" width="11" style="339" bestFit="1" customWidth="1"/>
    <col min="8284" max="8284" width="11.6640625" style="339" bestFit="1" customWidth="1"/>
    <col min="8285" max="8285" width="11" style="339" bestFit="1" customWidth="1"/>
    <col min="8286" max="8286" width="13.33203125" style="339" bestFit="1" customWidth="1"/>
    <col min="8287" max="8288" width="17" style="339" bestFit="1" customWidth="1"/>
    <col min="8289" max="8452" width="9" style="339"/>
    <col min="8453" max="8453" width="12.1328125" style="339" customWidth="1"/>
    <col min="8454" max="8457" width="9" style="339"/>
    <col min="8458" max="8458" width="91.33203125" style="339" bestFit="1" customWidth="1"/>
    <col min="8459" max="8459" width="10.6640625" style="339" customWidth="1"/>
    <col min="8460" max="8460" width="14.1328125" style="339" bestFit="1" customWidth="1"/>
    <col min="8461" max="8462" width="16.33203125" style="339" bestFit="1" customWidth="1"/>
    <col min="8463" max="8463" width="14.33203125" style="339" bestFit="1" customWidth="1"/>
    <col min="8464" max="8464" width="15.1328125" style="339" bestFit="1" customWidth="1"/>
    <col min="8465" max="8465" width="12.6640625" style="339" bestFit="1" customWidth="1"/>
    <col min="8466" max="8466" width="11.6640625" style="339" bestFit="1" customWidth="1"/>
    <col min="8467" max="8467" width="11" style="339" bestFit="1" customWidth="1"/>
    <col min="8468" max="8468" width="13.6640625" style="339" bestFit="1" customWidth="1"/>
    <col min="8469" max="8469" width="11" style="339" bestFit="1" customWidth="1"/>
    <col min="8470" max="8470" width="13.33203125" style="339" bestFit="1" customWidth="1"/>
    <col min="8471" max="8471" width="17" style="339" bestFit="1" customWidth="1"/>
    <col min="8472" max="8472" width="14.1328125" style="339" bestFit="1" customWidth="1"/>
    <col min="8473" max="8474" width="16.33203125" style="339" bestFit="1" customWidth="1"/>
    <col min="8475" max="8475" width="14.33203125" style="339" bestFit="1" customWidth="1"/>
    <col min="8476" max="8476" width="15.1328125" style="339" bestFit="1" customWidth="1"/>
    <col min="8477" max="8477" width="12.6640625" style="339" bestFit="1" customWidth="1"/>
    <col min="8478" max="8478" width="11.6640625" style="339" bestFit="1" customWidth="1"/>
    <col min="8479" max="8479" width="11" style="339" bestFit="1" customWidth="1"/>
    <col min="8480" max="8480" width="11.6640625" style="339" bestFit="1" customWidth="1"/>
    <col min="8481" max="8481" width="11" style="339" bestFit="1" customWidth="1"/>
    <col min="8482" max="8482" width="13.33203125" style="339" bestFit="1" customWidth="1"/>
    <col min="8483" max="8483" width="17" style="339" bestFit="1" customWidth="1"/>
    <col min="8484" max="8484" width="14.1328125" style="339" bestFit="1" customWidth="1"/>
    <col min="8485" max="8486" width="16.33203125" style="339" bestFit="1" customWidth="1"/>
    <col min="8487" max="8487" width="14.33203125" style="339" bestFit="1" customWidth="1"/>
    <col min="8488" max="8488" width="15.1328125" style="339" bestFit="1" customWidth="1"/>
    <col min="8489" max="8489" width="12.6640625" style="339" bestFit="1" customWidth="1"/>
    <col min="8490" max="8490" width="11.6640625" style="339" bestFit="1" customWidth="1"/>
    <col min="8491" max="8491" width="11" style="339" bestFit="1" customWidth="1"/>
    <col min="8492" max="8492" width="11.6640625" style="339" bestFit="1" customWidth="1"/>
    <col min="8493" max="8493" width="11" style="339" bestFit="1" customWidth="1"/>
    <col min="8494" max="8494" width="13.33203125" style="339" bestFit="1" customWidth="1"/>
    <col min="8495" max="8495" width="17" style="339" bestFit="1" customWidth="1"/>
    <col min="8496" max="8496" width="14.1328125" style="339" bestFit="1" customWidth="1"/>
    <col min="8497" max="8498" width="16.33203125" style="339" bestFit="1" customWidth="1"/>
    <col min="8499" max="8499" width="14.33203125" style="339" bestFit="1" customWidth="1"/>
    <col min="8500" max="8500" width="15.1328125" style="339" bestFit="1" customWidth="1"/>
    <col min="8501" max="8501" width="12.6640625" style="339" bestFit="1" customWidth="1"/>
    <col min="8502" max="8502" width="11.6640625" style="339" bestFit="1" customWidth="1"/>
    <col min="8503" max="8503" width="11" style="339" bestFit="1" customWidth="1"/>
    <col min="8504" max="8504" width="11.6640625" style="339" bestFit="1" customWidth="1"/>
    <col min="8505" max="8505" width="11" style="339" bestFit="1" customWidth="1"/>
    <col min="8506" max="8506" width="13.33203125" style="339" bestFit="1" customWidth="1"/>
    <col min="8507" max="8507" width="17" style="339" bestFit="1" customWidth="1"/>
    <col min="8508" max="8508" width="14.1328125" style="339" bestFit="1" customWidth="1"/>
    <col min="8509" max="8510" width="16.33203125" style="339" bestFit="1" customWidth="1"/>
    <col min="8511" max="8511" width="14.33203125" style="339" bestFit="1" customWidth="1"/>
    <col min="8512" max="8512" width="15.1328125" style="339" bestFit="1" customWidth="1"/>
    <col min="8513" max="8513" width="12.6640625" style="339" bestFit="1" customWidth="1"/>
    <col min="8514" max="8514" width="11.6640625" style="339" bestFit="1" customWidth="1"/>
    <col min="8515" max="8515" width="11" style="339" bestFit="1" customWidth="1"/>
    <col min="8516" max="8516" width="11.6640625" style="339" bestFit="1" customWidth="1"/>
    <col min="8517" max="8517" width="11" style="339" bestFit="1" customWidth="1"/>
    <col min="8518" max="8518" width="13.33203125" style="339" bestFit="1" customWidth="1"/>
    <col min="8519" max="8519" width="17" style="339" bestFit="1" customWidth="1"/>
    <col min="8520" max="8520" width="14.1328125" style="339" bestFit="1" customWidth="1"/>
    <col min="8521" max="8522" width="16.33203125" style="339" bestFit="1" customWidth="1"/>
    <col min="8523" max="8523" width="14.33203125" style="339" bestFit="1" customWidth="1"/>
    <col min="8524" max="8524" width="15.1328125" style="339" bestFit="1" customWidth="1"/>
    <col min="8525" max="8525" width="12.6640625" style="339" bestFit="1" customWidth="1"/>
    <col min="8526" max="8526" width="11.6640625" style="339" bestFit="1" customWidth="1"/>
    <col min="8527" max="8527" width="11" style="339" bestFit="1" customWidth="1"/>
    <col min="8528" max="8528" width="11.6640625" style="339" bestFit="1" customWidth="1"/>
    <col min="8529" max="8529" width="11" style="339" bestFit="1" customWidth="1"/>
    <col min="8530" max="8530" width="13.33203125" style="339" bestFit="1" customWidth="1"/>
    <col min="8531" max="8531" width="17" style="339" bestFit="1" customWidth="1"/>
    <col min="8532" max="8532" width="14.1328125" style="339" bestFit="1" customWidth="1"/>
    <col min="8533" max="8534" width="16.33203125" style="339" bestFit="1" customWidth="1"/>
    <col min="8535" max="8535" width="14.33203125" style="339" bestFit="1" customWidth="1"/>
    <col min="8536" max="8536" width="15.1328125" style="339" bestFit="1" customWidth="1"/>
    <col min="8537" max="8537" width="12.6640625" style="339" bestFit="1" customWidth="1"/>
    <col min="8538" max="8538" width="11.6640625" style="339" bestFit="1" customWidth="1"/>
    <col min="8539" max="8539" width="11" style="339" bestFit="1" customWidth="1"/>
    <col min="8540" max="8540" width="11.6640625" style="339" bestFit="1" customWidth="1"/>
    <col min="8541" max="8541" width="11" style="339" bestFit="1" customWidth="1"/>
    <col min="8542" max="8542" width="13.33203125" style="339" bestFit="1" customWidth="1"/>
    <col min="8543" max="8544" width="17" style="339" bestFit="1" customWidth="1"/>
    <col min="8545" max="8708" width="9" style="339"/>
    <col min="8709" max="8709" width="12.1328125" style="339" customWidth="1"/>
    <col min="8710" max="8713" width="9" style="339"/>
    <col min="8714" max="8714" width="91.33203125" style="339" bestFit="1" customWidth="1"/>
    <col min="8715" max="8715" width="10.6640625" style="339" customWidth="1"/>
    <col min="8716" max="8716" width="14.1328125" style="339" bestFit="1" customWidth="1"/>
    <col min="8717" max="8718" width="16.33203125" style="339" bestFit="1" customWidth="1"/>
    <col min="8719" max="8719" width="14.33203125" style="339" bestFit="1" customWidth="1"/>
    <col min="8720" max="8720" width="15.1328125" style="339" bestFit="1" customWidth="1"/>
    <col min="8721" max="8721" width="12.6640625" style="339" bestFit="1" customWidth="1"/>
    <col min="8722" max="8722" width="11.6640625" style="339" bestFit="1" customWidth="1"/>
    <col min="8723" max="8723" width="11" style="339" bestFit="1" customWidth="1"/>
    <col min="8724" max="8724" width="13.6640625" style="339" bestFit="1" customWidth="1"/>
    <col min="8725" max="8725" width="11" style="339" bestFit="1" customWidth="1"/>
    <col min="8726" max="8726" width="13.33203125" style="339" bestFit="1" customWidth="1"/>
    <col min="8727" max="8727" width="17" style="339" bestFit="1" customWidth="1"/>
    <col min="8728" max="8728" width="14.1328125" style="339" bestFit="1" customWidth="1"/>
    <col min="8729" max="8730" width="16.33203125" style="339" bestFit="1" customWidth="1"/>
    <col min="8731" max="8731" width="14.33203125" style="339" bestFit="1" customWidth="1"/>
    <col min="8732" max="8732" width="15.1328125" style="339" bestFit="1" customWidth="1"/>
    <col min="8733" max="8733" width="12.6640625" style="339" bestFit="1" customWidth="1"/>
    <col min="8734" max="8734" width="11.6640625" style="339" bestFit="1" customWidth="1"/>
    <col min="8735" max="8735" width="11" style="339" bestFit="1" customWidth="1"/>
    <col min="8736" max="8736" width="11.6640625" style="339" bestFit="1" customWidth="1"/>
    <col min="8737" max="8737" width="11" style="339" bestFit="1" customWidth="1"/>
    <col min="8738" max="8738" width="13.33203125" style="339" bestFit="1" customWidth="1"/>
    <col min="8739" max="8739" width="17" style="339" bestFit="1" customWidth="1"/>
    <col min="8740" max="8740" width="14.1328125" style="339" bestFit="1" customWidth="1"/>
    <col min="8741" max="8742" width="16.33203125" style="339" bestFit="1" customWidth="1"/>
    <col min="8743" max="8743" width="14.33203125" style="339" bestFit="1" customWidth="1"/>
    <col min="8744" max="8744" width="15.1328125" style="339" bestFit="1" customWidth="1"/>
    <col min="8745" max="8745" width="12.6640625" style="339" bestFit="1" customWidth="1"/>
    <col min="8746" max="8746" width="11.6640625" style="339" bestFit="1" customWidth="1"/>
    <col min="8747" max="8747" width="11" style="339" bestFit="1" customWidth="1"/>
    <col min="8748" max="8748" width="11.6640625" style="339" bestFit="1" customWidth="1"/>
    <col min="8749" max="8749" width="11" style="339" bestFit="1" customWidth="1"/>
    <col min="8750" max="8750" width="13.33203125" style="339" bestFit="1" customWidth="1"/>
    <col min="8751" max="8751" width="17" style="339" bestFit="1" customWidth="1"/>
    <col min="8752" max="8752" width="14.1328125" style="339" bestFit="1" customWidth="1"/>
    <col min="8753" max="8754" width="16.33203125" style="339" bestFit="1" customWidth="1"/>
    <col min="8755" max="8755" width="14.33203125" style="339" bestFit="1" customWidth="1"/>
    <col min="8756" max="8756" width="15.1328125" style="339" bestFit="1" customWidth="1"/>
    <col min="8757" max="8757" width="12.6640625" style="339" bestFit="1" customWidth="1"/>
    <col min="8758" max="8758" width="11.6640625" style="339" bestFit="1" customWidth="1"/>
    <col min="8759" max="8759" width="11" style="339" bestFit="1" customWidth="1"/>
    <col min="8760" max="8760" width="11.6640625" style="339" bestFit="1" customWidth="1"/>
    <col min="8761" max="8761" width="11" style="339" bestFit="1" customWidth="1"/>
    <col min="8762" max="8762" width="13.33203125" style="339" bestFit="1" customWidth="1"/>
    <col min="8763" max="8763" width="17" style="339" bestFit="1" customWidth="1"/>
    <col min="8764" max="8764" width="14.1328125" style="339" bestFit="1" customWidth="1"/>
    <col min="8765" max="8766" width="16.33203125" style="339" bestFit="1" customWidth="1"/>
    <col min="8767" max="8767" width="14.33203125" style="339" bestFit="1" customWidth="1"/>
    <col min="8768" max="8768" width="15.1328125" style="339" bestFit="1" customWidth="1"/>
    <col min="8769" max="8769" width="12.6640625" style="339" bestFit="1" customWidth="1"/>
    <col min="8770" max="8770" width="11.6640625" style="339" bestFit="1" customWidth="1"/>
    <col min="8771" max="8771" width="11" style="339" bestFit="1" customWidth="1"/>
    <col min="8772" max="8772" width="11.6640625" style="339" bestFit="1" customWidth="1"/>
    <col min="8773" max="8773" width="11" style="339" bestFit="1" customWidth="1"/>
    <col min="8774" max="8774" width="13.33203125" style="339" bestFit="1" customWidth="1"/>
    <col min="8775" max="8775" width="17" style="339" bestFit="1" customWidth="1"/>
    <col min="8776" max="8776" width="14.1328125" style="339" bestFit="1" customWidth="1"/>
    <col min="8777" max="8778" width="16.33203125" style="339" bestFit="1" customWidth="1"/>
    <col min="8779" max="8779" width="14.33203125" style="339" bestFit="1" customWidth="1"/>
    <col min="8780" max="8780" width="15.1328125" style="339" bestFit="1" customWidth="1"/>
    <col min="8781" max="8781" width="12.6640625" style="339" bestFit="1" customWidth="1"/>
    <col min="8782" max="8782" width="11.6640625" style="339" bestFit="1" customWidth="1"/>
    <col min="8783" max="8783" width="11" style="339" bestFit="1" customWidth="1"/>
    <col min="8784" max="8784" width="11.6640625" style="339" bestFit="1" customWidth="1"/>
    <col min="8785" max="8785" width="11" style="339" bestFit="1" customWidth="1"/>
    <col min="8786" max="8786" width="13.33203125" style="339" bestFit="1" customWidth="1"/>
    <col min="8787" max="8787" width="17" style="339" bestFit="1" customWidth="1"/>
    <col min="8788" max="8788" width="14.1328125" style="339" bestFit="1" customWidth="1"/>
    <col min="8789" max="8790" width="16.33203125" style="339" bestFit="1" customWidth="1"/>
    <col min="8791" max="8791" width="14.33203125" style="339" bestFit="1" customWidth="1"/>
    <col min="8792" max="8792" width="15.1328125" style="339" bestFit="1" customWidth="1"/>
    <col min="8793" max="8793" width="12.6640625" style="339" bestFit="1" customWidth="1"/>
    <col min="8794" max="8794" width="11.6640625" style="339" bestFit="1" customWidth="1"/>
    <col min="8795" max="8795" width="11" style="339" bestFit="1" customWidth="1"/>
    <col min="8796" max="8796" width="11.6640625" style="339" bestFit="1" customWidth="1"/>
    <col min="8797" max="8797" width="11" style="339" bestFit="1" customWidth="1"/>
    <col min="8798" max="8798" width="13.33203125" style="339" bestFit="1" customWidth="1"/>
    <col min="8799" max="8800" width="17" style="339" bestFit="1" customWidth="1"/>
    <col min="8801" max="8964" width="9" style="339"/>
    <col min="8965" max="8965" width="12.1328125" style="339" customWidth="1"/>
    <col min="8966" max="8969" width="9" style="339"/>
    <col min="8970" max="8970" width="91.33203125" style="339" bestFit="1" customWidth="1"/>
    <col min="8971" max="8971" width="10.6640625" style="339" customWidth="1"/>
    <col min="8972" max="8972" width="14.1328125" style="339" bestFit="1" customWidth="1"/>
    <col min="8973" max="8974" width="16.33203125" style="339" bestFit="1" customWidth="1"/>
    <col min="8975" max="8975" width="14.33203125" style="339" bestFit="1" customWidth="1"/>
    <col min="8976" max="8976" width="15.1328125" style="339" bestFit="1" customWidth="1"/>
    <col min="8977" max="8977" width="12.6640625" style="339" bestFit="1" customWidth="1"/>
    <col min="8978" max="8978" width="11.6640625" style="339" bestFit="1" customWidth="1"/>
    <col min="8979" max="8979" width="11" style="339" bestFit="1" customWidth="1"/>
    <col min="8980" max="8980" width="13.6640625" style="339" bestFit="1" customWidth="1"/>
    <col min="8981" max="8981" width="11" style="339" bestFit="1" customWidth="1"/>
    <col min="8982" max="8982" width="13.33203125" style="339" bestFit="1" customWidth="1"/>
    <col min="8983" max="8983" width="17" style="339" bestFit="1" customWidth="1"/>
    <col min="8984" max="8984" width="14.1328125" style="339" bestFit="1" customWidth="1"/>
    <col min="8985" max="8986" width="16.33203125" style="339" bestFit="1" customWidth="1"/>
    <col min="8987" max="8987" width="14.33203125" style="339" bestFit="1" customWidth="1"/>
    <col min="8988" max="8988" width="15.1328125" style="339" bestFit="1" customWidth="1"/>
    <col min="8989" max="8989" width="12.6640625" style="339" bestFit="1" customWidth="1"/>
    <col min="8990" max="8990" width="11.6640625" style="339" bestFit="1" customWidth="1"/>
    <col min="8991" max="8991" width="11" style="339" bestFit="1" customWidth="1"/>
    <col min="8992" max="8992" width="11.6640625" style="339" bestFit="1" customWidth="1"/>
    <col min="8993" max="8993" width="11" style="339" bestFit="1" customWidth="1"/>
    <col min="8994" max="8994" width="13.33203125" style="339" bestFit="1" customWidth="1"/>
    <col min="8995" max="8995" width="17" style="339" bestFit="1" customWidth="1"/>
    <col min="8996" max="8996" width="14.1328125" style="339" bestFit="1" customWidth="1"/>
    <col min="8997" max="8998" width="16.33203125" style="339" bestFit="1" customWidth="1"/>
    <col min="8999" max="8999" width="14.33203125" style="339" bestFit="1" customWidth="1"/>
    <col min="9000" max="9000" width="15.1328125" style="339" bestFit="1" customWidth="1"/>
    <col min="9001" max="9001" width="12.6640625" style="339" bestFit="1" customWidth="1"/>
    <col min="9002" max="9002" width="11.6640625" style="339" bestFit="1" customWidth="1"/>
    <col min="9003" max="9003" width="11" style="339" bestFit="1" customWidth="1"/>
    <col min="9004" max="9004" width="11.6640625" style="339" bestFit="1" customWidth="1"/>
    <col min="9005" max="9005" width="11" style="339" bestFit="1" customWidth="1"/>
    <col min="9006" max="9006" width="13.33203125" style="339" bestFit="1" customWidth="1"/>
    <col min="9007" max="9007" width="17" style="339" bestFit="1" customWidth="1"/>
    <col min="9008" max="9008" width="14.1328125" style="339" bestFit="1" customWidth="1"/>
    <col min="9009" max="9010" width="16.33203125" style="339" bestFit="1" customWidth="1"/>
    <col min="9011" max="9011" width="14.33203125" style="339" bestFit="1" customWidth="1"/>
    <col min="9012" max="9012" width="15.1328125" style="339" bestFit="1" customWidth="1"/>
    <col min="9013" max="9013" width="12.6640625" style="339" bestFit="1" customWidth="1"/>
    <col min="9014" max="9014" width="11.6640625" style="339" bestFit="1" customWidth="1"/>
    <col min="9015" max="9015" width="11" style="339" bestFit="1" customWidth="1"/>
    <col min="9016" max="9016" width="11.6640625" style="339" bestFit="1" customWidth="1"/>
    <col min="9017" max="9017" width="11" style="339" bestFit="1" customWidth="1"/>
    <col min="9018" max="9018" width="13.33203125" style="339" bestFit="1" customWidth="1"/>
    <col min="9019" max="9019" width="17" style="339" bestFit="1" customWidth="1"/>
    <col min="9020" max="9020" width="14.1328125" style="339" bestFit="1" customWidth="1"/>
    <col min="9021" max="9022" width="16.33203125" style="339" bestFit="1" customWidth="1"/>
    <col min="9023" max="9023" width="14.33203125" style="339" bestFit="1" customWidth="1"/>
    <col min="9024" max="9024" width="15.1328125" style="339" bestFit="1" customWidth="1"/>
    <col min="9025" max="9025" width="12.6640625" style="339" bestFit="1" customWidth="1"/>
    <col min="9026" max="9026" width="11.6640625" style="339" bestFit="1" customWidth="1"/>
    <col min="9027" max="9027" width="11" style="339" bestFit="1" customWidth="1"/>
    <col min="9028" max="9028" width="11.6640625" style="339" bestFit="1" customWidth="1"/>
    <col min="9029" max="9029" width="11" style="339" bestFit="1" customWidth="1"/>
    <col min="9030" max="9030" width="13.33203125" style="339" bestFit="1" customWidth="1"/>
    <col min="9031" max="9031" width="17" style="339" bestFit="1" customWidth="1"/>
    <col min="9032" max="9032" width="14.1328125" style="339" bestFit="1" customWidth="1"/>
    <col min="9033" max="9034" width="16.33203125" style="339" bestFit="1" customWidth="1"/>
    <col min="9035" max="9035" width="14.33203125" style="339" bestFit="1" customWidth="1"/>
    <col min="9036" max="9036" width="15.1328125" style="339" bestFit="1" customWidth="1"/>
    <col min="9037" max="9037" width="12.6640625" style="339" bestFit="1" customWidth="1"/>
    <col min="9038" max="9038" width="11.6640625" style="339" bestFit="1" customWidth="1"/>
    <col min="9039" max="9039" width="11" style="339" bestFit="1" customWidth="1"/>
    <col min="9040" max="9040" width="11.6640625" style="339" bestFit="1" customWidth="1"/>
    <col min="9041" max="9041" width="11" style="339" bestFit="1" customWidth="1"/>
    <col min="9042" max="9042" width="13.33203125" style="339" bestFit="1" customWidth="1"/>
    <col min="9043" max="9043" width="17" style="339" bestFit="1" customWidth="1"/>
    <col min="9044" max="9044" width="14.1328125" style="339" bestFit="1" customWidth="1"/>
    <col min="9045" max="9046" width="16.33203125" style="339" bestFit="1" customWidth="1"/>
    <col min="9047" max="9047" width="14.33203125" style="339" bestFit="1" customWidth="1"/>
    <col min="9048" max="9048" width="15.1328125" style="339" bestFit="1" customWidth="1"/>
    <col min="9049" max="9049" width="12.6640625" style="339" bestFit="1" customWidth="1"/>
    <col min="9050" max="9050" width="11.6640625" style="339" bestFit="1" customWidth="1"/>
    <col min="9051" max="9051" width="11" style="339" bestFit="1" customWidth="1"/>
    <col min="9052" max="9052" width="11.6640625" style="339" bestFit="1" customWidth="1"/>
    <col min="9053" max="9053" width="11" style="339" bestFit="1" customWidth="1"/>
    <col min="9054" max="9054" width="13.33203125" style="339" bestFit="1" customWidth="1"/>
    <col min="9055" max="9056" width="17" style="339" bestFit="1" customWidth="1"/>
    <col min="9057" max="9220" width="9" style="339"/>
    <col min="9221" max="9221" width="12.1328125" style="339" customWidth="1"/>
    <col min="9222" max="9225" width="9" style="339"/>
    <col min="9226" max="9226" width="91.33203125" style="339" bestFit="1" customWidth="1"/>
    <col min="9227" max="9227" width="10.6640625" style="339" customWidth="1"/>
    <col min="9228" max="9228" width="14.1328125" style="339" bestFit="1" customWidth="1"/>
    <col min="9229" max="9230" width="16.33203125" style="339" bestFit="1" customWidth="1"/>
    <col min="9231" max="9231" width="14.33203125" style="339" bestFit="1" customWidth="1"/>
    <col min="9232" max="9232" width="15.1328125" style="339" bestFit="1" customWidth="1"/>
    <col min="9233" max="9233" width="12.6640625" style="339" bestFit="1" customWidth="1"/>
    <col min="9234" max="9234" width="11.6640625" style="339" bestFit="1" customWidth="1"/>
    <col min="9235" max="9235" width="11" style="339" bestFit="1" customWidth="1"/>
    <col min="9236" max="9236" width="13.6640625" style="339" bestFit="1" customWidth="1"/>
    <col min="9237" max="9237" width="11" style="339" bestFit="1" customWidth="1"/>
    <col min="9238" max="9238" width="13.33203125" style="339" bestFit="1" customWidth="1"/>
    <col min="9239" max="9239" width="17" style="339" bestFit="1" customWidth="1"/>
    <col min="9240" max="9240" width="14.1328125" style="339" bestFit="1" customWidth="1"/>
    <col min="9241" max="9242" width="16.33203125" style="339" bestFit="1" customWidth="1"/>
    <col min="9243" max="9243" width="14.33203125" style="339" bestFit="1" customWidth="1"/>
    <col min="9244" max="9244" width="15.1328125" style="339" bestFit="1" customWidth="1"/>
    <col min="9245" max="9245" width="12.6640625" style="339" bestFit="1" customWidth="1"/>
    <col min="9246" max="9246" width="11.6640625" style="339" bestFit="1" customWidth="1"/>
    <col min="9247" max="9247" width="11" style="339" bestFit="1" customWidth="1"/>
    <col min="9248" max="9248" width="11.6640625" style="339" bestFit="1" customWidth="1"/>
    <col min="9249" max="9249" width="11" style="339" bestFit="1" customWidth="1"/>
    <col min="9250" max="9250" width="13.33203125" style="339" bestFit="1" customWidth="1"/>
    <col min="9251" max="9251" width="17" style="339" bestFit="1" customWidth="1"/>
    <col min="9252" max="9252" width="14.1328125" style="339" bestFit="1" customWidth="1"/>
    <col min="9253" max="9254" width="16.33203125" style="339" bestFit="1" customWidth="1"/>
    <col min="9255" max="9255" width="14.33203125" style="339" bestFit="1" customWidth="1"/>
    <col min="9256" max="9256" width="15.1328125" style="339" bestFit="1" customWidth="1"/>
    <col min="9257" max="9257" width="12.6640625" style="339" bestFit="1" customWidth="1"/>
    <col min="9258" max="9258" width="11.6640625" style="339" bestFit="1" customWidth="1"/>
    <col min="9259" max="9259" width="11" style="339" bestFit="1" customWidth="1"/>
    <col min="9260" max="9260" width="11.6640625" style="339" bestFit="1" customWidth="1"/>
    <col min="9261" max="9261" width="11" style="339" bestFit="1" customWidth="1"/>
    <col min="9262" max="9262" width="13.33203125" style="339" bestFit="1" customWidth="1"/>
    <col min="9263" max="9263" width="17" style="339" bestFit="1" customWidth="1"/>
    <col min="9264" max="9264" width="14.1328125" style="339" bestFit="1" customWidth="1"/>
    <col min="9265" max="9266" width="16.33203125" style="339" bestFit="1" customWidth="1"/>
    <col min="9267" max="9267" width="14.33203125" style="339" bestFit="1" customWidth="1"/>
    <col min="9268" max="9268" width="15.1328125" style="339" bestFit="1" customWidth="1"/>
    <col min="9269" max="9269" width="12.6640625" style="339" bestFit="1" customWidth="1"/>
    <col min="9270" max="9270" width="11.6640625" style="339" bestFit="1" customWidth="1"/>
    <col min="9271" max="9271" width="11" style="339" bestFit="1" customWidth="1"/>
    <col min="9272" max="9272" width="11.6640625" style="339" bestFit="1" customWidth="1"/>
    <col min="9273" max="9273" width="11" style="339" bestFit="1" customWidth="1"/>
    <col min="9274" max="9274" width="13.33203125" style="339" bestFit="1" customWidth="1"/>
    <col min="9275" max="9275" width="17" style="339" bestFit="1" customWidth="1"/>
    <col min="9276" max="9276" width="14.1328125" style="339" bestFit="1" customWidth="1"/>
    <col min="9277" max="9278" width="16.33203125" style="339" bestFit="1" customWidth="1"/>
    <col min="9279" max="9279" width="14.33203125" style="339" bestFit="1" customWidth="1"/>
    <col min="9280" max="9280" width="15.1328125" style="339" bestFit="1" customWidth="1"/>
    <col min="9281" max="9281" width="12.6640625" style="339" bestFit="1" customWidth="1"/>
    <col min="9282" max="9282" width="11.6640625" style="339" bestFit="1" customWidth="1"/>
    <col min="9283" max="9283" width="11" style="339" bestFit="1" customWidth="1"/>
    <col min="9284" max="9284" width="11.6640625" style="339" bestFit="1" customWidth="1"/>
    <col min="9285" max="9285" width="11" style="339" bestFit="1" customWidth="1"/>
    <col min="9286" max="9286" width="13.33203125" style="339" bestFit="1" customWidth="1"/>
    <col min="9287" max="9287" width="17" style="339" bestFit="1" customWidth="1"/>
    <col min="9288" max="9288" width="14.1328125" style="339" bestFit="1" customWidth="1"/>
    <col min="9289" max="9290" width="16.33203125" style="339" bestFit="1" customWidth="1"/>
    <col min="9291" max="9291" width="14.33203125" style="339" bestFit="1" customWidth="1"/>
    <col min="9292" max="9292" width="15.1328125" style="339" bestFit="1" customWidth="1"/>
    <col min="9293" max="9293" width="12.6640625" style="339" bestFit="1" customWidth="1"/>
    <col min="9294" max="9294" width="11.6640625" style="339" bestFit="1" customWidth="1"/>
    <col min="9295" max="9295" width="11" style="339" bestFit="1" customWidth="1"/>
    <col min="9296" max="9296" width="11.6640625" style="339" bestFit="1" customWidth="1"/>
    <col min="9297" max="9297" width="11" style="339" bestFit="1" customWidth="1"/>
    <col min="9298" max="9298" width="13.33203125" style="339" bestFit="1" customWidth="1"/>
    <col min="9299" max="9299" width="17" style="339" bestFit="1" customWidth="1"/>
    <col min="9300" max="9300" width="14.1328125" style="339" bestFit="1" customWidth="1"/>
    <col min="9301" max="9302" width="16.33203125" style="339" bestFit="1" customWidth="1"/>
    <col min="9303" max="9303" width="14.33203125" style="339" bestFit="1" customWidth="1"/>
    <col min="9304" max="9304" width="15.1328125" style="339" bestFit="1" customWidth="1"/>
    <col min="9305" max="9305" width="12.6640625" style="339" bestFit="1" customWidth="1"/>
    <col min="9306" max="9306" width="11.6640625" style="339" bestFit="1" customWidth="1"/>
    <col min="9307" max="9307" width="11" style="339" bestFit="1" customWidth="1"/>
    <col min="9308" max="9308" width="11.6640625" style="339" bestFit="1" customWidth="1"/>
    <col min="9309" max="9309" width="11" style="339" bestFit="1" customWidth="1"/>
    <col min="9310" max="9310" width="13.33203125" style="339" bestFit="1" customWidth="1"/>
    <col min="9311" max="9312" width="17" style="339" bestFit="1" customWidth="1"/>
    <col min="9313" max="9476" width="9" style="339"/>
    <col min="9477" max="9477" width="12.1328125" style="339" customWidth="1"/>
    <col min="9478" max="9481" width="9" style="339"/>
    <col min="9482" max="9482" width="91.33203125" style="339" bestFit="1" customWidth="1"/>
    <col min="9483" max="9483" width="10.6640625" style="339" customWidth="1"/>
    <col min="9484" max="9484" width="14.1328125" style="339" bestFit="1" customWidth="1"/>
    <col min="9485" max="9486" width="16.33203125" style="339" bestFit="1" customWidth="1"/>
    <col min="9487" max="9487" width="14.33203125" style="339" bestFit="1" customWidth="1"/>
    <col min="9488" max="9488" width="15.1328125" style="339" bestFit="1" customWidth="1"/>
    <col min="9489" max="9489" width="12.6640625" style="339" bestFit="1" customWidth="1"/>
    <col min="9490" max="9490" width="11.6640625" style="339" bestFit="1" customWidth="1"/>
    <col min="9491" max="9491" width="11" style="339" bestFit="1" customWidth="1"/>
    <col min="9492" max="9492" width="13.6640625" style="339" bestFit="1" customWidth="1"/>
    <col min="9493" max="9493" width="11" style="339" bestFit="1" customWidth="1"/>
    <col min="9494" max="9494" width="13.33203125" style="339" bestFit="1" customWidth="1"/>
    <col min="9495" max="9495" width="17" style="339" bestFit="1" customWidth="1"/>
    <col min="9496" max="9496" width="14.1328125" style="339" bestFit="1" customWidth="1"/>
    <col min="9497" max="9498" width="16.33203125" style="339" bestFit="1" customWidth="1"/>
    <col min="9499" max="9499" width="14.33203125" style="339" bestFit="1" customWidth="1"/>
    <col min="9500" max="9500" width="15.1328125" style="339" bestFit="1" customWidth="1"/>
    <col min="9501" max="9501" width="12.6640625" style="339" bestFit="1" customWidth="1"/>
    <col min="9502" max="9502" width="11.6640625" style="339" bestFit="1" customWidth="1"/>
    <col min="9503" max="9503" width="11" style="339" bestFit="1" customWidth="1"/>
    <col min="9504" max="9504" width="11.6640625" style="339" bestFit="1" customWidth="1"/>
    <col min="9505" max="9505" width="11" style="339" bestFit="1" customWidth="1"/>
    <col min="9506" max="9506" width="13.33203125" style="339" bestFit="1" customWidth="1"/>
    <col min="9507" max="9507" width="17" style="339" bestFit="1" customWidth="1"/>
    <col min="9508" max="9508" width="14.1328125" style="339" bestFit="1" customWidth="1"/>
    <col min="9509" max="9510" width="16.33203125" style="339" bestFit="1" customWidth="1"/>
    <col min="9511" max="9511" width="14.33203125" style="339" bestFit="1" customWidth="1"/>
    <col min="9512" max="9512" width="15.1328125" style="339" bestFit="1" customWidth="1"/>
    <col min="9513" max="9513" width="12.6640625" style="339" bestFit="1" customWidth="1"/>
    <col min="9514" max="9514" width="11.6640625" style="339" bestFit="1" customWidth="1"/>
    <col min="9515" max="9515" width="11" style="339" bestFit="1" customWidth="1"/>
    <col min="9516" max="9516" width="11.6640625" style="339" bestFit="1" customWidth="1"/>
    <col min="9517" max="9517" width="11" style="339" bestFit="1" customWidth="1"/>
    <col min="9518" max="9518" width="13.33203125" style="339" bestFit="1" customWidth="1"/>
    <col min="9519" max="9519" width="17" style="339" bestFit="1" customWidth="1"/>
    <col min="9520" max="9520" width="14.1328125" style="339" bestFit="1" customWidth="1"/>
    <col min="9521" max="9522" width="16.33203125" style="339" bestFit="1" customWidth="1"/>
    <col min="9523" max="9523" width="14.33203125" style="339" bestFit="1" customWidth="1"/>
    <col min="9524" max="9524" width="15.1328125" style="339" bestFit="1" customWidth="1"/>
    <col min="9525" max="9525" width="12.6640625" style="339" bestFit="1" customWidth="1"/>
    <col min="9526" max="9526" width="11.6640625" style="339" bestFit="1" customWidth="1"/>
    <col min="9527" max="9527" width="11" style="339" bestFit="1" customWidth="1"/>
    <col min="9528" max="9528" width="11.6640625" style="339" bestFit="1" customWidth="1"/>
    <col min="9529" max="9529" width="11" style="339" bestFit="1" customWidth="1"/>
    <col min="9530" max="9530" width="13.33203125" style="339" bestFit="1" customWidth="1"/>
    <col min="9531" max="9531" width="17" style="339" bestFit="1" customWidth="1"/>
    <col min="9532" max="9532" width="14.1328125" style="339" bestFit="1" customWidth="1"/>
    <col min="9533" max="9534" width="16.33203125" style="339" bestFit="1" customWidth="1"/>
    <col min="9535" max="9535" width="14.33203125" style="339" bestFit="1" customWidth="1"/>
    <col min="9536" max="9536" width="15.1328125" style="339" bestFit="1" customWidth="1"/>
    <col min="9537" max="9537" width="12.6640625" style="339" bestFit="1" customWidth="1"/>
    <col min="9538" max="9538" width="11.6640625" style="339" bestFit="1" customWidth="1"/>
    <col min="9539" max="9539" width="11" style="339" bestFit="1" customWidth="1"/>
    <col min="9540" max="9540" width="11.6640625" style="339" bestFit="1" customWidth="1"/>
    <col min="9541" max="9541" width="11" style="339" bestFit="1" customWidth="1"/>
    <col min="9542" max="9542" width="13.33203125" style="339" bestFit="1" customWidth="1"/>
    <col min="9543" max="9543" width="17" style="339" bestFit="1" customWidth="1"/>
    <col min="9544" max="9544" width="14.1328125" style="339" bestFit="1" customWidth="1"/>
    <col min="9545" max="9546" width="16.33203125" style="339" bestFit="1" customWidth="1"/>
    <col min="9547" max="9547" width="14.33203125" style="339" bestFit="1" customWidth="1"/>
    <col min="9548" max="9548" width="15.1328125" style="339" bestFit="1" customWidth="1"/>
    <col min="9549" max="9549" width="12.6640625" style="339" bestFit="1" customWidth="1"/>
    <col min="9550" max="9550" width="11.6640625" style="339" bestFit="1" customWidth="1"/>
    <col min="9551" max="9551" width="11" style="339" bestFit="1" customWidth="1"/>
    <col min="9552" max="9552" width="11.6640625" style="339" bestFit="1" customWidth="1"/>
    <col min="9553" max="9553" width="11" style="339" bestFit="1" customWidth="1"/>
    <col min="9554" max="9554" width="13.33203125" style="339" bestFit="1" customWidth="1"/>
    <col min="9555" max="9555" width="17" style="339" bestFit="1" customWidth="1"/>
    <col min="9556" max="9556" width="14.1328125" style="339" bestFit="1" customWidth="1"/>
    <col min="9557" max="9558" width="16.33203125" style="339" bestFit="1" customWidth="1"/>
    <col min="9559" max="9559" width="14.33203125" style="339" bestFit="1" customWidth="1"/>
    <col min="9560" max="9560" width="15.1328125" style="339" bestFit="1" customWidth="1"/>
    <col min="9561" max="9561" width="12.6640625" style="339" bestFit="1" customWidth="1"/>
    <col min="9562" max="9562" width="11.6640625" style="339" bestFit="1" customWidth="1"/>
    <col min="9563" max="9563" width="11" style="339" bestFit="1" customWidth="1"/>
    <col min="9564" max="9564" width="11.6640625" style="339" bestFit="1" customWidth="1"/>
    <col min="9565" max="9565" width="11" style="339" bestFit="1" customWidth="1"/>
    <col min="9566" max="9566" width="13.33203125" style="339" bestFit="1" customWidth="1"/>
    <col min="9567" max="9568" width="17" style="339" bestFit="1" customWidth="1"/>
    <col min="9569" max="9732" width="9" style="339"/>
    <col min="9733" max="9733" width="12.1328125" style="339" customWidth="1"/>
    <col min="9734" max="9737" width="9" style="339"/>
    <col min="9738" max="9738" width="91.33203125" style="339" bestFit="1" customWidth="1"/>
    <col min="9739" max="9739" width="10.6640625" style="339" customWidth="1"/>
    <col min="9740" max="9740" width="14.1328125" style="339" bestFit="1" customWidth="1"/>
    <col min="9741" max="9742" width="16.33203125" style="339" bestFit="1" customWidth="1"/>
    <col min="9743" max="9743" width="14.33203125" style="339" bestFit="1" customWidth="1"/>
    <col min="9744" max="9744" width="15.1328125" style="339" bestFit="1" customWidth="1"/>
    <col min="9745" max="9745" width="12.6640625" style="339" bestFit="1" customWidth="1"/>
    <col min="9746" max="9746" width="11.6640625" style="339" bestFit="1" customWidth="1"/>
    <col min="9747" max="9747" width="11" style="339" bestFit="1" customWidth="1"/>
    <col min="9748" max="9748" width="13.6640625" style="339" bestFit="1" customWidth="1"/>
    <col min="9749" max="9749" width="11" style="339" bestFit="1" customWidth="1"/>
    <col min="9750" max="9750" width="13.33203125" style="339" bestFit="1" customWidth="1"/>
    <col min="9751" max="9751" width="17" style="339" bestFit="1" customWidth="1"/>
    <col min="9752" max="9752" width="14.1328125" style="339" bestFit="1" customWidth="1"/>
    <col min="9753" max="9754" width="16.33203125" style="339" bestFit="1" customWidth="1"/>
    <col min="9755" max="9755" width="14.33203125" style="339" bestFit="1" customWidth="1"/>
    <col min="9756" max="9756" width="15.1328125" style="339" bestFit="1" customWidth="1"/>
    <col min="9757" max="9757" width="12.6640625" style="339" bestFit="1" customWidth="1"/>
    <col min="9758" max="9758" width="11.6640625" style="339" bestFit="1" customWidth="1"/>
    <col min="9759" max="9759" width="11" style="339" bestFit="1" customWidth="1"/>
    <col min="9760" max="9760" width="11.6640625" style="339" bestFit="1" customWidth="1"/>
    <col min="9761" max="9761" width="11" style="339" bestFit="1" customWidth="1"/>
    <col min="9762" max="9762" width="13.33203125" style="339" bestFit="1" customWidth="1"/>
    <col min="9763" max="9763" width="17" style="339" bestFit="1" customWidth="1"/>
    <col min="9764" max="9764" width="14.1328125" style="339" bestFit="1" customWidth="1"/>
    <col min="9765" max="9766" width="16.33203125" style="339" bestFit="1" customWidth="1"/>
    <col min="9767" max="9767" width="14.33203125" style="339" bestFit="1" customWidth="1"/>
    <col min="9768" max="9768" width="15.1328125" style="339" bestFit="1" customWidth="1"/>
    <col min="9769" max="9769" width="12.6640625" style="339" bestFit="1" customWidth="1"/>
    <col min="9770" max="9770" width="11.6640625" style="339" bestFit="1" customWidth="1"/>
    <col min="9771" max="9771" width="11" style="339" bestFit="1" customWidth="1"/>
    <col min="9772" max="9772" width="11.6640625" style="339" bestFit="1" customWidth="1"/>
    <col min="9773" max="9773" width="11" style="339" bestFit="1" customWidth="1"/>
    <col min="9774" max="9774" width="13.33203125" style="339" bestFit="1" customWidth="1"/>
    <col min="9775" max="9775" width="17" style="339" bestFit="1" customWidth="1"/>
    <col min="9776" max="9776" width="14.1328125" style="339" bestFit="1" customWidth="1"/>
    <col min="9777" max="9778" width="16.33203125" style="339" bestFit="1" customWidth="1"/>
    <col min="9779" max="9779" width="14.33203125" style="339" bestFit="1" customWidth="1"/>
    <col min="9780" max="9780" width="15.1328125" style="339" bestFit="1" customWidth="1"/>
    <col min="9781" max="9781" width="12.6640625" style="339" bestFit="1" customWidth="1"/>
    <col min="9782" max="9782" width="11.6640625" style="339" bestFit="1" customWidth="1"/>
    <col min="9783" max="9783" width="11" style="339" bestFit="1" customWidth="1"/>
    <col min="9784" max="9784" width="11.6640625" style="339" bestFit="1" customWidth="1"/>
    <col min="9785" max="9785" width="11" style="339" bestFit="1" customWidth="1"/>
    <col min="9786" max="9786" width="13.33203125" style="339" bestFit="1" customWidth="1"/>
    <col min="9787" max="9787" width="17" style="339" bestFit="1" customWidth="1"/>
    <col min="9788" max="9788" width="14.1328125" style="339" bestFit="1" customWidth="1"/>
    <col min="9789" max="9790" width="16.33203125" style="339" bestFit="1" customWidth="1"/>
    <col min="9791" max="9791" width="14.33203125" style="339" bestFit="1" customWidth="1"/>
    <col min="9792" max="9792" width="15.1328125" style="339" bestFit="1" customWidth="1"/>
    <col min="9793" max="9793" width="12.6640625" style="339" bestFit="1" customWidth="1"/>
    <col min="9794" max="9794" width="11.6640625" style="339" bestFit="1" customWidth="1"/>
    <col min="9795" max="9795" width="11" style="339" bestFit="1" customWidth="1"/>
    <col min="9796" max="9796" width="11.6640625" style="339" bestFit="1" customWidth="1"/>
    <col min="9797" max="9797" width="11" style="339" bestFit="1" customWidth="1"/>
    <col min="9798" max="9798" width="13.33203125" style="339" bestFit="1" customWidth="1"/>
    <col min="9799" max="9799" width="17" style="339" bestFit="1" customWidth="1"/>
    <col min="9800" max="9800" width="14.1328125" style="339" bestFit="1" customWidth="1"/>
    <col min="9801" max="9802" width="16.33203125" style="339" bestFit="1" customWidth="1"/>
    <col min="9803" max="9803" width="14.33203125" style="339" bestFit="1" customWidth="1"/>
    <col min="9804" max="9804" width="15.1328125" style="339" bestFit="1" customWidth="1"/>
    <col min="9805" max="9805" width="12.6640625" style="339" bestFit="1" customWidth="1"/>
    <col min="9806" max="9806" width="11.6640625" style="339" bestFit="1" customWidth="1"/>
    <col min="9807" max="9807" width="11" style="339" bestFit="1" customWidth="1"/>
    <col min="9808" max="9808" width="11.6640625" style="339" bestFit="1" customWidth="1"/>
    <col min="9809" max="9809" width="11" style="339" bestFit="1" customWidth="1"/>
    <col min="9810" max="9810" width="13.33203125" style="339" bestFit="1" customWidth="1"/>
    <col min="9811" max="9811" width="17" style="339" bestFit="1" customWidth="1"/>
    <col min="9812" max="9812" width="14.1328125" style="339" bestFit="1" customWidth="1"/>
    <col min="9813" max="9814" width="16.33203125" style="339" bestFit="1" customWidth="1"/>
    <col min="9815" max="9815" width="14.33203125" style="339" bestFit="1" customWidth="1"/>
    <col min="9816" max="9816" width="15.1328125" style="339" bestFit="1" customWidth="1"/>
    <col min="9817" max="9817" width="12.6640625" style="339" bestFit="1" customWidth="1"/>
    <col min="9818" max="9818" width="11.6640625" style="339" bestFit="1" customWidth="1"/>
    <col min="9819" max="9819" width="11" style="339" bestFit="1" customWidth="1"/>
    <col min="9820" max="9820" width="11.6640625" style="339" bestFit="1" customWidth="1"/>
    <col min="9821" max="9821" width="11" style="339" bestFit="1" customWidth="1"/>
    <col min="9822" max="9822" width="13.33203125" style="339" bestFit="1" customWidth="1"/>
    <col min="9823" max="9824" width="17" style="339" bestFit="1" customWidth="1"/>
    <col min="9825" max="9988" width="9" style="339"/>
    <col min="9989" max="9989" width="12.1328125" style="339" customWidth="1"/>
    <col min="9990" max="9993" width="9" style="339"/>
    <col min="9994" max="9994" width="91.33203125" style="339" bestFit="1" customWidth="1"/>
    <col min="9995" max="9995" width="10.6640625" style="339" customWidth="1"/>
    <col min="9996" max="9996" width="14.1328125" style="339" bestFit="1" customWidth="1"/>
    <col min="9997" max="9998" width="16.33203125" style="339" bestFit="1" customWidth="1"/>
    <col min="9999" max="9999" width="14.33203125" style="339" bestFit="1" customWidth="1"/>
    <col min="10000" max="10000" width="15.1328125" style="339" bestFit="1" customWidth="1"/>
    <col min="10001" max="10001" width="12.6640625" style="339" bestFit="1" customWidth="1"/>
    <col min="10002" max="10002" width="11.6640625" style="339" bestFit="1" customWidth="1"/>
    <col min="10003" max="10003" width="11" style="339" bestFit="1" customWidth="1"/>
    <col min="10004" max="10004" width="13.6640625" style="339" bestFit="1" customWidth="1"/>
    <col min="10005" max="10005" width="11" style="339" bestFit="1" customWidth="1"/>
    <col min="10006" max="10006" width="13.33203125" style="339" bestFit="1" customWidth="1"/>
    <col min="10007" max="10007" width="17" style="339" bestFit="1" customWidth="1"/>
    <col min="10008" max="10008" width="14.1328125" style="339" bestFit="1" customWidth="1"/>
    <col min="10009" max="10010" width="16.33203125" style="339" bestFit="1" customWidth="1"/>
    <col min="10011" max="10011" width="14.33203125" style="339" bestFit="1" customWidth="1"/>
    <col min="10012" max="10012" width="15.1328125" style="339" bestFit="1" customWidth="1"/>
    <col min="10013" max="10013" width="12.6640625" style="339" bestFit="1" customWidth="1"/>
    <col min="10014" max="10014" width="11.6640625" style="339" bestFit="1" customWidth="1"/>
    <col min="10015" max="10015" width="11" style="339" bestFit="1" customWidth="1"/>
    <col min="10016" max="10016" width="11.6640625" style="339" bestFit="1" customWidth="1"/>
    <col min="10017" max="10017" width="11" style="339" bestFit="1" customWidth="1"/>
    <col min="10018" max="10018" width="13.33203125" style="339" bestFit="1" customWidth="1"/>
    <col min="10019" max="10019" width="17" style="339" bestFit="1" customWidth="1"/>
    <col min="10020" max="10020" width="14.1328125" style="339" bestFit="1" customWidth="1"/>
    <col min="10021" max="10022" width="16.33203125" style="339" bestFit="1" customWidth="1"/>
    <col min="10023" max="10023" width="14.33203125" style="339" bestFit="1" customWidth="1"/>
    <col min="10024" max="10024" width="15.1328125" style="339" bestFit="1" customWidth="1"/>
    <col min="10025" max="10025" width="12.6640625" style="339" bestFit="1" customWidth="1"/>
    <col min="10026" max="10026" width="11.6640625" style="339" bestFit="1" customWidth="1"/>
    <col min="10027" max="10027" width="11" style="339" bestFit="1" customWidth="1"/>
    <col min="10028" max="10028" width="11.6640625" style="339" bestFit="1" customWidth="1"/>
    <col min="10029" max="10029" width="11" style="339" bestFit="1" customWidth="1"/>
    <col min="10030" max="10030" width="13.33203125" style="339" bestFit="1" customWidth="1"/>
    <col min="10031" max="10031" width="17" style="339" bestFit="1" customWidth="1"/>
    <col min="10032" max="10032" width="14.1328125" style="339" bestFit="1" customWidth="1"/>
    <col min="10033" max="10034" width="16.33203125" style="339" bestFit="1" customWidth="1"/>
    <col min="10035" max="10035" width="14.33203125" style="339" bestFit="1" customWidth="1"/>
    <col min="10036" max="10036" width="15.1328125" style="339" bestFit="1" customWidth="1"/>
    <col min="10037" max="10037" width="12.6640625" style="339" bestFit="1" customWidth="1"/>
    <col min="10038" max="10038" width="11.6640625" style="339" bestFit="1" customWidth="1"/>
    <col min="10039" max="10039" width="11" style="339" bestFit="1" customWidth="1"/>
    <col min="10040" max="10040" width="11.6640625" style="339" bestFit="1" customWidth="1"/>
    <col min="10041" max="10041" width="11" style="339" bestFit="1" customWidth="1"/>
    <col min="10042" max="10042" width="13.33203125" style="339" bestFit="1" customWidth="1"/>
    <col min="10043" max="10043" width="17" style="339" bestFit="1" customWidth="1"/>
    <col min="10044" max="10044" width="14.1328125" style="339" bestFit="1" customWidth="1"/>
    <col min="10045" max="10046" width="16.33203125" style="339" bestFit="1" customWidth="1"/>
    <col min="10047" max="10047" width="14.33203125" style="339" bestFit="1" customWidth="1"/>
    <col min="10048" max="10048" width="15.1328125" style="339" bestFit="1" customWidth="1"/>
    <col min="10049" max="10049" width="12.6640625" style="339" bestFit="1" customWidth="1"/>
    <col min="10050" max="10050" width="11.6640625" style="339" bestFit="1" customWidth="1"/>
    <col min="10051" max="10051" width="11" style="339" bestFit="1" customWidth="1"/>
    <col min="10052" max="10052" width="11.6640625" style="339" bestFit="1" customWidth="1"/>
    <col min="10053" max="10053" width="11" style="339" bestFit="1" customWidth="1"/>
    <col min="10054" max="10054" width="13.33203125" style="339" bestFit="1" customWidth="1"/>
    <col min="10055" max="10055" width="17" style="339" bestFit="1" customWidth="1"/>
    <col min="10056" max="10056" width="14.1328125" style="339" bestFit="1" customWidth="1"/>
    <col min="10057" max="10058" width="16.33203125" style="339" bestFit="1" customWidth="1"/>
    <col min="10059" max="10059" width="14.33203125" style="339" bestFit="1" customWidth="1"/>
    <col min="10060" max="10060" width="15.1328125" style="339" bestFit="1" customWidth="1"/>
    <col min="10061" max="10061" width="12.6640625" style="339" bestFit="1" customWidth="1"/>
    <col min="10062" max="10062" width="11.6640625" style="339" bestFit="1" customWidth="1"/>
    <col min="10063" max="10063" width="11" style="339" bestFit="1" customWidth="1"/>
    <col min="10064" max="10064" width="11.6640625" style="339" bestFit="1" customWidth="1"/>
    <col min="10065" max="10065" width="11" style="339" bestFit="1" customWidth="1"/>
    <col min="10066" max="10066" width="13.33203125" style="339" bestFit="1" customWidth="1"/>
    <col min="10067" max="10067" width="17" style="339" bestFit="1" customWidth="1"/>
    <col min="10068" max="10068" width="14.1328125" style="339" bestFit="1" customWidth="1"/>
    <col min="10069" max="10070" width="16.33203125" style="339" bestFit="1" customWidth="1"/>
    <col min="10071" max="10071" width="14.33203125" style="339" bestFit="1" customWidth="1"/>
    <col min="10072" max="10072" width="15.1328125" style="339" bestFit="1" customWidth="1"/>
    <col min="10073" max="10073" width="12.6640625" style="339" bestFit="1" customWidth="1"/>
    <col min="10074" max="10074" width="11.6640625" style="339" bestFit="1" customWidth="1"/>
    <col min="10075" max="10075" width="11" style="339" bestFit="1" customWidth="1"/>
    <col min="10076" max="10076" width="11.6640625" style="339" bestFit="1" customWidth="1"/>
    <col min="10077" max="10077" width="11" style="339" bestFit="1" customWidth="1"/>
    <col min="10078" max="10078" width="13.33203125" style="339" bestFit="1" customWidth="1"/>
    <col min="10079" max="10080" width="17" style="339" bestFit="1" customWidth="1"/>
    <col min="10081" max="10244" width="9" style="339"/>
    <col min="10245" max="10245" width="12.1328125" style="339" customWidth="1"/>
    <col min="10246" max="10249" width="9" style="339"/>
    <col min="10250" max="10250" width="91.33203125" style="339" bestFit="1" customWidth="1"/>
    <col min="10251" max="10251" width="10.6640625" style="339" customWidth="1"/>
    <col min="10252" max="10252" width="14.1328125" style="339" bestFit="1" customWidth="1"/>
    <col min="10253" max="10254" width="16.33203125" style="339" bestFit="1" customWidth="1"/>
    <col min="10255" max="10255" width="14.33203125" style="339" bestFit="1" customWidth="1"/>
    <col min="10256" max="10256" width="15.1328125" style="339" bestFit="1" customWidth="1"/>
    <col min="10257" max="10257" width="12.6640625" style="339" bestFit="1" customWidth="1"/>
    <col min="10258" max="10258" width="11.6640625" style="339" bestFit="1" customWidth="1"/>
    <col min="10259" max="10259" width="11" style="339" bestFit="1" customWidth="1"/>
    <col min="10260" max="10260" width="13.6640625" style="339" bestFit="1" customWidth="1"/>
    <col min="10261" max="10261" width="11" style="339" bestFit="1" customWidth="1"/>
    <col min="10262" max="10262" width="13.33203125" style="339" bestFit="1" customWidth="1"/>
    <col min="10263" max="10263" width="17" style="339" bestFit="1" customWidth="1"/>
    <col min="10264" max="10264" width="14.1328125" style="339" bestFit="1" customWidth="1"/>
    <col min="10265" max="10266" width="16.33203125" style="339" bestFit="1" customWidth="1"/>
    <col min="10267" max="10267" width="14.33203125" style="339" bestFit="1" customWidth="1"/>
    <col min="10268" max="10268" width="15.1328125" style="339" bestFit="1" customWidth="1"/>
    <col min="10269" max="10269" width="12.6640625" style="339" bestFit="1" customWidth="1"/>
    <col min="10270" max="10270" width="11.6640625" style="339" bestFit="1" customWidth="1"/>
    <col min="10271" max="10271" width="11" style="339" bestFit="1" customWidth="1"/>
    <col min="10272" max="10272" width="11.6640625" style="339" bestFit="1" customWidth="1"/>
    <col min="10273" max="10273" width="11" style="339" bestFit="1" customWidth="1"/>
    <col min="10274" max="10274" width="13.33203125" style="339" bestFit="1" customWidth="1"/>
    <col min="10275" max="10275" width="17" style="339" bestFit="1" customWidth="1"/>
    <col min="10276" max="10276" width="14.1328125" style="339" bestFit="1" customWidth="1"/>
    <col min="10277" max="10278" width="16.33203125" style="339" bestFit="1" customWidth="1"/>
    <col min="10279" max="10279" width="14.33203125" style="339" bestFit="1" customWidth="1"/>
    <col min="10280" max="10280" width="15.1328125" style="339" bestFit="1" customWidth="1"/>
    <col min="10281" max="10281" width="12.6640625" style="339" bestFit="1" customWidth="1"/>
    <col min="10282" max="10282" width="11.6640625" style="339" bestFit="1" customWidth="1"/>
    <col min="10283" max="10283" width="11" style="339" bestFit="1" customWidth="1"/>
    <col min="10284" max="10284" width="11.6640625" style="339" bestFit="1" customWidth="1"/>
    <col min="10285" max="10285" width="11" style="339" bestFit="1" customWidth="1"/>
    <col min="10286" max="10286" width="13.33203125" style="339" bestFit="1" customWidth="1"/>
    <col min="10287" max="10287" width="17" style="339" bestFit="1" customWidth="1"/>
    <col min="10288" max="10288" width="14.1328125" style="339" bestFit="1" customWidth="1"/>
    <col min="10289" max="10290" width="16.33203125" style="339" bestFit="1" customWidth="1"/>
    <col min="10291" max="10291" width="14.33203125" style="339" bestFit="1" customWidth="1"/>
    <col min="10292" max="10292" width="15.1328125" style="339" bestFit="1" customWidth="1"/>
    <col min="10293" max="10293" width="12.6640625" style="339" bestFit="1" customWidth="1"/>
    <col min="10294" max="10294" width="11.6640625" style="339" bestFit="1" customWidth="1"/>
    <col min="10295" max="10295" width="11" style="339" bestFit="1" customWidth="1"/>
    <col min="10296" max="10296" width="11.6640625" style="339" bestFit="1" customWidth="1"/>
    <col min="10297" max="10297" width="11" style="339" bestFit="1" customWidth="1"/>
    <col min="10298" max="10298" width="13.33203125" style="339" bestFit="1" customWidth="1"/>
    <col min="10299" max="10299" width="17" style="339" bestFit="1" customWidth="1"/>
    <col min="10300" max="10300" width="14.1328125" style="339" bestFit="1" customWidth="1"/>
    <col min="10301" max="10302" width="16.33203125" style="339" bestFit="1" customWidth="1"/>
    <col min="10303" max="10303" width="14.33203125" style="339" bestFit="1" customWidth="1"/>
    <col min="10304" max="10304" width="15.1328125" style="339" bestFit="1" customWidth="1"/>
    <col min="10305" max="10305" width="12.6640625" style="339" bestFit="1" customWidth="1"/>
    <col min="10306" max="10306" width="11.6640625" style="339" bestFit="1" customWidth="1"/>
    <col min="10307" max="10307" width="11" style="339" bestFit="1" customWidth="1"/>
    <col min="10308" max="10308" width="11.6640625" style="339" bestFit="1" customWidth="1"/>
    <col min="10309" max="10309" width="11" style="339" bestFit="1" customWidth="1"/>
    <col min="10310" max="10310" width="13.33203125" style="339" bestFit="1" customWidth="1"/>
    <col min="10311" max="10311" width="17" style="339" bestFit="1" customWidth="1"/>
    <col min="10312" max="10312" width="14.1328125" style="339" bestFit="1" customWidth="1"/>
    <col min="10313" max="10314" width="16.33203125" style="339" bestFit="1" customWidth="1"/>
    <col min="10315" max="10315" width="14.33203125" style="339" bestFit="1" customWidth="1"/>
    <col min="10316" max="10316" width="15.1328125" style="339" bestFit="1" customWidth="1"/>
    <col min="10317" max="10317" width="12.6640625" style="339" bestFit="1" customWidth="1"/>
    <col min="10318" max="10318" width="11.6640625" style="339" bestFit="1" customWidth="1"/>
    <col min="10319" max="10319" width="11" style="339" bestFit="1" customWidth="1"/>
    <col min="10320" max="10320" width="11.6640625" style="339" bestFit="1" customWidth="1"/>
    <col min="10321" max="10321" width="11" style="339" bestFit="1" customWidth="1"/>
    <col min="10322" max="10322" width="13.33203125" style="339" bestFit="1" customWidth="1"/>
    <col min="10323" max="10323" width="17" style="339" bestFit="1" customWidth="1"/>
    <col min="10324" max="10324" width="14.1328125" style="339" bestFit="1" customWidth="1"/>
    <col min="10325" max="10326" width="16.33203125" style="339" bestFit="1" customWidth="1"/>
    <col min="10327" max="10327" width="14.33203125" style="339" bestFit="1" customWidth="1"/>
    <col min="10328" max="10328" width="15.1328125" style="339" bestFit="1" customWidth="1"/>
    <col min="10329" max="10329" width="12.6640625" style="339" bestFit="1" customWidth="1"/>
    <col min="10330" max="10330" width="11.6640625" style="339" bestFit="1" customWidth="1"/>
    <col min="10331" max="10331" width="11" style="339" bestFit="1" customWidth="1"/>
    <col min="10332" max="10332" width="11.6640625" style="339" bestFit="1" customWidth="1"/>
    <col min="10333" max="10333" width="11" style="339" bestFit="1" customWidth="1"/>
    <col min="10334" max="10334" width="13.33203125" style="339" bestFit="1" customWidth="1"/>
    <col min="10335" max="10336" width="17" style="339" bestFit="1" customWidth="1"/>
    <col min="10337" max="10500" width="9" style="339"/>
    <col min="10501" max="10501" width="12.1328125" style="339" customWidth="1"/>
    <col min="10502" max="10505" width="9" style="339"/>
    <col min="10506" max="10506" width="91.33203125" style="339" bestFit="1" customWidth="1"/>
    <col min="10507" max="10507" width="10.6640625" style="339" customWidth="1"/>
    <col min="10508" max="10508" width="14.1328125" style="339" bestFit="1" customWidth="1"/>
    <col min="10509" max="10510" width="16.33203125" style="339" bestFit="1" customWidth="1"/>
    <col min="10511" max="10511" width="14.33203125" style="339" bestFit="1" customWidth="1"/>
    <col min="10512" max="10512" width="15.1328125" style="339" bestFit="1" customWidth="1"/>
    <col min="10513" max="10513" width="12.6640625" style="339" bestFit="1" customWidth="1"/>
    <col min="10514" max="10514" width="11.6640625" style="339" bestFit="1" customWidth="1"/>
    <col min="10515" max="10515" width="11" style="339" bestFit="1" customWidth="1"/>
    <col min="10516" max="10516" width="13.6640625" style="339" bestFit="1" customWidth="1"/>
    <col min="10517" max="10517" width="11" style="339" bestFit="1" customWidth="1"/>
    <col min="10518" max="10518" width="13.33203125" style="339" bestFit="1" customWidth="1"/>
    <col min="10519" max="10519" width="17" style="339" bestFit="1" customWidth="1"/>
    <col min="10520" max="10520" width="14.1328125" style="339" bestFit="1" customWidth="1"/>
    <col min="10521" max="10522" width="16.33203125" style="339" bestFit="1" customWidth="1"/>
    <col min="10523" max="10523" width="14.33203125" style="339" bestFit="1" customWidth="1"/>
    <col min="10524" max="10524" width="15.1328125" style="339" bestFit="1" customWidth="1"/>
    <col min="10525" max="10525" width="12.6640625" style="339" bestFit="1" customWidth="1"/>
    <col min="10526" max="10526" width="11.6640625" style="339" bestFit="1" customWidth="1"/>
    <col min="10527" max="10527" width="11" style="339" bestFit="1" customWidth="1"/>
    <col min="10528" max="10528" width="11.6640625" style="339" bestFit="1" customWidth="1"/>
    <col min="10529" max="10529" width="11" style="339" bestFit="1" customWidth="1"/>
    <col min="10530" max="10530" width="13.33203125" style="339" bestFit="1" customWidth="1"/>
    <col min="10531" max="10531" width="17" style="339" bestFit="1" customWidth="1"/>
    <col min="10532" max="10532" width="14.1328125" style="339" bestFit="1" customWidth="1"/>
    <col min="10533" max="10534" width="16.33203125" style="339" bestFit="1" customWidth="1"/>
    <col min="10535" max="10535" width="14.33203125" style="339" bestFit="1" customWidth="1"/>
    <col min="10536" max="10536" width="15.1328125" style="339" bestFit="1" customWidth="1"/>
    <col min="10537" max="10537" width="12.6640625" style="339" bestFit="1" customWidth="1"/>
    <col min="10538" max="10538" width="11.6640625" style="339" bestFit="1" customWidth="1"/>
    <col min="10539" max="10539" width="11" style="339" bestFit="1" customWidth="1"/>
    <col min="10540" max="10540" width="11.6640625" style="339" bestFit="1" customWidth="1"/>
    <col min="10541" max="10541" width="11" style="339" bestFit="1" customWidth="1"/>
    <col min="10542" max="10542" width="13.33203125" style="339" bestFit="1" customWidth="1"/>
    <col min="10543" max="10543" width="17" style="339" bestFit="1" customWidth="1"/>
    <col min="10544" max="10544" width="14.1328125" style="339" bestFit="1" customWidth="1"/>
    <col min="10545" max="10546" width="16.33203125" style="339" bestFit="1" customWidth="1"/>
    <col min="10547" max="10547" width="14.33203125" style="339" bestFit="1" customWidth="1"/>
    <col min="10548" max="10548" width="15.1328125" style="339" bestFit="1" customWidth="1"/>
    <col min="10549" max="10549" width="12.6640625" style="339" bestFit="1" customWidth="1"/>
    <col min="10550" max="10550" width="11.6640625" style="339" bestFit="1" customWidth="1"/>
    <col min="10551" max="10551" width="11" style="339" bestFit="1" customWidth="1"/>
    <col min="10552" max="10552" width="11.6640625" style="339" bestFit="1" customWidth="1"/>
    <col min="10553" max="10553" width="11" style="339" bestFit="1" customWidth="1"/>
    <col min="10554" max="10554" width="13.33203125" style="339" bestFit="1" customWidth="1"/>
    <col min="10555" max="10555" width="17" style="339" bestFit="1" customWidth="1"/>
    <col min="10556" max="10556" width="14.1328125" style="339" bestFit="1" customWidth="1"/>
    <col min="10557" max="10558" width="16.33203125" style="339" bestFit="1" customWidth="1"/>
    <col min="10559" max="10559" width="14.33203125" style="339" bestFit="1" customWidth="1"/>
    <col min="10560" max="10560" width="15.1328125" style="339" bestFit="1" customWidth="1"/>
    <col min="10561" max="10561" width="12.6640625" style="339" bestFit="1" customWidth="1"/>
    <col min="10562" max="10562" width="11.6640625" style="339" bestFit="1" customWidth="1"/>
    <col min="10563" max="10563" width="11" style="339" bestFit="1" customWidth="1"/>
    <col min="10564" max="10564" width="11.6640625" style="339" bestFit="1" customWidth="1"/>
    <col min="10565" max="10565" width="11" style="339" bestFit="1" customWidth="1"/>
    <col min="10566" max="10566" width="13.33203125" style="339" bestFit="1" customWidth="1"/>
    <col min="10567" max="10567" width="17" style="339" bestFit="1" customWidth="1"/>
    <col min="10568" max="10568" width="14.1328125" style="339" bestFit="1" customWidth="1"/>
    <col min="10569" max="10570" width="16.33203125" style="339" bestFit="1" customWidth="1"/>
    <col min="10571" max="10571" width="14.33203125" style="339" bestFit="1" customWidth="1"/>
    <col min="10572" max="10572" width="15.1328125" style="339" bestFit="1" customWidth="1"/>
    <col min="10573" max="10573" width="12.6640625" style="339" bestFit="1" customWidth="1"/>
    <col min="10574" max="10574" width="11.6640625" style="339" bestFit="1" customWidth="1"/>
    <col min="10575" max="10575" width="11" style="339" bestFit="1" customWidth="1"/>
    <col min="10576" max="10576" width="11.6640625" style="339" bestFit="1" customWidth="1"/>
    <col min="10577" max="10577" width="11" style="339" bestFit="1" customWidth="1"/>
    <col min="10578" max="10578" width="13.33203125" style="339" bestFit="1" customWidth="1"/>
    <col min="10579" max="10579" width="17" style="339" bestFit="1" customWidth="1"/>
    <col min="10580" max="10580" width="14.1328125" style="339" bestFit="1" customWidth="1"/>
    <col min="10581" max="10582" width="16.33203125" style="339" bestFit="1" customWidth="1"/>
    <col min="10583" max="10583" width="14.33203125" style="339" bestFit="1" customWidth="1"/>
    <col min="10584" max="10584" width="15.1328125" style="339" bestFit="1" customWidth="1"/>
    <col min="10585" max="10585" width="12.6640625" style="339" bestFit="1" customWidth="1"/>
    <col min="10586" max="10586" width="11.6640625" style="339" bestFit="1" customWidth="1"/>
    <col min="10587" max="10587" width="11" style="339" bestFit="1" customWidth="1"/>
    <col min="10588" max="10588" width="11.6640625" style="339" bestFit="1" customWidth="1"/>
    <col min="10589" max="10589" width="11" style="339" bestFit="1" customWidth="1"/>
    <col min="10590" max="10590" width="13.33203125" style="339" bestFit="1" customWidth="1"/>
    <col min="10591" max="10592" width="17" style="339" bestFit="1" customWidth="1"/>
    <col min="10593" max="10756" width="9" style="339"/>
    <col min="10757" max="10757" width="12.1328125" style="339" customWidth="1"/>
    <col min="10758" max="10761" width="9" style="339"/>
    <col min="10762" max="10762" width="91.33203125" style="339" bestFit="1" customWidth="1"/>
    <col min="10763" max="10763" width="10.6640625" style="339" customWidth="1"/>
    <col min="10764" max="10764" width="14.1328125" style="339" bestFit="1" customWidth="1"/>
    <col min="10765" max="10766" width="16.33203125" style="339" bestFit="1" customWidth="1"/>
    <col min="10767" max="10767" width="14.33203125" style="339" bestFit="1" customWidth="1"/>
    <col min="10768" max="10768" width="15.1328125" style="339" bestFit="1" customWidth="1"/>
    <col min="10769" max="10769" width="12.6640625" style="339" bestFit="1" customWidth="1"/>
    <col min="10770" max="10770" width="11.6640625" style="339" bestFit="1" customWidth="1"/>
    <col min="10771" max="10771" width="11" style="339" bestFit="1" customWidth="1"/>
    <col min="10772" max="10772" width="13.6640625" style="339" bestFit="1" customWidth="1"/>
    <col min="10773" max="10773" width="11" style="339" bestFit="1" customWidth="1"/>
    <col min="10774" max="10774" width="13.33203125" style="339" bestFit="1" customWidth="1"/>
    <col min="10775" max="10775" width="17" style="339" bestFit="1" customWidth="1"/>
    <col min="10776" max="10776" width="14.1328125" style="339" bestFit="1" customWidth="1"/>
    <col min="10777" max="10778" width="16.33203125" style="339" bestFit="1" customWidth="1"/>
    <col min="10779" max="10779" width="14.33203125" style="339" bestFit="1" customWidth="1"/>
    <col min="10780" max="10780" width="15.1328125" style="339" bestFit="1" customWidth="1"/>
    <col min="10781" max="10781" width="12.6640625" style="339" bestFit="1" customWidth="1"/>
    <col min="10782" max="10782" width="11.6640625" style="339" bestFit="1" customWidth="1"/>
    <col min="10783" max="10783" width="11" style="339" bestFit="1" customWidth="1"/>
    <col min="10784" max="10784" width="11.6640625" style="339" bestFit="1" customWidth="1"/>
    <col min="10785" max="10785" width="11" style="339" bestFit="1" customWidth="1"/>
    <col min="10786" max="10786" width="13.33203125" style="339" bestFit="1" customWidth="1"/>
    <col min="10787" max="10787" width="17" style="339" bestFit="1" customWidth="1"/>
    <col min="10788" max="10788" width="14.1328125" style="339" bestFit="1" customWidth="1"/>
    <col min="10789" max="10790" width="16.33203125" style="339" bestFit="1" customWidth="1"/>
    <col min="10791" max="10791" width="14.33203125" style="339" bestFit="1" customWidth="1"/>
    <col min="10792" max="10792" width="15.1328125" style="339" bestFit="1" customWidth="1"/>
    <col min="10793" max="10793" width="12.6640625" style="339" bestFit="1" customWidth="1"/>
    <col min="10794" max="10794" width="11.6640625" style="339" bestFit="1" customWidth="1"/>
    <col min="10795" max="10795" width="11" style="339" bestFit="1" customWidth="1"/>
    <col min="10796" max="10796" width="11.6640625" style="339" bestFit="1" customWidth="1"/>
    <col min="10797" max="10797" width="11" style="339" bestFit="1" customWidth="1"/>
    <col min="10798" max="10798" width="13.33203125" style="339" bestFit="1" customWidth="1"/>
    <col min="10799" max="10799" width="17" style="339" bestFit="1" customWidth="1"/>
    <col min="10800" max="10800" width="14.1328125" style="339" bestFit="1" customWidth="1"/>
    <col min="10801" max="10802" width="16.33203125" style="339" bestFit="1" customWidth="1"/>
    <col min="10803" max="10803" width="14.33203125" style="339" bestFit="1" customWidth="1"/>
    <col min="10804" max="10804" width="15.1328125" style="339" bestFit="1" customWidth="1"/>
    <col min="10805" max="10805" width="12.6640625" style="339" bestFit="1" customWidth="1"/>
    <col min="10806" max="10806" width="11.6640625" style="339" bestFit="1" customWidth="1"/>
    <col min="10807" max="10807" width="11" style="339" bestFit="1" customWidth="1"/>
    <col min="10808" max="10808" width="11.6640625" style="339" bestFit="1" customWidth="1"/>
    <col min="10809" max="10809" width="11" style="339" bestFit="1" customWidth="1"/>
    <col min="10810" max="10810" width="13.33203125" style="339" bestFit="1" customWidth="1"/>
    <col min="10811" max="10811" width="17" style="339" bestFit="1" customWidth="1"/>
    <col min="10812" max="10812" width="14.1328125" style="339" bestFit="1" customWidth="1"/>
    <col min="10813" max="10814" width="16.33203125" style="339" bestFit="1" customWidth="1"/>
    <col min="10815" max="10815" width="14.33203125" style="339" bestFit="1" customWidth="1"/>
    <col min="10816" max="10816" width="15.1328125" style="339" bestFit="1" customWidth="1"/>
    <col min="10817" max="10817" width="12.6640625" style="339" bestFit="1" customWidth="1"/>
    <col min="10818" max="10818" width="11.6640625" style="339" bestFit="1" customWidth="1"/>
    <col min="10819" max="10819" width="11" style="339" bestFit="1" customWidth="1"/>
    <col min="10820" max="10820" width="11.6640625" style="339" bestFit="1" customWidth="1"/>
    <col min="10821" max="10821" width="11" style="339" bestFit="1" customWidth="1"/>
    <col min="10822" max="10822" width="13.33203125" style="339" bestFit="1" customWidth="1"/>
    <col min="10823" max="10823" width="17" style="339" bestFit="1" customWidth="1"/>
    <col min="10824" max="10824" width="14.1328125" style="339" bestFit="1" customWidth="1"/>
    <col min="10825" max="10826" width="16.33203125" style="339" bestFit="1" customWidth="1"/>
    <col min="10827" max="10827" width="14.33203125" style="339" bestFit="1" customWidth="1"/>
    <col min="10828" max="10828" width="15.1328125" style="339" bestFit="1" customWidth="1"/>
    <col min="10829" max="10829" width="12.6640625" style="339" bestFit="1" customWidth="1"/>
    <col min="10830" max="10830" width="11.6640625" style="339" bestFit="1" customWidth="1"/>
    <col min="10831" max="10831" width="11" style="339" bestFit="1" customWidth="1"/>
    <col min="10832" max="10832" width="11.6640625" style="339" bestFit="1" customWidth="1"/>
    <col min="10833" max="10833" width="11" style="339" bestFit="1" customWidth="1"/>
    <col min="10834" max="10834" width="13.33203125" style="339" bestFit="1" customWidth="1"/>
    <col min="10835" max="10835" width="17" style="339" bestFit="1" customWidth="1"/>
    <col min="10836" max="10836" width="14.1328125" style="339" bestFit="1" customWidth="1"/>
    <col min="10837" max="10838" width="16.33203125" style="339" bestFit="1" customWidth="1"/>
    <col min="10839" max="10839" width="14.33203125" style="339" bestFit="1" customWidth="1"/>
    <col min="10840" max="10840" width="15.1328125" style="339" bestFit="1" customWidth="1"/>
    <col min="10841" max="10841" width="12.6640625" style="339" bestFit="1" customWidth="1"/>
    <col min="10842" max="10842" width="11.6640625" style="339" bestFit="1" customWidth="1"/>
    <col min="10843" max="10843" width="11" style="339" bestFit="1" customWidth="1"/>
    <col min="10844" max="10844" width="11.6640625" style="339" bestFit="1" customWidth="1"/>
    <col min="10845" max="10845" width="11" style="339" bestFit="1" customWidth="1"/>
    <col min="10846" max="10846" width="13.33203125" style="339" bestFit="1" customWidth="1"/>
    <col min="10847" max="10848" width="17" style="339" bestFit="1" customWidth="1"/>
    <col min="10849" max="11012" width="9" style="339"/>
    <col min="11013" max="11013" width="12.1328125" style="339" customWidth="1"/>
    <col min="11014" max="11017" width="9" style="339"/>
    <col min="11018" max="11018" width="91.33203125" style="339" bestFit="1" customWidth="1"/>
    <col min="11019" max="11019" width="10.6640625" style="339" customWidth="1"/>
    <col min="11020" max="11020" width="14.1328125" style="339" bestFit="1" customWidth="1"/>
    <col min="11021" max="11022" width="16.33203125" style="339" bestFit="1" customWidth="1"/>
    <col min="11023" max="11023" width="14.33203125" style="339" bestFit="1" customWidth="1"/>
    <col min="11024" max="11024" width="15.1328125" style="339" bestFit="1" customWidth="1"/>
    <col min="11025" max="11025" width="12.6640625" style="339" bestFit="1" customWidth="1"/>
    <col min="11026" max="11026" width="11.6640625" style="339" bestFit="1" customWidth="1"/>
    <col min="11027" max="11027" width="11" style="339" bestFit="1" customWidth="1"/>
    <col min="11028" max="11028" width="13.6640625" style="339" bestFit="1" customWidth="1"/>
    <col min="11029" max="11029" width="11" style="339" bestFit="1" customWidth="1"/>
    <col min="11030" max="11030" width="13.33203125" style="339" bestFit="1" customWidth="1"/>
    <col min="11031" max="11031" width="17" style="339" bestFit="1" customWidth="1"/>
    <col min="11032" max="11032" width="14.1328125" style="339" bestFit="1" customWidth="1"/>
    <col min="11033" max="11034" width="16.33203125" style="339" bestFit="1" customWidth="1"/>
    <col min="11035" max="11035" width="14.33203125" style="339" bestFit="1" customWidth="1"/>
    <col min="11036" max="11036" width="15.1328125" style="339" bestFit="1" customWidth="1"/>
    <col min="11037" max="11037" width="12.6640625" style="339" bestFit="1" customWidth="1"/>
    <col min="11038" max="11038" width="11.6640625" style="339" bestFit="1" customWidth="1"/>
    <col min="11039" max="11039" width="11" style="339" bestFit="1" customWidth="1"/>
    <col min="11040" max="11040" width="11.6640625" style="339" bestFit="1" customWidth="1"/>
    <col min="11041" max="11041" width="11" style="339" bestFit="1" customWidth="1"/>
    <col min="11042" max="11042" width="13.33203125" style="339" bestFit="1" customWidth="1"/>
    <col min="11043" max="11043" width="17" style="339" bestFit="1" customWidth="1"/>
    <col min="11044" max="11044" width="14.1328125" style="339" bestFit="1" customWidth="1"/>
    <col min="11045" max="11046" width="16.33203125" style="339" bestFit="1" customWidth="1"/>
    <col min="11047" max="11047" width="14.33203125" style="339" bestFit="1" customWidth="1"/>
    <col min="11048" max="11048" width="15.1328125" style="339" bestFit="1" customWidth="1"/>
    <col min="11049" max="11049" width="12.6640625" style="339" bestFit="1" customWidth="1"/>
    <col min="11050" max="11050" width="11.6640625" style="339" bestFit="1" customWidth="1"/>
    <col min="11051" max="11051" width="11" style="339" bestFit="1" customWidth="1"/>
    <col min="11052" max="11052" width="11.6640625" style="339" bestFit="1" customWidth="1"/>
    <col min="11053" max="11053" width="11" style="339" bestFit="1" customWidth="1"/>
    <col min="11054" max="11054" width="13.33203125" style="339" bestFit="1" customWidth="1"/>
    <col min="11055" max="11055" width="17" style="339" bestFit="1" customWidth="1"/>
    <col min="11056" max="11056" width="14.1328125" style="339" bestFit="1" customWidth="1"/>
    <col min="11057" max="11058" width="16.33203125" style="339" bestFit="1" customWidth="1"/>
    <col min="11059" max="11059" width="14.33203125" style="339" bestFit="1" customWidth="1"/>
    <col min="11060" max="11060" width="15.1328125" style="339" bestFit="1" customWidth="1"/>
    <col min="11061" max="11061" width="12.6640625" style="339" bestFit="1" customWidth="1"/>
    <col min="11062" max="11062" width="11.6640625" style="339" bestFit="1" customWidth="1"/>
    <col min="11063" max="11063" width="11" style="339" bestFit="1" customWidth="1"/>
    <col min="11064" max="11064" width="11.6640625" style="339" bestFit="1" customWidth="1"/>
    <col min="11065" max="11065" width="11" style="339" bestFit="1" customWidth="1"/>
    <col min="11066" max="11066" width="13.33203125" style="339" bestFit="1" customWidth="1"/>
    <col min="11067" max="11067" width="17" style="339" bestFit="1" customWidth="1"/>
    <col min="11068" max="11068" width="14.1328125" style="339" bestFit="1" customWidth="1"/>
    <col min="11069" max="11070" width="16.33203125" style="339" bestFit="1" customWidth="1"/>
    <col min="11071" max="11071" width="14.33203125" style="339" bestFit="1" customWidth="1"/>
    <col min="11072" max="11072" width="15.1328125" style="339" bestFit="1" customWidth="1"/>
    <col min="11073" max="11073" width="12.6640625" style="339" bestFit="1" customWidth="1"/>
    <col min="11074" max="11074" width="11.6640625" style="339" bestFit="1" customWidth="1"/>
    <col min="11075" max="11075" width="11" style="339" bestFit="1" customWidth="1"/>
    <col min="11076" max="11076" width="11.6640625" style="339" bestFit="1" customWidth="1"/>
    <col min="11077" max="11077" width="11" style="339" bestFit="1" customWidth="1"/>
    <col min="11078" max="11078" width="13.33203125" style="339" bestFit="1" customWidth="1"/>
    <col min="11079" max="11079" width="17" style="339" bestFit="1" customWidth="1"/>
    <col min="11080" max="11080" width="14.1328125" style="339" bestFit="1" customWidth="1"/>
    <col min="11081" max="11082" width="16.33203125" style="339" bestFit="1" customWidth="1"/>
    <col min="11083" max="11083" width="14.33203125" style="339" bestFit="1" customWidth="1"/>
    <col min="11084" max="11084" width="15.1328125" style="339" bestFit="1" customWidth="1"/>
    <col min="11085" max="11085" width="12.6640625" style="339" bestFit="1" customWidth="1"/>
    <col min="11086" max="11086" width="11.6640625" style="339" bestFit="1" customWidth="1"/>
    <col min="11087" max="11087" width="11" style="339" bestFit="1" customWidth="1"/>
    <col min="11088" max="11088" width="11.6640625" style="339" bestFit="1" customWidth="1"/>
    <col min="11089" max="11089" width="11" style="339" bestFit="1" customWidth="1"/>
    <col min="11090" max="11090" width="13.33203125" style="339" bestFit="1" customWidth="1"/>
    <col min="11091" max="11091" width="17" style="339" bestFit="1" customWidth="1"/>
    <col min="11092" max="11092" width="14.1328125" style="339" bestFit="1" customWidth="1"/>
    <col min="11093" max="11094" width="16.33203125" style="339" bestFit="1" customWidth="1"/>
    <col min="11095" max="11095" width="14.33203125" style="339" bestFit="1" customWidth="1"/>
    <col min="11096" max="11096" width="15.1328125" style="339" bestFit="1" customWidth="1"/>
    <col min="11097" max="11097" width="12.6640625" style="339" bestFit="1" customWidth="1"/>
    <col min="11098" max="11098" width="11.6640625" style="339" bestFit="1" customWidth="1"/>
    <col min="11099" max="11099" width="11" style="339" bestFit="1" customWidth="1"/>
    <col min="11100" max="11100" width="11.6640625" style="339" bestFit="1" customWidth="1"/>
    <col min="11101" max="11101" width="11" style="339" bestFit="1" customWidth="1"/>
    <col min="11102" max="11102" width="13.33203125" style="339" bestFit="1" customWidth="1"/>
    <col min="11103" max="11104" width="17" style="339" bestFit="1" customWidth="1"/>
    <col min="11105" max="11268" width="9" style="339"/>
    <col min="11269" max="11269" width="12.1328125" style="339" customWidth="1"/>
    <col min="11270" max="11273" width="9" style="339"/>
    <col min="11274" max="11274" width="91.33203125" style="339" bestFit="1" customWidth="1"/>
    <col min="11275" max="11275" width="10.6640625" style="339" customWidth="1"/>
    <col min="11276" max="11276" width="14.1328125" style="339" bestFit="1" customWidth="1"/>
    <col min="11277" max="11278" width="16.33203125" style="339" bestFit="1" customWidth="1"/>
    <col min="11279" max="11279" width="14.33203125" style="339" bestFit="1" customWidth="1"/>
    <col min="11280" max="11280" width="15.1328125" style="339" bestFit="1" customWidth="1"/>
    <col min="11281" max="11281" width="12.6640625" style="339" bestFit="1" customWidth="1"/>
    <col min="11282" max="11282" width="11.6640625" style="339" bestFit="1" customWidth="1"/>
    <col min="11283" max="11283" width="11" style="339" bestFit="1" customWidth="1"/>
    <col min="11284" max="11284" width="13.6640625" style="339" bestFit="1" customWidth="1"/>
    <col min="11285" max="11285" width="11" style="339" bestFit="1" customWidth="1"/>
    <col min="11286" max="11286" width="13.33203125" style="339" bestFit="1" customWidth="1"/>
    <col min="11287" max="11287" width="17" style="339" bestFit="1" customWidth="1"/>
    <col min="11288" max="11288" width="14.1328125" style="339" bestFit="1" customWidth="1"/>
    <col min="11289" max="11290" width="16.33203125" style="339" bestFit="1" customWidth="1"/>
    <col min="11291" max="11291" width="14.33203125" style="339" bestFit="1" customWidth="1"/>
    <col min="11292" max="11292" width="15.1328125" style="339" bestFit="1" customWidth="1"/>
    <col min="11293" max="11293" width="12.6640625" style="339" bestFit="1" customWidth="1"/>
    <col min="11294" max="11294" width="11.6640625" style="339" bestFit="1" customWidth="1"/>
    <col min="11295" max="11295" width="11" style="339" bestFit="1" customWidth="1"/>
    <col min="11296" max="11296" width="11.6640625" style="339" bestFit="1" customWidth="1"/>
    <col min="11297" max="11297" width="11" style="339" bestFit="1" customWidth="1"/>
    <col min="11298" max="11298" width="13.33203125" style="339" bestFit="1" customWidth="1"/>
    <col min="11299" max="11299" width="17" style="339" bestFit="1" customWidth="1"/>
    <col min="11300" max="11300" width="14.1328125" style="339" bestFit="1" customWidth="1"/>
    <col min="11301" max="11302" width="16.33203125" style="339" bestFit="1" customWidth="1"/>
    <col min="11303" max="11303" width="14.33203125" style="339" bestFit="1" customWidth="1"/>
    <col min="11304" max="11304" width="15.1328125" style="339" bestFit="1" customWidth="1"/>
    <col min="11305" max="11305" width="12.6640625" style="339" bestFit="1" customWidth="1"/>
    <col min="11306" max="11306" width="11.6640625" style="339" bestFit="1" customWidth="1"/>
    <col min="11307" max="11307" width="11" style="339" bestFit="1" customWidth="1"/>
    <col min="11308" max="11308" width="11.6640625" style="339" bestFit="1" customWidth="1"/>
    <col min="11309" max="11309" width="11" style="339" bestFit="1" customWidth="1"/>
    <col min="11310" max="11310" width="13.33203125" style="339" bestFit="1" customWidth="1"/>
    <col min="11311" max="11311" width="17" style="339" bestFit="1" customWidth="1"/>
    <col min="11312" max="11312" width="14.1328125" style="339" bestFit="1" customWidth="1"/>
    <col min="11313" max="11314" width="16.33203125" style="339" bestFit="1" customWidth="1"/>
    <col min="11315" max="11315" width="14.33203125" style="339" bestFit="1" customWidth="1"/>
    <col min="11316" max="11316" width="15.1328125" style="339" bestFit="1" customWidth="1"/>
    <col min="11317" max="11317" width="12.6640625" style="339" bestFit="1" customWidth="1"/>
    <col min="11318" max="11318" width="11.6640625" style="339" bestFit="1" customWidth="1"/>
    <col min="11319" max="11319" width="11" style="339" bestFit="1" customWidth="1"/>
    <col min="11320" max="11320" width="11.6640625" style="339" bestFit="1" customWidth="1"/>
    <col min="11321" max="11321" width="11" style="339" bestFit="1" customWidth="1"/>
    <col min="11322" max="11322" width="13.33203125" style="339" bestFit="1" customWidth="1"/>
    <col min="11323" max="11323" width="17" style="339" bestFit="1" customWidth="1"/>
    <col min="11324" max="11324" width="14.1328125" style="339" bestFit="1" customWidth="1"/>
    <col min="11325" max="11326" width="16.33203125" style="339" bestFit="1" customWidth="1"/>
    <col min="11327" max="11327" width="14.33203125" style="339" bestFit="1" customWidth="1"/>
    <col min="11328" max="11328" width="15.1328125" style="339" bestFit="1" customWidth="1"/>
    <col min="11329" max="11329" width="12.6640625" style="339" bestFit="1" customWidth="1"/>
    <col min="11330" max="11330" width="11.6640625" style="339" bestFit="1" customWidth="1"/>
    <col min="11331" max="11331" width="11" style="339" bestFit="1" customWidth="1"/>
    <col min="11332" max="11332" width="11.6640625" style="339" bestFit="1" customWidth="1"/>
    <col min="11333" max="11333" width="11" style="339" bestFit="1" customWidth="1"/>
    <col min="11334" max="11334" width="13.33203125" style="339" bestFit="1" customWidth="1"/>
    <col min="11335" max="11335" width="17" style="339" bestFit="1" customWidth="1"/>
    <col min="11336" max="11336" width="14.1328125" style="339" bestFit="1" customWidth="1"/>
    <col min="11337" max="11338" width="16.33203125" style="339" bestFit="1" customWidth="1"/>
    <col min="11339" max="11339" width="14.33203125" style="339" bestFit="1" customWidth="1"/>
    <col min="11340" max="11340" width="15.1328125" style="339" bestFit="1" customWidth="1"/>
    <col min="11341" max="11341" width="12.6640625" style="339" bestFit="1" customWidth="1"/>
    <col min="11342" max="11342" width="11.6640625" style="339" bestFit="1" customWidth="1"/>
    <col min="11343" max="11343" width="11" style="339" bestFit="1" customWidth="1"/>
    <col min="11344" max="11344" width="11.6640625" style="339" bestFit="1" customWidth="1"/>
    <col min="11345" max="11345" width="11" style="339" bestFit="1" customWidth="1"/>
    <col min="11346" max="11346" width="13.33203125" style="339" bestFit="1" customWidth="1"/>
    <col min="11347" max="11347" width="17" style="339" bestFit="1" customWidth="1"/>
    <col min="11348" max="11348" width="14.1328125" style="339" bestFit="1" customWidth="1"/>
    <col min="11349" max="11350" width="16.33203125" style="339" bestFit="1" customWidth="1"/>
    <col min="11351" max="11351" width="14.33203125" style="339" bestFit="1" customWidth="1"/>
    <col min="11352" max="11352" width="15.1328125" style="339" bestFit="1" customWidth="1"/>
    <col min="11353" max="11353" width="12.6640625" style="339" bestFit="1" customWidth="1"/>
    <col min="11354" max="11354" width="11.6640625" style="339" bestFit="1" customWidth="1"/>
    <col min="11355" max="11355" width="11" style="339" bestFit="1" customWidth="1"/>
    <col min="11356" max="11356" width="11.6640625" style="339" bestFit="1" customWidth="1"/>
    <col min="11357" max="11357" width="11" style="339" bestFit="1" customWidth="1"/>
    <col min="11358" max="11358" width="13.33203125" style="339" bestFit="1" customWidth="1"/>
    <col min="11359" max="11360" width="17" style="339" bestFit="1" customWidth="1"/>
    <col min="11361" max="11524" width="9" style="339"/>
    <col min="11525" max="11525" width="12.1328125" style="339" customWidth="1"/>
    <col min="11526" max="11529" width="9" style="339"/>
    <col min="11530" max="11530" width="91.33203125" style="339" bestFit="1" customWidth="1"/>
    <col min="11531" max="11531" width="10.6640625" style="339" customWidth="1"/>
    <col min="11532" max="11532" width="14.1328125" style="339" bestFit="1" customWidth="1"/>
    <col min="11533" max="11534" width="16.33203125" style="339" bestFit="1" customWidth="1"/>
    <col min="11535" max="11535" width="14.33203125" style="339" bestFit="1" customWidth="1"/>
    <col min="11536" max="11536" width="15.1328125" style="339" bestFit="1" customWidth="1"/>
    <col min="11537" max="11537" width="12.6640625" style="339" bestFit="1" customWidth="1"/>
    <col min="11538" max="11538" width="11.6640625" style="339" bestFit="1" customWidth="1"/>
    <col min="11539" max="11539" width="11" style="339" bestFit="1" customWidth="1"/>
    <col min="11540" max="11540" width="13.6640625" style="339" bestFit="1" customWidth="1"/>
    <col min="11541" max="11541" width="11" style="339" bestFit="1" customWidth="1"/>
    <col min="11542" max="11542" width="13.33203125" style="339" bestFit="1" customWidth="1"/>
    <col min="11543" max="11543" width="17" style="339" bestFit="1" customWidth="1"/>
    <col min="11544" max="11544" width="14.1328125" style="339" bestFit="1" customWidth="1"/>
    <col min="11545" max="11546" width="16.33203125" style="339" bestFit="1" customWidth="1"/>
    <col min="11547" max="11547" width="14.33203125" style="339" bestFit="1" customWidth="1"/>
    <col min="11548" max="11548" width="15.1328125" style="339" bestFit="1" customWidth="1"/>
    <col min="11549" max="11549" width="12.6640625" style="339" bestFit="1" customWidth="1"/>
    <col min="11550" max="11550" width="11.6640625" style="339" bestFit="1" customWidth="1"/>
    <col min="11551" max="11551" width="11" style="339" bestFit="1" customWidth="1"/>
    <col min="11552" max="11552" width="11.6640625" style="339" bestFit="1" customWidth="1"/>
    <col min="11553" max="11553" width="11" style="339" bestFit="1" customWidth="1"/>
    <col min="11554" max="11554" width="13.33203125" style="339" bestFit="1" customWidth="1"/>
    <col min="11555" max="11555" width="17" style="339" bestFit="1" customWidth="1"/>
    <col min="11556" max="11556" width="14.1328125" style="339" bestFit="1" customWidth="1"/>
    <col min="11557" max="11558" width="16.33203125" style="339" bestFit="1" customWidth="1"/>
    <col min="11559" max="11559" width="14.33203125" style="339" bestFit="1" customWidth="1"/>
    <col min="11560" max="11560" width="15.1328125" style="339" bestFit="1" customWidth="1"/>
    <col min="11561" max="11561" width="12.6640625" style="339" bestFit="1" customWidth="1"/>
    <col min="11562" max="11562" width="11.6640625" style="339" bestFit="1" customWidth="1"/>
    <col min="11563" max="11563" width="11" style="339" bestFit="1" customWidth="1"/>
    <col min="11564" max="11564" width="11.6640625" style="339" bestFit="1" customWidth="1"/>
    <col min="11565" max="11565" width="11" style="339" bestFit="1" customWidth="1"/>
    <col min="11566" max="11566" width="13.33203125" style="339" bestFit="1" customWidth="1"/>
    <col min="11567" max="11567" width="17" style="339" bestFit="1" customWidth="1"/>
    <col min="11568" max="11568" width="14.1328125" style="339" bestFit="1" customWidth="1"/>
    <col min="11569" max="11570" width="16.33203125" style="339" bestFit="1" customWidth="1"/>
    <col min="11571" max="11571" width="14.33203125" style="339" bestFit="1" customWidth="1"/>
    <col min="11572" max="11572" width="15.1328125" style="339" bestFit="1" customWidth="1"/>
    <col min="11573" max="11573" width="12.6640625" style="339" bestFit="1" customWidth="1"/>
    <col min="11574" max="11574" width="11.6640625" style="339" bestFit="1" customWidth="1"/>
    <col min="11575" max="11575" width="11" style="339" bestFit="1" customWidth="1"/>
    <col min="11576" max="11576" width="11.6640625" style="339" bestFit="1" customWidth="1"/>
    <col min="11577" max="11577" width="11" style="339" bestFit="1" customWidth="1"/>
    <col min="11578" max="11578" width="13.33203125" style="339" bestFit="1" customWidth="1"/>
    <col min="11579" max="11579" width="17" style="339" bestFit="1" customWidth="1"/>
    <col min="11580" max="11580" width="14.1328125" style="339" bestFit="1" customWidth="1"/>
    <col min="11581" max="11582" width="16.33203125" style="339" bestFit="1" customWidth="1"/>
    <col min="11583" max="11583" width="14.33203125" style="339" bestFit="1" customWidth="1"/>
    <col min="11584" max="11584" width="15.1328125" style="339" bestFit="1" customWidth="1"/>
    <col min="11585" max="11585" width="12.6640625" style="339" bestFit="1" customWidth="1"/>
    <col min="11586" max="11586" width="11.6640625" style="339" bestFit="1" customWidth="1"/>
    <col min="11587" max="11587" width="11" style="339" bestFit="1" customWidth="1"/>
    <col min="11588" max="11588" width="11.6640625" style="339" bestFit="1" customWidth="1"/>
    <col min="11589" max="11589" width="11" style="339" bestFit="1" customWidth="1"/>
    <col min="11590" max="11590" width="13.33203125" style="339" bestFit="1" customWidth="1"/>
    <col min="11591" max="11591" width="17" style="339" bestFit="1" customWidth="1"/>
    <col min="11592" max="11592" width="14.1328125" style="339" bestFit="1" customWidth="1"/>
    <col min="11593" max="11594" width="16.33203125" style="339" bestFit="1" customWidth="1"/>
    <col min="11595" max="11595" width="14.33203125" style="339" bestFit="1" customWidth="1"/>
    <col min="11596" max="11596" width="15.1328125" style="339" bestFit="1" customWidth="1"/>
    <col min="11597" max="11597" width="12.6640625" style="339" bestFit="1" customWidth="1"/>
    <col min="11598" max="11598" width="11.6640625" style="339" bestFit="1" customWidth="1"/>
    <col min="11599" max="11599" width="11" style="339" bestFit="1" customWidth="1"/>
    <col min="11600" max="11600" width="11.6640625" style="339" bestFit="1" customWidth="1"/>
    <col min="11601" max="11601" width="11" style="339" bestFit="1" customWidth="1"/>
    <col min="11602" max="11602" width="13.33203125" style="339" bestFit="1" customWidth="1"/>
    <col min="11603" max="11603" width="17" style="339" bestFit="1" customWidth="1"/>
    <col min="11604" max="11604" width="14.1328125" style="339" bestFit="1" customWidth="1"/>
    <col min="11605" max="11606" width="16.33203125" style="339" bestFit="1" customWidth="1"/>
    <col min="11607" max="11607" width="14.33203125" style="339" bestFit="1" customWidth="1"/>
    <col min="11608" max="11608" width="15.1328125" style="339" bestFit="1" customWidth="1"/>
    <col min="11609" max="11609" width="12.6640625" style="339" bestFit="1" customWidth="1"/>
    <col min="11610" max="11610" width="11.6640625" style="339" bestFit="1" customWidth="1"/>
    <col min="11611" max="11611" width="11" style="339" bestFit="1" customWidth="1"/>
    <col min="11612" max="11612" width="11.6640625" style="339" bestFit="1" customWidth="1"/>
    <col min="11613" max="11613" width="11" style="339" bestFit="1" customWidth="1"/>
    <col min="11614" max="11614" width="13.33203125" style="339" bestFit="1" customWidth="1"/>
    <col min="11615" max="11616" width="17" style="339" bestFit="1" customWidth="1"/>
    <col min="11617" max="11780" width="9" style="339"/>
    <col min="11781" max="11781" width="12.1328125" style="339" customWidth="1"/>
    <col min="11782" max="11785" width="9" style="339"/>
    <col min="11786" max="11786" width="91.33203125" style="339" bestFit="1" customWidth="1"/>
    <col min="11787" max="11787" width="10.6640625" style="339" customWidth="1"/>
    <col min="11788" max="11788" width="14.1328125" style="339" bestFit="1" customWidth="1"/>
    <col min="11789" max="11790" width="16.33203125" style="339" bestFit="1" customWidth="1"/>
    <col min="11791" max="11791" width="14.33203125" style="339" bestFit="1" customWidth="1"/>
    <col min="11792" max="11792" width="15.1328125" style="339" bestFit="1" customWidth="1"/>
    <col min="11793" max="11793" width="12.6640625" style="339" bestFit="1" customWidth="1"/>
    <col min="11794" max="11794" width="11.6640625" style="339" bestFit="1" customWidth="1"/>
    <col min="11795" max="11795" width="11" style="339" bestFit="1" customWidth="1"/>
    <col min="11796" max="11796" width="13.6640625" style="339" bestFit="1" customWidth="1"/>
    <col min="11797" max="11797" width="11" style="339" bestFit="1" customWidth="1"/>
    <col min="11798" max="11798" width="13.33203125" style="339" bestFit="1" customWidth="1"/>
    <col min="11799" max="11799" width="17" style="339" bestFit="1" customWidth="1"/>
    <col min="11800" max="11800" width="14.1328125" style="339" bestFit="1" customWidth="1"/>
    <col min="11801" max="11802" width="16.33203125" style="339" bestFit="1" customWidth="1"/>
    <col min="11803" max="11803" width="14.33203125" style="339" bestFit="1" customWidth="1"/>
    <col min="11804" max="11804" width="15.1328125" style="339" bestFit="1" customWidth="1"/>
    <col min="11805" max="11805" width="12.6640625" style="339" bestFit="1" customWidth="1"/>
    <col min="11806" max="11806" width="11.6640625" style="339" bestFit="1" customWidth="1"/>
    <col min="11807" max="11807" width="11" style="339" bestFit="1" customWidth="1"/>
    <col min="11808" max="11808" width="11.6640625" style="339" bestFit="1" customWidth="1"/>
    <col min="11809" max="11809" width="11" style="339" bestFit="1" customWidth="1"/>
    <col min="11810" max="11810" width="13.33203125" style="339" bestFit="1" customWidth="1"/>
    <col min="11811" max="11811" width="17" style="339" bestFit="1" customWidth="1"/>
    <col min="11812" max="11812" width="14.1328125" style="339" bestFit="1" customWidth="1"/>
    <col min="11813" max="11814" width="16.33203125" style="339" bestFit="1" customWidth="1"/>
    <col min="11815" max="11815" width="14.33203125" style="339" bestFit="1" customWidth="1"/>
    <col min="11816" max="11816" width="15.1328125" style="339" bestFit="1" customWidth="1"/>
    <col min="11817" max="11817" width="12.6640625" style="339" bestFit="1" customWidth="1"/>
    <col min="11818" max="11818" width="11.6640625" style="339" bestFit="1" customWidth="1"/>
    <col min="11819" max="11819" width="11" style="339" bestFit="1" customWidth="1"/>
    <col min="11820" max="11820" width="11.6640625" style="339" bestFit="1" customWidth="1"/>
    <col min="11821" max="11821" width="11" style="339" bestFit="1" customWidth="1"/>
    <col min="11822" max="11822" width="13.33203125" style="339" bestFit="1" customWidth="1"/>
    <col min="11823" max="11823" width="17" style="339" bestFit="1" customWidth="1"/>
    <col min="11824" max="11824" width="14.1328125" style="339" bestFit="1" customWidth="1"/>
    <col min="11825" max="11826" width="16.33203125" style="339" bestFit="1" customWidth="1"/>
    <col min="11827" max="11827" width="14.33203125" style="339" bestFit="1" customWidth="1"/>
    <col min="11828" max="11828" width="15.1328125" style="339" bestFit="1" customWidth="1"/>
    <col min="11829" max="11829" width="12.6640625" style="339" bestFit="1" customWidth="1"/>
    <col min="11830" max="11830" width="11.6640625" style="339" bestFit="1" customWidth="1"/>
    <col min="11831" max="11831" width="11" style="339" bestFit="1" customWidth="1"/>
    <col min="11832" max="11832" width="11.6640625" style="339" bestFit="1" customWidth="1"/>
    <col min="11833" max="11833" width="11" style="339" bestFit="1" customWidth="1"/>
    <col min="11834" max="11834" width="13.33203125" style="339" bestFit="1" customWidth="1"/>
    <col min="11835" max="11835" width="17" style="339" bestFit="1" customWidth="1"/>
    <col min="11836" max="11836" width="14.1328125" style="339" bestFit="1" customWidth="1"/>
    <col min="11837" max="11838" width="16.33203125" style="339" bestFit="1" customWidth="1"/>
    <col min="11839" max="11839" width="14.33203125" style="339" bestFit="1" customWidth="1"/>
    <col min="11840" max="11840" width="15.1328125" style="339" bestFit="1" customWidth="1"/>
    <col min="11841" max="11841" width="12.6640625" style="339" bestFit="1" customWidth="1"/>
    <col min="11842" max="11842" width="11.6640625" style="339" bestFit="1" customWidth="1"/>
    <col min="11843" max="11843" width="11" style="339" bestFit="1" customWidth="1"/>
    <col min="11844" max="11844" width="11.6640625" style="339" bestFit="1" customWidth="1"/>
    <col min="11845" max="11845" width="11" style="339" bestFit="1" customWidth="1"/>
    <col min="11846" max="11846" width="13.33203125" style="339" bestFit="1" customWidth="1"/>
    <col min="11847" max="11847" width="17" style="339" bestFit="1" customWidth="1"/>
    <col min="11848" max="11848" width="14.1328125" style="339" bestFit="1" customWidth="1"/>
    <col min="11849" max="11850" width="16.33203125" style="339" bestFit="1" customWidth="1"/>
    <col min="11851" max="11851" width="14.33203125" style="339" bestFit="1" customWidth="1"/>
    <col min="11852" max="11852" width="15.1328125" style="339" bestFit="1" customWidth="1"/>
    <col min="11853" max="11853" width="12.6640625" style="339" bestFit="1" customWidth="1"/>
    <col min="11854" max="11854" width="11.6640625" style="339" bestFit="1" customWidth="1"/>
    <col min="11855" max="11855" width="11" style="339" bestFit="1" customWidth="1"/>
    <col min="11856" max="11856" width="11.6640625" style="339" bestFit="1" customWidth="1"/>
    <col min="11857" max="11857" width="11" style="339" bestFit="1" customWidth="1"/>
    <col min="11858" max="11858" width="13.33203125" style="339" bestFit="1" customWidth="1"/>
    <col min="11859" max="11859" width="17" style="339" bestFit="1" customWidth="1"/>
    <col min="11860" max="11860" width="14.1328125" style="339" bestFit="1" customWidth="1"/>
    <col min="11861" max="11862" width="16.33203125" style="339" bestFit="1" customWidth="1"/>
    <col min="11863" max="11863" width="14.33203125" style="339" bestFit="1" customWidth="1"/>
    <col min="11864" max="11864" width="15.1328125" style="339" bestFit="1" customWidth="1"/>
    <col min="11865" max="11865" width="12.6640625" style="339" bestFit="1" customWidth="1"/>
    <col min="11866" max="11866" width="11.6640625" style="339" bestFit="1" customWidth="1"/>
    <col min="11867" max="11867" width="11" style="339" bestFit="1" customWidth="1"/>
    <col min="11868" max="11868" width="11.6640625" style="339" bestFit="1" customWidth="1"/>
    <col min="11869" max="11869" width="11" style="339" bestFit="1" customWidth="1"/>
    <col min="11870" max="11870" width="13.33203125" style="339" bestFit="1" customWidth="1"/>
    <col min="11871" max="11872" width="17" style="339" bestFit="1" customWidth="1"/>
    <col min="11873" max="12036" width="9" style="339"/>
    <col min="12037" max="12037" width="12.1328125" style="339" customWidth="1"/>
    <col min="12038" max="12041" width="9" style="339"/>
    <col min="12042" max="12042" width="91.33203125" style="339" bestFit="1" customWidth="1"/>
    <col min="12043" max="12043" width="10.6640625" style="339" customWidth="1"/>
    <col min="12044" max="12044" width="14.1328125" style="339" bestFit="1" customWidth="1"/>
    <col min="12045" max="12046" width="16.33203125" style="339" bestFit="1" customWidth="1"/>
    <col min="12047" max="12047" width="14.33203125" style="339" bestFit="1" customWidth="1"/>
    <col min="12048" max="12048" width="15.1328125" style="339" bestFit="1" customWidth="1"/>
    <col min="12049" max="12049" width="12.6640625" style="339" bestFit="1" customWidth="1"/>
    <col min="12050" max="12050" width="11.6640625" style="339" bestFit="1" customWidth="1"/>
    <col min="12051" max="12051" width="11" style="339" bestFit="1" customWidth="1"/>
    <col min="12052" max="12052" width="13.6640625" style="339" bestFit="1" customWidth="1"/>
    <col min="12053" max="12053" width="11" style="339" bestFit="1" customWidth="1"/>
    <col min="12054" max="12054" width="13.33203125" style="339" bestFit="1" customWidth="1"/>
    <col min="12055" max="12055" width="17" style="339" bestFit="1" customWidth="1"/>
    <col min="12056" max="12056" width="14.1328125" style="339" bestFit="1" customWidth="1"/>
    <col min="12057" max="12058" width="16.33203125" style="339" bestFit="1" customWidth="1"/>
    <col min="12059" max="12059" width="14.33203125" style="339" bestFit="1" customWidth="1"/>
    <col min="12060" max="12060" width="15.1328125" style="339" bestFit="1" customWidth="1"/>
    <col min="12061" max="12061" width="12.6640625" style="339" bestFit="1" customWidth="1"/>
    <col min="12062" max="12062" width="11.6640625" style="339" bestFit="1" customWidth="1"/>
    <col min="12063" max="12063" width="11" style="339" bestFit="1" customWidth="1"/>
    <col min="12064" max="12064" width="11.6640625" style="339" bestFit="1" customWidth="1"/>
    <col min="12065" max="12065" width="11" style="339" bestFit="1" customWidth="1"/>
    <col min="12066" max="12066" width="13.33203125" style="339" bestFit="1" customWidth="1"/>
    <col min="12067" max="12067" width="17" style="339" bestFit="1" customWidth="1"/>
    <col min="12068" max="12068" width="14.1328125" style="339" bestFit="1" customWidth="1"/>
    <col min="12069" max="12070" width="16.33203125" style="339" bestFit="1" customWidth="1"/>
    <col min="12071" max="12071" width="14.33203125" style="339" bestFit="1" customWidth="1"/>
    <col min="12072" max="12072" width="15.1328125" style="339" bestFit="1" customWidth="1"/>
    <col min="12073" max="12073" width="12.6640625" style="339" bestFit="1" customWidth="1"/>
    <col min="12074" max="12074" width="11.6640625" style="339" bestFit="1" customWidth="1"/>
    <col min="12075" max="12075" width="11" style="339" bestFit="1" customWidth="1"/>
    <col min="12076" max="12076" width="11.6640625" style="339" bestFit="1" customWidth="1"/>
    <col min="12077" max="12077" width="11" style="339" bestFit="1" customWidth="1"/>
    <col min="12078" max="12078" width="13.33203125" style="339" bestFit="1" customWidth="1"/>
    <col min="12079" max="12079" width="17" style="339" bestFit="1" customWidth="1"/>
    <col min="12080" max="12080" width="14.1328125" style="339" bestFit="1" customWidth="1"/>
    <col min="12081" max="12082" width="16.33203125" style="339" bestFit="1" customWidth="1"/>
    <col min="12083" max="12083" width="14.33203125" style="339" bestFit="1" customWidth="1"/>
    <col min="12084" max="12084" width="15.1328125" style="339" bestFit="1" customWidth="1"/>
    <col min="12085" max="12085" width="12.6640625" style="339" bestFit="1" customWidth="1"/>
    <col min="12086" max="12086" width="11.6640625" style="339" bestFit="1" customWidth="1"/>
    <col min="12087" max="12087" width="11" style="339" bestFit="1" customWidth="1"/>
    <col min="12088" max="12088" width="11.6640625" style="339" bestFit="1" customWidth="1"/>
    <col min="12089" max="12089" width="11" style="339" bestFit="1" customWidth="1"/>
    <col min="12090" max="12090" width="13.33203125" style="339" bestFit="1" customWidth="1"/>
    <col min="12091" max="12091" width="17" style="339" bestFit="1" customWidth="1"/>
    <col min="12092" max="12092" width="14.1328125" style="339" bestFit="1" customWidth="1"/>
    <col min="12093" max="12094" width="16.33203125" style="339" bestFit="1" customWidth="1"/>
    <col min="12095" max="12095" width="14.33203125" style="339" bestFit="1" customWidth="1"/>
    <col min="12096" max="12096" width="15.1328125" style="339" bestFit="1" customWidth="1"/>
    <col min="12097" max="12097" width="12.6640625" style="339" bestFit="1" customWidth="1"/>
    <col min="12098" max="12098" width="11.6640625" style="339" bestFit="1" customWidth="1"/>
    <col min="12099" max="12099" width="11" style="339" bestFit="1" customWidth="1"/>
    <col min="12100" max="12100" width="11.6640625" style="339" bestFit="1" customWidth="1"/>
    <col min="12101" max="12101" width="11" style="339" bestFit="1" customWidth="1"/>
    <col min="12102" max="12102" width="13.33203125" style="339" bestFit="1" customWidth="1"/>
    <col min="12103" max="12103" width="17" style="339" bestFit="1" customWidth="1"/>
    <col min="12104" max="12104" width="14.1328125" style="339" bestFit="1" customWidth="1"/>
    <col min="12105" max="12106" width="16.33203125" style="339" bestFit="1" customWidth="1"/>
    <col min="12107" max="12107" width="14.33203125" style="339" bestFit="1" customWidth="1"/>
    <col min="12108" max="12108" width="15.1328125" style="339" bestFit="1" customWidth="1"/>
    <col min="12109" max="12109" width="12.6640625" style="339" bestFit="1" customWidth="1"/>
    <col min="12110" max="12110" width="11.6640625" style="339" bestFit="1" customWidth="1"/>
    <col min="12111" max="12111" width="11" style="339" bestFit="1" customWidth="1"/>
    <col min="12112" max="12112" width="11.6640625" style="339" bestFit="1" customWidth="1"/>
    <col min="12113" max="12113" width="11" style="339" bestFit="1" customWidth="1"/>
    <col min="12114" max="12114" width="13.33203125" style="339" bestFit="1" customWidth="1"/>
    <col min="12115" max="12115" width="17" style="339" bestFit="1" customWidth="1"/>
    <col min="12116" max="12116" width="14.1328125" style="339" bestFit="1" customWidth="1"/>
    <col min="12117" max="12118" width="16.33203125" style="339" bestFit="1" customWidth="1"/>
    <col min="12119" max="12119" width="14.33203125" style="339" bestFit="1" customWidth="1"/>
    <col min="12120" max="12120" width="15.1328125" style="339" bestFit="1" customWidth="1"/>
    <col min="12121" max="12121" width="12.6640625" style="339" bestFit="1" customWidth="1"/>
    <col min="12122" max="12122" width="11.6640625" style="339" bestFit="1" customWidth="1"/>
    <col min="12123" max="12123" width="11" style="339" bestFit="1" customWidth="1"/>
    <col min="12124" max="12124" width="11.6640625" style="339" bestFit="1" customWidth="1"/>
    <col min="12125" max="12125" width="11" style="339" bestFit="1" customWidth="1"/>
    <col min="12126" max="12126" width="13.33203125" style="339" bestFit="1" customWidth="1"/>
    <col min="12127" max="12128" width="17" style="339" bestFit="1" customWidth="1"/>
    <col min="12129" max="12292" width="9" style="339"/>
    <col min="12293" max="12293" width="12.1328125" style="339" customWidth="1"/>
    <col min="12294" max="12297" width="9" style="339"/>
    <col min="12298" max="12298" width="91.33203125" style="339" bestFit="1" customWidth="1"/>
    <col min="12299" max="12299" width="10.6640625" style="339" customWidth="1"/>
    <col min="12300" max="12300" width="14.1328125" style="339" bestFit="1" customWidth="1"/>
    <col min="12301" max="12302" width="16.33203125" style="339" bestFit="1" customWidth="1"/>
    <col min="12303" max="12303" width="14.33203125" style="339" bestFit="1" customWidth="1"/>
    <col min="12304" max="12304" width="15.1328125" style="339" bestFit="1" customWidth="1"/>
    <col min="12305" max="12305" width="12.6640625" style="339" bestFit="1" customWidth="1"/>
    <col min="12306" max="12306" width="11.6640625" style="339" bestFit="1" customWidth="1"/>
    <col min="12307" max="12307" width="11" style="339" bestFit="1" customWidth="1"/>
    <col min="12308" max="12308" width="13.6640625" style="339" bestFit="1" customWidth="1"/>
    <col min="12309" max="12309" width="11" style="339" bestFit="1" customWidth="1"/>
    <col min="12310" max="12310" width="13.33203125" style="339" bestFit="1" customWidth="1"/>
    <col min="12311" max="12311" width="17" style="339" bestFit="1" customWidth="1"/>
    <col min="12312" max="12312" width="14.1328125" style="339" bestFit="1" customWidth="1"/>
    <col min="12313" max="12314" width="16.33203125" style="339" bestFit="1" customWidth="1"/>
    <col min="12315" max="12315" width="14.33203125" style="339" bestFit="1" customWidth="1"/>
    <col min="12316" max="12316" width="15.1328125" style="339" bestFit="1" customWidth="1"/>
    <col min="12317" max="12317" width="12.6640625" style="339" bestFit="1" customWidth="1"/>
    <col min="12318" max="12318" width="11.6640625" style="339" bestFit="1" customWidth="1"/>
    <col min="12319" max="12319" width="11" style="339" bestFit="1" customWidth="1"/>
    <col min="12320" max="12320" width="11.6640625" style="339" bestFit="1" customWidth="1"/>
    <col min="12321" max="12321" width="11" style="339" bestFit="1" customWidth="1"/>
    <col min="12322" max="12322" width="13.33203125" style="339" bestFit="1" customWidth="1"/>
    <col min="12323" max="12323" width="17" style="339" bestFit="1" customWidth="1"/>
    <col min="12324" max="12324" width="14.1328125" style="339" bestFit="1" customWidth="1"/>
    <col min="12325" max="12326" width="16.33203125" style="339" bestFit="1" customWidth="1"/>
    <col min="12327" max="12327" width="14.33203125" style="339" bestFit="1" customWidth="1"/>
    <col min="12328" max="12328" width="15.1328125" style="339" bestFit="1" customWidth="1"/>
    <col min="12329" max="12329" width="12.6640625" style="339" bestFit="1" customWidth="1"/>
    <col min="12330" max="12330" width="11.6640625" style="339" bestFit="1" customWidth="1"/>
    <col min="12331" max="12331" width="11" style="339" bestFit="1" customWidth="1"/>
    <col min="12332" max="12332" width="11.6640625" style="339" bestFit="1" customWidth="1"/>
    <col min="12333" max="12333" width="11" style="339" bestFit="1" customWidth="1"/>
    <col min="12334" max="12334" width="13.33203125" style="339" bestFit="1" customWidth="1"/>
    <col min="12335" max="12335" width="17" style="339" bestFit="1" customWidth="1"/>
    <col min="12336" max="12336" width="14.1328125" style="339" bestFit="1" customWidth="1"/>
    <col min="12337" max="12338" width="16.33203125" style="339" bestFit="1" customWidth="1"/>
    <col min="12339" max="12339" width="14.33203125" style="339" bestFit="1" customWidth="1"/>
    <col min="12340" max="12340" width="15.1328125" style="339" bestFit="1" customWidth="1"/>
    <col min="12341" max="12341" width="12.6640625" style="339" bestFit="1" customWidth="1"/>
    <col min="12342" max="12342" width="11.6640625" style="339" bestFit="1" customWidth="1"/>
    <col min="12343" max="12343" width="11" style="339" bestFit="1" customWidth="1"/>
    <col min="12344" max="12344" width="11.6640625" style="339" bestFit="1" customWidth="1"/>
    <col min="12345" max="12345" width="11" style="339" bestFit="1" customWidth="1"/>
    <col min="12346" max="12346" width="13.33203125" style="339" bestFit="1" customWidth="1"/>
    <col min="12347" max="12347" width="17" style="339" bestFit="1" customWidth="1"/>
    <col min="12348" max="12348" width="14.1328125" style="339" bestFit="1" customWidth="1"/>
    <col min="12349" max="12350" width="16.33203125" style="339" bestFit="1" customWidth="1"/>
    <col min="12351" max="12351" width="14.33203125" style="339" bestFit="1" customWidth="1"/>
    <col min="12352" max="12352" width="15.1328125" style="339" bestFit="1" customWidth="1"/>
    <col min="12353" max="12353" width="12.6640625" style="339" bestFit="1" customWidth="1"/>
    <col min="12354" max="12354" width="11.6640625" style="339" bestFit="1" customWidth="1"/>
    <col min="12355" max="12355" width="11" style="339" bestFit="1" customWidth="1"/>
    <col min="12356" max="12356" width="11.6640625" style="339" bestFit="1" customWidth="1"/>
    <col min="12357" max="12357" width="11" style="339" bestFit="1" customWidth="1"/>
    <col min="12358" max="12358" width="13.33203125" style="339" bestFit="1" customWidth="1"/>
    <col min="12359" max="12359" width="17" style="339" bestFit="1" customWidth="1"/>
    <col min="12360" max="12360" width="14.1328125" style="339" bestFit="1" customWidth="1"/>
    <col min="12361" max="12362" width="16.33203125" style="339" bestFit="1" customWidth="1"/>
    <col min="12363" max="12363" width="14.33203125" style="339" bestFit="1" customWidth="1"/>
    <col min="12364" max="12364" width="15.1328125" style="339" bestFit="1" customWidth="1"/>
    <col min="12365" max="12365" width="12.6640625" style="339" bestFit="1" customWidth="1"/>
    <col min="12366" max="12366" width="11.6640625" style="339" bestFit="1" customWidth="1"/>
    <col min="12367" max="12367" width="11" style="339" bestFit="1" customWidth="1"/>
    <col min="12368" max="12368" width="11.6640625" style="339" bestFit="1" customWidth="1"/>
    <col min="12369" max="12369" width="11" style="339" bestFit="1" customWidth="1"/>
    <col min="12370" max="12370" width="13.33203125" style="339" bestFit="1" customWidth="1"/>
    <col min="12371" max="12371" width="17" style="339" bestFit="1" customWidth="1"/>
    <col min="12372" max="12372" width="14.1328125" style="339" bestFit="1" customWidth="1"/>
    <col min="12373" max="12374" width="16.33203125" style="339" bestFit="1" customWidth="1"/>
    <col min="12375" max="12375" width="14.33203125" style="339" bestFit="1" customWidth="1"/>
    <col min="12376" max="12376" width="15.1328125" style="339" bestFit="1" customWidth="1"/>
    <col min="12377" max="12377" width="12.6640625" style="339" bestFit="1" customWidth="1"/>
    <col min="12378" max="12378" width="11.6640625" style="339" bestFit="1" customWidth="1"/>
    <col min="12379" max="12379" width="11" style="339" bestFit="1" customWidth="1"/>
    <col min="12380" max="12380" width="11.6640625" style="339" bestFit="1" customWidth="1"/>
    <col min="12381" max="12381" width="11" style="339" bestFit="1" customWidth="1"/>
    <col min="12382" max="12382" width="13.33203125" style="339" bestFit="1" customWidth="1"/>
    <col min="12383" max="12384" width="17" style="339" bestFit="1" customWidth="1"/>
    <col min="12385" max="12548" width="9" style="339"/>
    <col min="12549" max="12549" width="12.1328125" style="339" customWidth="1"/>
    <col min="12550" max="12553" width="9" style="339"/>
    <col min="12554" max="12554" width="91.33203125" style="339" bestFit="1" customWidth="1"/>
    <col min="12555" max="12555" width="10.6640625" style="339" customWidth="1"/>
    <col min="12556" max="12556" width="14.1328125" style="339" bestFit="1" customWidth="1"/>
    <col min="12557" max="12558" width="16.33203125" style="339" bestFit="1" customWidth="1"/>
    <col min="12559" max="12559" width="14.33203125" style="339" bestFit="1" customWidth="1"/>
    <col min="12560" max="12560" width="15.1328125" style="339" bestFit="1" customWidth="1"/>
    <col min="12561" max="12561" width="12.6640625" style="339" bestFit="1" customWidth="1"/>
    <col min="12562" max="12562" width="11.6640625" style="339" bestFit="1" customWidth="1"/>
    <col min="12563" max="12563" width="11" style="339" bestFit="1" customWidth="1"/>
    <col min="12564" max="12564" width="13.6640625" style="339" bestFit="1" customWidth="1"/>
    <col min="12565" max="12565" width="11" style="339" bestFit="1" customWidth="1"/>
    <col min="12566" max="12566" width="13.33203125" style="339" bestFit="1" customWidth="1"/>
    <col min="12567" max="12567" width="17" style="339" bestFit="1" customWidth="1"/>
    <col min="12568" max="12568" width="14.1328125" style="339" bestFit="1" customWidth="1"/>
    <col min="12569" max="12570" width="16.33203125" style="339" bestFit="1" customWidth="1"/>
    <col min="12571" max="12571" width="14.33203125" style="339" bestFit="1" customWidth="1"/>
    <col min="12572" max="12572" width="15.1328125" style="339" bestFit="1" customWidth="1"/>
    <col min="12573" max="12573" width="12.6640625" style="339" bestFit="1" customWidth="1"/>
    <col min="12574" max="12574" width="11.6640625" style="339" bestFit="1" customWidth="1"/>
    <col min="12575" max="12575" width="11" style="339" bestFit="1" customWidth="1"/>
    <col min="12576" max="12576" width="11.6640625" style="339" bestFit="1" customWidth="1"/>
    <col min="12577" max="12577" width="11" style="339" bestFit="1" customWidth="1"/>
    <col min="12578" max="12578" width="13.33203125" style="339" bestFit="1" customWidth="1"/>
    <col min="12579" max="12579" width="17" style="339" bestFit="1" customWidth="1"/>
    <col min="12580" max="12580" width="14.1328125" style="339" bestFit="1" customWidth="1"/>
    <col min="12581" max="12582" width="16.33203125" style="339" bestFit="1" customWidth="1"/>
    <col min="12583" max="12583" width="14.33203125" style="339" bestFit="1" customWidth="1"/>
    <col min="12584" max="12584" width="15.1328125" style="339" bestFit="1" customWidth="1"/>
    <col min="12585" max="12585" width="12.6640625" style="339" bestFit="1" customWidth="1"/>
    <col min="12586" max="12586" width="11.6640625" style="339" bestFit="1" customWidth="1"/>
    <col min="12587" max="12587" width="11" style="339" bestFit="1" customWidth="1"/>
    <col min="12588" max="12588" width="11.6640625" style="339" bestFit="1" customWidth="1"/>
    <col min="12589" max="12589" width="11" style="339" bestFit="1" customWidth="1"/>
    <col min="12590" max="12590" width="13.33203125" style="339" bestFit="1" customWidth="1"/>
    <col min="12591" max="12591" width="17" style="339" bestFit="1" customWidth="1"/>
    <col min="12592" max="12592" width="14.1328125" style="339" bestFit="1" customWidth="1"/>
    <col min="12593" max="12594" width="16.33203125" style="339" bestFit="1" customWidth="1"/>
    <col min="12595" max="12595" width="14.33203125" style="339" bestFit="1" customWidth="1"/>
    <col min="12596" max="12596" width="15.1328125" style="339" bestFit="1" customWidth="1"/>
    <col min="12597" max="12597" width="12.6640625" style="339" bestFit="1" customWidth="1"/>
    <col min="12598" max="12598" width="11.6640625" style="339" bestFit="1" customWidth="1"/>
    <col min="12599" max="12599" width="11" style="339" bestFit="1" customWidth="1"/>
    <col min="12600" max="12600" width="11.6640625" style="339" bestFit="1" customWidth="1"/>
    <col min="12601" max="12601" width="11" style="339" bestFit="1" customWidth="1"/>
    <col min="12602" max="12602" width="13.33203125" style="339" bestFit="1" customWidth="1"/>
    <col min="12603" max="12603" width="17" style="339" bestFit="1" customWidth="1"/>
    <col min="12604" max="12604" width="14.1328125" style="339" bestFit="1" customWidth="1"/>
    <col min="12605" max="12606" width="16.33203125" style="339" bestFit="1" customWidth="1"/>
    <col min="12607" max="12607" width="14.33203125" style="339" bestFit="1" customWidth="1"/>
    <col min="12608" max="12608" width="15.1328125" style="339" bestFit="1" customWidth="1"/>
    <col min="12609" max="12609" width="12.6640625" style="339" bestFit="1" customWidth="1"/>
    <col min="12610" max="12610" width="11.6640625" style="339" bestFit="1" customWidth="1"/>
    <col min="12611" max="12611" width="11" style="339" bestFit="1" customWidth="1"/>
    <col min="12612" max="12612" width="11.6640625" style="339" bestFit="1" customWidth="1"/>
    <col min="12613" max="12613" width="11" style="339" bestFit="1" customWidth="1"/>
    <col min="12614" max="12614" width="13.33203125" style="339" bestFit="1" customWidth="1"/>
    <col min="12615" max="12615" width="17" style="339" bestFit="1" customWidth="1"/>
    <col min="12616" max="12616" width="14.1328125" style="339" bestFit="1" customWidth="1"/>
    <col min="12617" max="12618" width="16.33203125" style="339" bestFit="1" customWidth="1"/>
    <col min="12619" max="12619" width="14.33203125" style="339" bestFit="1" customWidth="1"/>
    <col min="12620" max="12620" width="15.1328125" style="339" bestFit="1" customWidth="1"/>
    <col min="12621" max="12621" width="12.6640625" style="339" bestFit="1" customWidth="1"/>
    <col min="12622" max="12622" width="11.6640625" style="339" bestFit="1" customWidth="1"/>
    <col min="12623" max="12623" width="11" style="339" bestFit="1" customWidth="1"/>
    <col min="12624" max="12624" width="11.6640625" style="339" bestFit="1" customWidth="1"/>
    <col min="12625" max="12625" width="11" style="339" bestFit="1" customWidth="1"/>
    <col min="12626" max="12626" width="13.33203125" style="339" bestFit="1" customWidth="1"/>
    <col min="12627" max="12627" width="17" style="339" bestFit="1" customWidth="1"/>
    <col min="12628" max="12628" width="14.1328125" style="339" bestFit="1" customWidth="1"/>
    <col min="12629" max="12630" width="16.33203125" style="339" bestFit="1" customWidth="1"/>
    <col min="12631" max="12631" width="14.33203125" style="339" bestFit="1" customWidth="1"/>
    <col min="12632" max="12632" width="15.1328125" style="339" bestFit="1" customWidth="1"/>
    <col min="12633" max="12633" width="12.6640625" style="339" bestFit="1" customWidth="1"/>
    <col min="12634" max="12634" width="11.6640625" style="339" bestFit="1" customWidth="1"/>
    <col min="12635" max="12635" width="11" style="339" bestFit="1" customWidth="1"/>
    <col min="12636" max="12636" width="11.6640625" style="339" bestFit="1" customWidth="1"/>
    <col min="12637" max="12637" width="11" style="339" bestFit="1" customWidth="1"/>
    <col min="12638" max="12638" width="13.33203125" style="339" bestFit="1" customWidth="1"/>
    <col min="12639" max="12640" width="17" style="339" bestFit="1" customWidth="1"/>
    <col min="12641" max="12804" width="9" style="339"/>
    <col min="12805" max="12805" width="12.1328125" style="339" customWidth="1"/>
    <col min="12806" max="12809" width="9" style="339"/>
    <col min="12810" max="12810" width="91.33203125" style="339" bestFit="1" customWidth="1"/>
    <col min="12811" max="12811" width="10.6640625" style="339" customWidth="1"/>
    <col min="12812" max="12812" width="14.1328125" style="339" bestFit="1" customWidth="1"/>
    <col min="12813" max="12814" width="16.33203125" style="339" bestFit="1" customWidth="1"/>
    <col min="12815" max="12815" width="14.33203125" style="339" bestFit="1" customWidth="1"/>
    <col min="12816" max="12816" width="15.1328125" style="339" bestFit="1" customWidth="1"/>
    <col min="12817" max="12817" width="12.6640625" style="339" bestFit="1" customWidth="1"/>
    <col min="12818" max="12818" width="11.6640625" style="339" bestFit="1" customWidth="1"/>
    <col min="12819" max="12819" width="11" style="339" bestFit="1" customWidth="1"/>
    <col min="12820" max="12820" width="13.6640625" style="339" bestFit="1" customWidth="1"/>
    <col min="12821" max="12821" width="11" style="339" bestFit="1" customWidth="1"/>
    <col min="12822" max="12822" width="13.33203125" style="339" bestFit="1" customWidth="1"/>
    <col min="12823" max="12823" width="17" style="339" bestFit="1" customWidth="1"/>
    <col min="12824" max="12824" width="14.1328125" style="339" bestFit="1" customWidth="1"/>
    <col min="12825" max="12826" width="16.33203125" style="339" bestFit="1" customWidth="1"/>
    <col min="12827" max="12827" width="14.33203125" style="339" bestFit="1" customWidth="1"/>
    <col min="12828" max="12828" width="15.1328125" style="339" bestFit="1" customWidth="1"/>
    <col min="12829" max="12829" width="12.6640625" style="339" bestFit="1" customWidth="1"/>
    <col min="12830" max="12830" width="11.6640625" style="339" bestFit="1" customWidth="1"/>
    <col min="12831" max="12831" width="11" style="339" bestFit="1" customWidth="1"/>
    <col min="12832" max="12832" width="11.6640625" style="339" bestFit="1" customWidth="1"/>
    <col min="12833" max="12833" width="11" style="339" bestFit="1" customWidth="1"/>
    <col min="12834" max="12834" width="13.33203125" style="339" bestFit="1" customWidth="1"/>
    <col min="12835" max="12835" width="17" style="339" bestFit="1" customWidth="1"/>
    <col min="12836" max="12836" width="14.1328125" style="339" bestFit="1" customWidth="1"/>
    <col min="12837" max="12838" width="16.33203125" style="339" bestFit="1" customWidth="1"/>
    <col min="12839" max="12839" width="14.33203125" style="339" bestFit="1" customWidth="1"/>
    <col min="12840" max="12840" width="15.1328125" style="339" bestFit="1" customWidth="1"/>
    <col min="12841" max="12841" width="12.6640625" style="339" bestFit="1" customWidth="1"/>
    <col min="12842" max="12842" width="11.6640625" style="339" bestFit="1" customWidth="1"/>
    <col min="12843" max="12843" width="11" style="339" bestFit="1" customWidth="1"/>
    <col min="12844" max="12844" width="11.6640625" style="339" bestFit="1" customWidth="1"/>
    <col min="12845" max="12845" width="11" style="339" bestFit="1" customWidth="1"/>
    <col min="12846" max="12846" width="13.33203125" style="339" bestFit="1" customWidth="1"/>
    <col min="12847" max="12847" width="17" style="339" bestFit="1" customWidth="1"/>
    <col min="12848" max="12848" width="14.1328125" style="339" bestFit="1" customWidth="1"/>
    <col min="12849" max="12850" width="16.33203125" style="339" bestFit="1" customWidth="1"/>
    <col min="12851" max="12851" width="14.33203125" style="339" bestFit="1" customWidth="1"/>
    <col min="12852" max="12852" width="15.1328125" style="339" bestFit="1" customWidth="1"/>
    <col min="12853" max="12853" width="12.6640625" style="339" bestFit="1" customWidth="1"/>
    <col min="12854" max="12854" width="11.6640625" style="339" bestFit="1" customWidth="1"/>
    <col min="12855" max="12855" width="11" style="339" bestFit="1" customWidth="1"/>
    <col min="12856" max="12856" width="11.6640625" style="339" bestFit="1" customWidth="1"/>
    <col min="12857" max="12857" width="11" style="339" bestFit="1" customWidth="1"/>
    <col min="12858" max="12858" width="13.33203125" style="339" bestFit="1" customWidth="1"/>
    <col min="12859" max="12859" width="17" style="339" bestFit="1" customWidth="1"/>
    <col min="12860" max="12860" width="14.1328125" style="339" bestFit="1" customWidth="1"/>
    <col min="12861" max="12862" width="16.33203125" style="339" bestFit="1" customWidth="1"/>
    <col min="12863" max="12863" width="14.33203125" style="339" bestFit="1" customWidth="1"/>
    <col min="12864" max="12864" width="15.1328125" style="339" bestFit="1" customWidth="1"/>
    <col min="12865" max="12865" width="12.6640625" style="339" bestFit="1" customWidth="1"/>
    <col min="12866" max="12866" width="11.6640625" style="339" bestFit="1" customWidth="1"/>
    <col min="12867" max="12867" width="11" style="339" bestFit="1" customWidth="1"/>
    <col min="12868" max="12868" width="11.6640625" style="339" bestFit="1" customWidth="1"/>
    <col min="12869" max="12869" width="11" style="339" bestFit="1" customWidth="1"/>
    <col min="12870" max="12870" width="13.33203125" style="339" bestFit="1" customWidth="1"/>
    <col min="12871" max="12871" width="17" style="339" bestFit="1" customWidth="1"/>
    <col min="12872" max="12872" width="14.1328125" style="339" bestFit="1" customWidth="1"/>
    <col min="12873" max="12874" width="16.33203125" style="339" bestFit="1" customWidth="1"/>
    <col min="12875" max="12875" width="14.33203125" style="339" bestFit="1" customWidth="1"/>
    <col min="12876" max="12876" width="15.1328125" style="339" bestFit="1" customWidth="1"/>
    <col min="12877" max="12877" width="12.6640625" style="339" bestFit="1" customWidth="1"/>
    <col min="12878" max="12878" width="11.6640625" style="339" bestFit="1" customWidth="1"/>
    <col min="12879" max="12879" width="11" style="339" bestFit="1" customWidth="1"/>
    <col min="12880" max="12880" width="11.6640625" style="339" bestFit="1" customWidth="1"/>
    <col min="12881" max="12881" width="11" style="339" bestFit="1" customWidth="1"/>
    <col min="12882" max="12882" width="13.33203125" style="339" bestFit="1" customWidth="1"/>
    <col min="12883" max="12883" width="17" style="339" bestFit="1" customWidth="1"/>
    <col min="12884" max="12884" width="14.1328125" style="339" bestFit="1" customWidth="1"/>
    <col min="12885" max="12886" width="16.33203125" style="339" bestFit="1" customWidth="1"/>
    <col min="12887" max="12887" width="14.33203125" style="339" bestFit="1" customWidth="1"/>
    <col min="12888" max="12888" width="15.1328125" style="339" bestFit="1" customWidth="1"/>
    <col min="12889" max="12889" width="12.6640625" style="339" bestFit="1" customWidth="1"/>
    <col min="12890" max="12890" width="11.6640625" style="339" bestFit="1" customWidth="1"/>
    <col min="12891" max="12891" width="11" style="339" bestFit="1" customWidth="1"/>
    <col min="12892" max="12892" width="11.6640625" style="339" bestFit="1" customWidth="1"/>
    <col min="12893" max="12893" width="11" style="339" bestFit="1" customWidth="1"/>
    <col min="12894" max="12894" width="13.33203125" style="339" bestFit="1" customWidth="1"/>
    <col min="12895" max="12896" width="17" style="339" bestFit="1" customWidth="1"/>
    <col min="12897" max="13060" width="9" style="339"/>
    <col min="13061" max="13061" width="12.1328125" style="339" customWidth="1"/>
    <col min="13062" max="13065" width="9" style="339"/>
    <col min="13066" max="13066" width="91.33203125" style="339" bestFit="1" customWidth="1"/>
    <col min="13067" max="13067" width="10.6640625" style="339" customWidth="1"/>
    <col min="13068" max="13068" width="14.1328125" style="339" bestFit="1" customWidth="1"/>
    <col min="13069" max="13070" width="16.33203125" style="339" bestFit="1" customWidth="1"/>
    <col min="13071" max="13071" width="14.33203125" style="339" bestFit="1" customWidth="1"/>
    <col min="13072" max="13072" width="15.1328125" style="339" bestFit="1" customWidth="1"/>
    <col min="13073" max="13073" width="12.6640625" style="339" bestFit="1" customWidth="1"/>
    <col min="13074" max="13074" width="11.6640625" style="339" bestFit="1" customWidth="1"/>
    <col min="13075" max="13075" width="11" style="339" bestFit="1" customWidth="1"/>
    <col min="13076" max="13076" width="13.6640625" style="339" bestFit="1" customWidth="1"/>
    <col min="13077" max="13077" width="11" style="339" bestFit="1" customWidth="1"/>
    <col min="13078" max="13078" width="13.33203125" style="339" bestFit="1" customWidth="1"/>
    <col min="13079" max="13079" width="17" style="339" bestFit="1" customWidth="1"/>
    <col min="13080" max="13080" width="14.1328125" style="339" bestFit="1" customWidth="1"/>
    <col min="13081" max="13082" width="16.33203125" style="339" bestFit="1" customWidth="1"/>
    <col min="13083" max="13083" width="14.33203125" style="339" bestFit="1" customWidth="1"/>
    <col min="13084" max="13084" width="15.1328125" style="339" bestFit="1" customWidth="1"/>
    <col min="13085" max="13085" width="12.6640625" style="339" bestFit="1" customWidth="1"/>
    <col min="13086" max="13086" width="11.6640625" style="339" bestFit="1" customWidth="1"/>
    <col min="13087" max="13087" width="11" style="339" bestFit="1" customWidth="1"/>
    <col min="13088" max="13088" width="11.6640625" style="339" bestFit="1" customWidth="1"/>
    <col min="13089" max="13089" width="11" style="339" bestFit="1" customWidth="1"/>
    <col min="13090" max="13090" width="13.33203125" style="339" bestFit="1" customWidth="1"/>
    <col min="13091" max="13091" width="17" style="339" bestFit="1" customWidth="1"/>
    <col min="13092" max="13092" width="14.1328125" style="339" bestFit="1" customWidth="1"/>
    <col min="13093" max="13094" width="16.33203125" style="339" bestFit="1" customWidth="1"/>
    <col min="13095" max="13095" width="14.33203125" style="339" bestFit="1" customWidth="1"/>
    <col min="13096" max="13096" width="15.1328125" style="339" bestFit="1" customWidth="1"/>
    <col min="13097" max="13097" width="12.6640625" style="339" bestFit="1" customWidth="1"/>
    <col min="13098" max="13098" width="11.6640625" style="339" bestFit="1" customWidth="1"/>
    <col min="13099" max="13099" width="11" style="339" bestFit="1" customWidth="1"/>
    <col min="13100" max="13100" width="11.6640625" style="339" bestFit="1" customWidth="1"/>
    <col min="13101" max="13101" width="11" style="339" bestFit="1" customWidth="1"/>
    <col min="13102" max="13102" width="13.33203125" style="339" bestFit="1" customWidth="1"/>
    <col min="13103" max="13103" width="17" style="339" bestFit="1" customWidth="1"/>
    <col min="13104" max="13104" width="14.1328125" style="339" bestFit="1" customWidth="1"/>
    <col min="13105" max="13106" width="16.33203125" style="339" bestFit="1" customWidth="1"/>
    <col min="13107" max="13107" width="14.33203125" style="339" bestFit="1" customWidth="1"/>
    <col min="13108" max="13108" width="15.1328125" style="339" bestFit="1" customWidth="1"/>
    <col min="13109" max="13109" width="12.6640625" style="339" bestFit="1" customWidth="1"/>
    <col min="13110" max="13110" width="11.6640625" style="339" bestFit="1" customWidth="1"/>
    <col min="13111" max="13111" width="11" style="339" bestFit="1" customWidth="1"/>
    <col min="13112" max="13112" width="11.6640625" style="339" bestFit="1" customWidth="1"/>
    <col min="13113" max="13113" width="11" style="339" bestFit="1" customWidth="1"/>
    <col min="13114" max="13114" width="13.33203125" style="339" bestFit="1" customWidth="1"/>
    <col min="13115" max="13115" width="17" style="339" bestFit="1" customWidth="1"/>
    <col min="13116" max="13116" width="14.1328125" style="339" bestFit="1" customWidth="1"/>
    <col min="13117" max="13118" width="16.33203125" style="339" bestFit="1" customWidth="1"/>
    <col min="13119" max="13119" width="14.33203125" style="339" bestFit="1" customWidth="1"/>
    <col min="13120" max="13120" width="15.1328125" style="339" bestFit="1" customWidth="1"/>
    <col min="13121" max="13121" width="12.6640625" style="339" bestFit="1" customWidth="1"/>
    <col min="13122" max="13122" width="11.6640625" style="339" bestFit="1" customWidth="1"/>
    <col min="13123" max="13123" width="11" style="339" bestFit="1" customWidth="1"/>
    <col min="13124" max="13124" width="11.6640625" style="339" bestFit="1" customWidth="1"/>
    <col min="13125" max="13125" width="11" style="339" bestFit="1" customWidth="1"/>
    <col min="13126" max="13126" width="13.33203125" style="339" bestFit="1" customWidth="1"/>
    <col min="13127" max="13127" width="17" style="339" bestFit="1" customWidth="1"/>
    <col min="13128" max="13128" width="14.1328125" style="339" bestFit="1" customWidth="1"/>
    <col min="13129" max="13130" width="16.33203125" style="339" bestFit="1" customWidth="1"/>
    <col min="13131" max="13131" width="14.33203125" style="339" bestFit="1" customWidth="1"/>
    <col min="13132" max="13132" width="15.1328125" style="339" bestFit="1" customWidth="1"/>
    <col min="13133" max="13133" width="12.6640625" style="339" bestFit="1" customWidth="1"/>
    <col min="13134" max="13134" width="11.6640625" style="339" bestFit="1" customWidth="1"/>
    <col min="13135" max="13135" width="11" style="339" bestFit="1" customWidth="1"/>
    <col min="13136" max="13136" width="11.6640625" style="339" bestFit="1" customWidth="1"/>
    <col min="13137" max="13137" width="11" style="339" bestFit="1" customWidth="1"/>
    <col min="13138" max="13138" width="13.33203125" style="339" bestFit="1" customWidth="1"/>
    <col min="13139" max="13139" width="17" style="339" bestFit="1" customWidth="1"/>
    <col min="13140" max="13140" width="14.1328125" style="339" bestFit="1" customWidth="1"/>
    <col min="13141" max="13142" width="16.33203125" style="339" bestFit="1" customWidth="1"/>
    <col min="13143" max="13143" width="14.33203125" style="339" bestFit="1" customWidth="1"/>
    <col min="13144" max="13144" width="15.1328125" style="339" bestFit="1" customWidth="1"/>
    <col min="13145" max="13145" width="12.6640625" style="339" bestFit="1" customWidth="1"/>
    <col min="13146" max="13146" width="11.6640625" style="339" bestFit="1" customWidth="1"/>
    <col min="13147" max="13147" width="11" style="339" bestFit="1" customWidth="1"/>
    <col min="13148" max="13148" width="11.6640625" style="339" bestFit="1" customWidth="1"/>
    <col min="13149" max="13149" width="11" style="339" bestFit="1" customWidth="1"/>
    <col min="13150" max="13150" width="13.33203125" style="339" bestFit="1" customWidth="1"/>
    <col min="13151" max="13152" width="17" style="339" bestFit="1" customWidth="1"/>
    <col min="13153" max="13316" width="9" style="339"/>
    <col min="13317" max="13317" width="12.1328125" style="339" customWidth="1"/>
    <col min="13318" max="13321" width="9" style="339"/>
    <col min="13322" max="13322" width="91.33203125" style="339" bestFit="1" customWidth="1"/>
    <col min="13323" max="13323" width="10.6640625" style="339" customWidth="1"/>
    <col min="13324" max="13324" width="14.1328125" style="339" bestFit="1" customWidth="1"/>
    <col min="13325" max="13326" width="16.33203125" style="339" bestFit="1" customWidth="1"/>
    <col min="13327" max="13327" width="14.33203125" style="339" bestFit="1" customWidth="1"/>
    <col min="13328" max="13328" width="15.1328125" style="339" bestFit="1" customWidth="1"/>
    <col min="13329" max="13329" width="12.6640625" style="339" bestFit="1" customWidth="1"/>
    <col min="13330" max="13330" width="11.6640625" style="339" bestFit="1" customWidth="1"/>
    <col min="13331" max="13331" width="11" style="339" bestFit="1" customWidth="1"/>
    <col min="13332" max="13332" width="13.6640625" style="339" bestFit="1" customWidth="1"/>
    <col min="13333" max="13333" width="11" style="339" bestFit="1" customWidth="1"/>
    <col min="13334" max="13334" width="13.33203125" style="339" bestFit="1" customWidth="1"/>
    <col min="13335" max="13335" width="17" style="339" bestFit="1" customWidth="1"/>
    <col min="13336" max="13336" width="14.1328125" style="339" bestFit="1" customWidth="1"/>
    <col min="13337" max="13338" width="16.33203125" style="339" bestFit="1" customWidth="1"/>
    <col min="13339" max="13339" width="14.33203125" style="339" bestFit="1" customWidth="1"/>
    <col min="13340" max="13340" width="15.1328125" style="339" bestFit="1" customWidth="1"/>
    <col min="13341" max="13341" width="12.6640625" style="339" bestFit="1" customWidth="1"/>
    <col min="13342" max="13342" width="11.6640625" style="339" bestFit="1" customWidth="1"/>
    <col min="13343" max="13343" width="11" style="339" bestFit="1" customWidth="1"/>
    <col min="13344" max="13344" width="11.6640625" style="339" bestFit="1" customWidth="1"/>
    <col min="13345" max="13345" width="11" style="339" bestFit="1" customWidth="1"/>
    <col min="13346" max="13346" width="13.33203125" style="339" bestFit="1" customWidth="1"/>
    <col min="13347" max="13347" width="17" style="339" bestFit="1" customWidth="1"/>
    <col min="13348" max="13348" width="14.1328125" style="339" bestFit="1" customWidth="1"/>
    <col min="13349" max="13350" width="16.33203125" style="339" bestFit="1" customWidth="1"/>
    <col min="13351" max="13351" width="14.33203125" style="339" bestFit="1" customWidth="1"/>
    <col min="13352" max="13352" width="15.1328125" style="339" bestFit="1" customWidth="1"/>
    <col min="13353" max="13353" width="12.6640625" style="339" bestFit="1" customWidth="1"/>
    <col min="13354" max="13354" width="11.6640625" style="339" bestFit="1" customWidth="1"/>
    <col min="13355" max="13355" width="11" style="339" bestFit="1" customWidth="1"/>
    <col min="13356" max="13356" width="11.6640625" style="339" bestFit="1" customWidth="1"/>
    <col min="13357" max="13357" width="11" style="339" bestFit="1" customWidth="1"/>
    <col min="13358" max="13358" width="13.33203125" style="339" bestFit="1" customWidth="1"/>
    <col min="13359" max="13359" width="17" style="339" bestFit="1" customWidth="1"/>
    <col min="13360" max="13360" width="14.1328125" style="339" bestFit="1" customWidth="1"/>
    <col min="13361" max="13362" width="16.33203125" style="339" bestFit="1" customWidth="1"/>
    <col min="13363" max="13363" width="14.33203125" style="339" bestFit="1" customWidth="1"/>
    <col min="13364" max="13364" width="15.1328125" style="339" bestFit="1" customWidth="1"/>
    <col min="13365" max="13365" width="12.6640625" style="339" bestFit="1" customWidth="1"/>
    <col min="13366" max="13366" width="11.6640625" style="339" bestFit="1" customWidth="1"/>
    <col min="13367" max="13367" width="11" style="339" bestFit="1" customWidth="1"/>
    <col min="13368" max="13368" width="11.6640625" style="339" bestFit="1" customWidth="1"/>
    <col min="13369" max="13369" width="11" style="339" bestFit="1" customWidth="1"/>
    <col min="13370" max="13370" width="13.33203125" style="339" bestFit="1" customWidth="1"/>
    <col min="13371" max="13371" width="17" style="339" bestFit="1" customWidth="1"/>
    <col min="13372" max="13372" width="14.1328125" style="339" bestFit="1" customWidth="1"/>
    <col min="13373" max="13374" width="16.33203125" style="339" bestFit="1" customWidth="1"/>
    <col min="13375" max="13375" width="14.33203125" style="339" bestFit="1" customWidth="1"/>
    <col min="13376" max="13376" width="15.1328125" style="339" bestFit="1" customWidth="1"/>
    <col min="13377" max="13377" width="12.6640625" style="339" bestFit="1" customWidth="1"/>
    <col min="13378" max="13378" width="11.6640625" style="339" bestFit="1" customWidth="1"/>
    <col min="13379" max="13379" width="11" style="339" bestFit="1" customWidth="1"/>
    <col min="13380" max="13380" width="11.6640625" style="339" bestFit="1" customWidth="1"/>
    <col min="13381" max="13381" width="11" style="339" bestFit="1" customWidth="1"/>
    <col min="13382" max="13382" width="13.33203125" style="339" bestFit="1" customWidth="1"/>
    <col min="13383" max="13383" width="17" style="339" bestFit="1" customWidth="1"/>
    <col min="13384" max="13384" width="14.1328125" style="339" bestFit="1" customWidth="1"/>
    <col min="13385" max="13386" width="16.33203125" style="339" bestFit="1" customWidth="1"/>
    <col min="13387" max="13387" width="14.33203125" style="339" bestFit="1" customWidth="1"/>
    <col min="13388" max="13388" width="15.1328125" style="339" bestFit="1" customWidth="1"/>
    <col min="13389" max="13389" width="12.6640625" style="339" bestFit="1" customWidth="1"/>
    <col min="13390" max="13390" width="11.6640625" style="339" bestFit="1" customWidth="1"/>
    <col min="13391" max="13391" width="11" style="339" bestFit="1" customWidth="1"/>
    <col min="13392" max="13392" width="11.6640625" style="339" bestFit="1" customWidth="1"/>
    <col min="13393" max="13393" width="11" style="339" bestFit="1" customWidth="1"/>
    <col min="13394" max="13394" width="13.33203125" style="339" bestFit="1" customWidth="1"/>
    <col min="13395" max="13395" width="17" style="339" bestFit="1" customWidth="1"/>
    <col min="13396" max="13396" width="14.1328125" style="339" bestFit="1" customWidth="1"/>
    <col min="13397" max="13398" width="16.33203125" style="339" bestFit="1" customWidth="1"/>
    <col min="13399" max="13399" width="14.33203125" style="339" bestFit="1" customWidth="1"/>
    <col min="13400" max="13400" width="15.1328125" style="339" bestFit="1" customWidth="1"/>
    <col min="13401" max="13401" width="12.6640625" style="339" bestFit="1" customWidth="1"/>
    <col min="13402" max="13402" width="11.6640625" style="339" bestFit="1" customWidth="1"/>
    <col min="13403" max="13403" width="11" style="339" bestFit="1" customWidth="1"/>
    <col min="13404" max="13404" width="11.6640625" style="339" bestFit="1" customWidth="1"/>
    <col min="13405" max="13405" width="11" style="339" bestFit="1" customWidth="1"/>
    <col min="13406" max="13406" width="13.33203125" style="339" bestFit="1" customWidth="1"/>
    <col min="13407" max="13408" width="17" style="339" bestFit="1" customWidth="1"/>
    <col min="13409" max="13572" width="9" style="339"/>
    <col min="13573" max="13573" width="12.1328125" style="339" customWidth="1"/>
    <col min="13574" max="13577" width="9" style="339"/>
    <col min="13578" max="13578" width="91.33203125" style="339" bestFit="1" customWidth="1"/>
    <col min="13579" max="13579" width="10.6640625" style="339" customWidth="1"/>
    <col min="13580" max="13580" width="14.1328125" style="339" bestFit="1" customWidth="1"/>
    <col min="13581" max="13582" width="16.33203125" style="339" bestFit="1" customWidth="1"/>
    <col min="13583" max="13583" width="14.33203125" style="339" bestFit="1" customWidth="1"/>
    <col min="13584" max="13584" width="15.1328125" style="339" bestFit="1" customWidth="1"/>
    <col min="13585" max="13585" width="12.6640625" style="339" bestFit="1" customWidth="1"/>
    <col min="13586" max="13586" width="11.6640625" style="339" bestFit="1" customWidth="1"/>
    <col min="13587" max="13587" width="11" style="339" bestFit="1" customWidth="1"/>
    <col min="13588" max="13588" width="13.6640625" style="339" bestFit="1" customWidth="1"/>
    <col min="13589" max="13589" width="11" style="339" bestFit="1" customWidth="1"/>
    <col min="13590" max="13590" width="13.33203125" style="339" bestFit="1" customWidth="1"/>
    <col min="13591" max="13591" width="17" style="339" bestFit="1" customWidth="1"/>
    <col min="13592" max="13592" width="14.1328125" style="339" bestFit="1" customWidth="1"/>
    <col min="13593" max="13594" width="16.33203125" style="339" bestFit="1" customWidth="1"/>
    <col min="13595" max="13595" width="14.33203125" style="339" bestFit="1" customWidth="1"/>
    <col min="13596" max="13596" width="15.1328125" style="339" bestFit="1" customWidth="1"/>
    <col min="13597" max="13597" width="12.6640625" style="339" bestFit="1" customWidth="1"/>
    <col min="13598" max="13598" width="11.6640625" style="339" bestFit="1" customWidth="1"/>
    <col min="13599" max="13599" width="11" style="339" bestFit="1" customWidth="1"/>
    <col min="13600" max="13600" width="11.6640625" style="339" bestFit="1" customWidth="1"/>
    <col min="13601" max="13601" width="11" style="339" bestFit="1" customWidth="1"/>
    <col min="13602" max="13602" width="13.33203125" style="339" bestFit="1" customWidth="1"/>
    <col min="13603" max="13603" width="17" style="339" bestFit="1" customWidth="1"/>
    <col min="13604" max="13604" width="14.1328125" style="339" bestFit="1" customWidth="1"/>
    <col min="13605" max="13606" width="16.33203125" style="339" bestFit="1" customWidth="1"/>
    <col min="13607" max="13607" width="14.33203125" style="339" bestFit="1" customWidth="1"/>
    <col min="13608" max="13608" width="15.1328125" style="339" bestFit="1" customWidth="1"/>
    <col min="13609" max="13609" width="12.6640625" style="339" bestFit="1" customWidth="1"/>
    <col min="13610" max="13610" width="11.6640625" style="339" bestFit="1" customWidth="1"/>
    <col min="13611" max="13611" width="11" style="339" bestFit="1" customWidth="1"/>
    <col min="13612" max="13612" width="11.6640625" style="339" bestFit="1" customWidth="1"/>
    <col min="13613" max="13613" width="11" style="339" bestFit="1" customWidth="1"/>
    <col min="13614" max="13614" width="13.33203125" style="339" bestFit="1" customWidth="1"/>
    <col min="13615" max="13615" width="17" style="339" bestFit="1" customWidth="1"/>
    <col min="13616" max="13616" width="14.1328125" style="339" bestFit="1" customWidth="1"/>
    <col min="13617" max="13618" width="16.33203125" style="339" bestFit="1" customWidth="1"/>
    <col min="13619" max="13619" width="14.33203125" style="339" bestFit="1" customWidth="1"/>
    <col min="13620" max="13620" width="15.1328125" style="339" bestFit="1" customWidth="1"/>
    <col min="13621" max="13621" width="12.6640625" style="339" bestFit="1" customWidth="1"/>
    <col min="13622" max="13622" width="11.6640625" style="339" bestFit="1" customWidth="1"/>
    <col min="13623" max="13623" width="11" style="339" bestFit="1" customWidth="1"/>
    <col min="13624" max="13624" width="11.6640625" style="339" bestFit="1" customWidth="1"/>
    <col min="13625" max="13625" width="11" style="339" bestFit="1" customWidth="1"/>
    <col min="13626" max="13626" width="13.33203125" style="339" bestFit="1" customWidth="1"/>
    <col min="13627" max="13627" width="17" style="339" bestFit="1" customWidth="1"/>
    <col min="13628" max="13628" width="14.1328125" style="339" bestFit="1" customWidth="1"/>
    <col min="13629" max="13630" width="16.33203125" style="339" bestFit="1" customWidth="1"/>
    <col min="13631" max="13631" width="14.33203125" style="339" bestFit="1" customWidth="1"/>
    <col min="13632" max="13632" width="15.1328125" style="339" bestFit="1" customWidth="1"/>
    <col min="13633" max="13633" width="12.6640625" style="339" bestFit="1" customWidth="1"/>
    <col min="13634" max="13634" width="11.6640625" style="339" bestFit="1" customWidth="1"/>
    <col min="13635" max="13635" width="11" style="339" bestFit="1" customWidth="1"/>
    <col min="13636" max="13636" width="11.6640625" style="339" bestFit="1" customWidth="1"/>
    <col min="13637" max="13637" width="11" style="339" bestFit="1" customWidth="1"/>
    <col min="13638" max="13638" width="13.33203125" style="339" bestFit="1" customWidth="1"/>
    <col min="13639" max="13639" width="17" style="339" bestFit="1" customWidth="1"/>
    <col min="13640" max="13640" width="14.1328125" style="339" bestFit="1" customWidth="1"/>
    <col min="13641" max="13642" width="16.33203125" style="339" bestFit="1" customWidth="1"/>
    <col min="13643" max="13643" width="14.33203125" style="339" bestFit="1" customWidth="1"/>
    <col min="13644" max="13644" width="15.1328125" style="339" bestFit="1" customWidth="1"/>
    <col min="13645" max="13645" width="12.6640625" style="339" bestFit="1" customWidth="1"/>
    <col min="13646" max="13646" width="11.6640625" style="339" bestFit="1" customWidth="1"/>
    <col min="13647" max="13647" width="11" style="339" bestFit="1" customWidth="1"/>
    <col min="13648" max="13648" width="11.6640625" style="339" bestFit="1" customWidth="1"/>
    <col min="13649" max="13649" width="11" style="339" bestFit="1" customWidth="1"/>
    <col min="13650" max="13650" width="13.33203125" style="339" bestFit="1" customWidth="1"/>
    <col min="13651" max="13651" width="17" style="339" bestFit="1" customWidth="1"/>
    <col min="13652" max="13652" width="14.1328125" style="339" bestFit="1" customWidth="1"/>
    <col min="13653" max="13654" width="16.33203125" style="339" bestFit="1" customWidth="1"/>
    <col min="13655" max="13655" width="14.33203125" style="339" bestFit="1" customWidth="1"/>
    <col min="13656" max="13656" width="15.1328125" style="339" bestFit="1" customWidth="1"/>
    <col min="13657" max="13657" width="12.6640625" style="339" bestFit="1" customWidth="1"/>
    <col min="13658" max="13658" width="11.6640625" style="339" bestFit="1" customWidth="1"/>
    <col min="13659" max="13659" width="11" style="339" bestFit="1" customWidth="1"/>
    <col min="13660" max="13660" width="11.6640625" style="339" bestFit="1" customWidth="1"/>
    <col min="13661" max="13661" width="11" style="339" bestFit="1" customWidth="1"/>
    <col min="13662" max="13662" width="13.33203125" style="339" bestFit="1" customWidth="1"/>
    <col min="13663" max="13664" width="17" style="339" bestFit="1" customWidth="1"/>
    <col min="13665" max="13828" width="9" style="339"/>
    <col min="13829" max="13829" width="12.1328125" style="339" customWidth="1"/>
    <col min="13830" max="13833" width="9" style="339"/>
    <col min="13834" max="13834" width="91.33203125" style="339" bestFit="1" customWidth="1"/>
    <col min="13835" max="13835" width="10.6640625" style="339" customWidth="1"/>
    <col min="13836" max="13836" width="14.1328125" style="339" bestFit="1" customWidth="1"/>
    <col min="13837" max="13838" width="16.33203125" style="339" bestFit="1" customWidth="1"/>
    <col min="13839" max="13839" width="14.33203125" style="339" bestFit="1" customWidth="1"/>
    <col min="13840" max="13840" width="15.1328125" style="339" bestFit="1" customWidth="1"/>
    <col min="13841" max="13841" width="12.6640625" style="339" bestFit="1" customWidth="1"/>
    <col min="13842" max="13842" width="11.6640625" style="339" bestFit="1" customWidth="1"/>
    <col min="13843" max="13843" width="11" style="339" bestFit="1" customWidth="1"/>
    <col min="13844" max="13844" width="13.6640625" style="339" bestFit="1" customWidth="1"/>
    <col min="13845" max="13845" width="11" style="339" bestFit="1" customWidth="1"/>
    <col min="13846" max="13846" width="13.33203125" style="339" bestFit="1" customWidth="1"/>
    <col min="13847" max="13847" width="17" style="339" bestFit="1" customWidth="1"/>
    <col min="13848" max="13848" width="14.1328125" style="339" bestFit="1" customWidth="1"/>
    <col min="13849" max="13850" width="16.33203125" style="339" bestFit="1" customWidth="1"/>
    <col min="13851" max="13851" width="14.33203125" style="339" bestFit="1" customWidth="1"/>
    <col min="13852" max="13852" width="15.1328125" style="339" bestFit="1" customWidth="1"/>
    <col min="13853" max="13853" width="12.6640625" style="339" bestFit="1" customWidth="1"/>
    <col min="13854" max="13854" width="11.6640625" style="339" bestFit="1" customWidth="1"/>
    <col min="13855" max="13855" width="11" style="339" bestFit="1" customWidth="1"/>
    <col min="13856" max="13856" width="11.6640625" style="339" bestFit="1" customWidth="1"/>
    <col min="13857" max="13857" width="11" style="339" bestFit="1" customWidth="1"/>
    <col min="13858" max="13858" width="13.33203125" style="339" bestFit="1" customWidth="1"/>
    <col min="13859" max="13859" width="17" style="339" bestFit="1" customWidth="1"/>
    <col min="13860" max="13860" width="14.1328125" style="339" bestFit="1" customWidth="1"/>
    <col min="13861" max="13862" width="16.33203125" style="339" bestFit="1" customWidth="1"/>
    <col min="13863" max="13863" width="14.33203125" style="339" bestFit="1" customWidth="1"/>
    <col min="13864" max="13864" width="15.1328125" style="339" bestFit="1" customWidth="1"/>
    <col min="13865" max="13865" width="12.6640625" style="339" bestFit="1" customWidth="1"/>
    <col min="13866" max="13866" width="11.6640625" style="339" bestFit="1" customWidth="1"/>
    <col min="13867" max="13867" width="11" style="339" bestFit="1" customWidth="1"/>
    <col min="13868" max="13868" width="11.6640625" style="339" bestFit="1" customWidth="1"/>
    <col min="13869" max="13869" width="11" style="339" bestFit="1" customWidth="1"/>
    <col min="13870" max="13870" width="13.33203125" style="339" bestFit="1" customWidth="1"/>
    <col min="13871" max="13871" width="17" style="339" bestFit="1" customWidth="1"/>
    <col min="13872" max="13872" width="14.1328125" style="339" bestFit="1" customWidth="1"/>
    <col min="13873" max="13874" width="16.33203125" style="339" bestFit="1" customWidth="1"/>
    <col min="13875" max="13875" width="14.33203125" style="339" bestFit="1" customWidth="1"/>
    <col min="13876" max="13876" width="15.1328125" style="339" bestFit="1" customWidth="1"/>
    <col min="13877" max="13877" width="12.6640625" style="339" bestFit="1" customWidth="1"/>
    <col min="13878" max="13878" width="11.6640625" style="339" bestFit="1" customWidth="1"/>
    <col min="13879" max="13879" width="11" style="339" bestFit="1" customWidth="1"/>
    <col min="13880" max="13880" width="11.6640625" style="339" bestFit="1" customWidth="1"/>
    <col min="13881" max="13881" width="11" style="339" bestFit="1" customWidth="1"/>
    <col min="13882" max="13882" width="13.33203125" style="339" bestFit="1" customWidth="1"/>
    <col min="13883" max="13883" width="17" style="339" bestFit="1" customWidth="1"/>
    <col min="13884" max="13884" width="14.1328125" style="339" bestFit="1" customWidth="1"/>
    <col min="13885" max="13886" width="16.33203125" style="339" bestFit="1" customWidth="1"/>
    <col min="13887" max="13887" width="14.33203125" style="339" bestFit="1" customWidth="1"/>
    <col min="13888" max="13888" width="15.1328125" style="339" bestFit="1" customWidth="1"/>
    <col min="13889" max="13889" width="12.6640625" style="339" bestFit="1" customWidth="1"/>
    <col min="13890" max="13890" width="11.6640625" style="339" bestFit="1" customWidth="1"/>
    <col min="13891" max="13891" width="11" style="339" bestFit="1" customWidth="1"/>
    <col min="13892" max="13892" width="11.6640625" style="339" bestFit="1" customWidth="1"/>
    <col min="13893" max="13893" width="11" style="339" bestFit="1" customWidth="1"/>
    <col min="13894" max="13894" width="13.33203125" style="339" bestFit="1" customWidth="1"/>
    <col min="13895" max="13895" width="17" style="339" bestFit="1" customWidth="1"/>
    <col min="13896" max="13896" width="14.1328125" style="339" bestFit="1" customWidth="1"/>
    <col min="13897" max="13898" width="16.33203125" style="339" bestFit="1" customWidth="1"/>
    <col min="13899" max="13899" width="14.33203125" style="339" bestFit="1" customWidth="1"/>
    <col min="13900" max="13900" width="15.1328125" style="339" bestFit="1" customWidth="1"/>
    <col min="13901" max="13901" width="12.6640625" style="339" bestFit="1" customWidth="1"/>
    <col min="13902" max="13902" width="11.6640625" style="339" bestFit="1" customWidth="1"/>
    <col min="13903" max="13903" width="11" style="339" bestFit="1" customWidth="1"/>
    <col min="13904" max="13904" width="11.6640625" style="339" bestFit="1" customWidth="1"/>
    <col min="13905" max="13905" width="11" style="339" bestFit="1" customWidth="1"/>
    <col min="13906" max="13906" width="13.33203125" style="339" bestFit="1" customWidth="1"/>
    <col min="13907" max="13907" width="17" style="339" bestFit="1" customWidth="1"/>
    <col min="13908" max="13908" width="14.1328125" style="339" bestFit="1" customWidth="1"/>
    <col min="13909" max="13910" width="16.33203125" style="339" bestFit="1" customWidth="1"/>
    <col min="13911" max="13911" width="14.33203125" style="339" bestFit="1" customWidth="1"/>
    <col min="13912" max="13912" width="15.1328125" style="339" bestFit="1" customWidth="1"/>
    <col min="13913" max="13913" width="12.6640625" style="339" bestFit="1" customWidth="1"/>
    <col min="13914" max="13914" width="11.6640625" style="339" bestFit="1" customWidth="1"/>
    <col min="13915" max="13915" width="11" style="339" bestFit="1" customWidth="1"/>
    <col min="13916" max="13916" width="11.6640625" style="339" bestFit="1" customWidth="1"/>
    <col min="13917" max="13917" width="11" style="339" bestFit="1" customWidth="1"/>
    <col min="13918" max="13918" width="13.33203125" style="339" bestFit="1" customWidth="1"/>
    <col min="13919" max="13920" width="17" style="339" bestFit="1" customWidth="1"/>
    <col min="13921" max="14084" width="9" style="339"/>
    <col min="14085" max="14085" width="12.1328125" style="339" customWidth="1"/>
    <col min="14086" max="14089" width="9" style="339"/>
    <col min="14090" max="14090" width="91.33203125" style="339" bestFit="1" customWidth="1"/>
    <col min="14091" max="14091" width="10.6640625" style="339" customWidth="1"/>
    <col min="14092" max="14092" width="14.1328125" style="339" bestFit="1" customWidth="1"/>
    <col min="14093" max="14094" width="16.33203125" style="339" bestFit="1" customWidth="1"/>
    <col min="14095" max="14095" width="14.33203125" style="339" bestFit="1" customWidth="1"/>
    <col min="14096" max="14096" width="15.1328125" style="339" bestFit="1" customWidth="1"/>
    <col min="14097" max="14097" width="12.6640625" style="339" bestFit="1" customWidth="1"/>
    <col min="14098" max="14098" width="11.6640625" style="339" bestFit="1" customWidth="1"/>
    <col min="14099" max="14099" width="11" style="339" bestFit="1" customWidth="1"/>
    <col min="14100" max="14100" width="13.6640625" style="339" bestFit="1" customWidth="1"/>
    <col min="14101" max="14101" width="11" style="339" bestFit="1" customWidth="1"/>
    <col min="14102" max="14102" width="13.33203125" style="339" bestFit="1" customWidth="1"/>
    <col min="14103" max="14103" width="17" style="339" bestFit="1" customWidth="1"/>
    <col min="14104" max="14104" width="14.1328125" style="339" bestFit="1" customWidth="1"/>
    <col min="14105" max="14106" width="16.33203125" style="339" bestFit="1" customWidth="1"/>
    <col min="14107" max="14107" width="14.33203125" style="339" bestFit="1" customWidth="1"/>
    <col min="14108" max="14108" width="15.1328125" style="339" bestFit="1" customWidth="1"/>
    <col min="14109" max="14109" width="12.6640625" style="339" bestFit="1" customWidth="1"/>
    <col min="14110" max="14110" width="11.6640625" style="339" bestFit="1" customWidth="1"/>
    <col min="14111" max="14111" width="11" style="339" bestFit="1" customWidth="1"/>
    <col min="14112" max="14112" width="11.6640625" style="339" bestFit="1" customWidth="1"/>
    <col min="14113" max="14113" width="11" style="339" bestFit="1" customWidth="1"/>
    <col min="14114" max="14114" width="13.33203125" style="339" bestFit="1" customWidth="1"/>
    <col min="14115" max="14115" width="17" style="339" bestFit="1" customWidth="1"/>
    <col min="14116" max="14116" width="14.1328125" style="339" bestFit="1" customWidth="1"/>
    <col min="14117" max="14118" width="16.33203125" style="339" bestFit="1" customWidth="1"/>
    <col min="14119" max="14119" width="14.33203125" style="339" bestFit="1" customWidth="1"/>
    <col min="14120" max="14120" width="15.1328125" style="339" bestFit="1" customWidth="1"/>
    <col min="14121" max="14121" width="12.6640625" style="339" bestFit="1" customWidth="1"/>
    <col min="14122" max="14122" width="11.6640625" style="339" bestFit="1" customWidth="1"/>
    <col min="14123" max="14123" width="11" style="339" bestFit="1" customWidth="1"/>
    <col min="14124" max="14124" width="11.6640625" style="339" bestFit="1" customWidth="1"/>
    <col min="14125" max="14125" width="11" style="339" bestFit="1" customWidth="1"/>
    <col min="14126" max="14126" width="13.33203125" style="339" bestFit="1" customWidth="1"/>
    <col min="14127" max="14127" width="17" style="339" bestFit="1" customWidth="1"/>
    <col min="14128" max="14128" width="14.1328125" style="339" bestFit="1" customWidth="1"/>
    <col min="14129" max="14130" width="16.33203125" style="339" bestFit="1" customWidth="1"/>
    <col min="14131" max="14131" width="14.33203125" style="339" bestFit="1" customWidth="1"/>
    <col min="14132" max="14132" width="15.1328125" style="339" bestFit="1" customWidth="1"/>
    <col min="14133" max="14133" width="12.6640625" style="339" bestFit="1" customWidth="1"/>
    <col min="14134" max="14134" width="11.6640625" style="339" bestFit="1" customWidth="1"/>
    <col min="14135" max="14135" width="11" style="339" bestFit="1" customWidth="1"/>
    <col min="14136" max="14136" width="11.6640625" style="339" bestFit="1" customWidth="1"/>
    <col min="14137" max="14137" width="11" style="339" bestFit="1" customWidth="1"/>
    <col min="14138" max="14138" width="13.33203125" style="339" bestFit="1" customWidth="1"/>
    <col min="14139" max="14139" width="17" style="339" bestFit="1" customWidth="1"/>
    <col min="14140" max="14140" width="14.1328125" style="339" bestFit="1" customWidth="1"/>
    <col min="14141" max="14142" width="16.33203125" style="339" bestFit="1" customWidth="1"/>
    <col min="14143" max="14143" width="14.33203125" style="339" bestFit="1" customWidth="1"/>
    <col min="14144" max="14144" width="15.1328125" style="339" bestFit="1" customWidth="1"/>
    <col min="14145" max="14145" width="12.6640625" style="339" bestFit="1" customWidth="1"/>
    <col min="14146" max="14146" width="11.6640625" style="339" bestFit="1" customWidth="1"/>
    <col min="14147" max="14147" width="11" style="339" bestFit="1" customWidth="1"/>
    <col min="14148" max="14148" width="11.6640625" style="339" bestFit="1" customWidth="1"/>
    <col min="14149" max="14149" width="11" style="339" bestFit="1" customWidth="1"/>
    <col min="14150" max="14150" width="13.33203125" style="339" bestFit="1" customWidth="1"/>
    <col min="14151" max="14151" width="17" style="339" bestFit="1" customWidth="1"/>
    <col min="14152" max="14152" width="14.1328125" style="339" bestFit="1" customWidth="1"/>
    <col min="14153" max="14154" width="16.33203125" style="339" bestFit="1" customWidth="1"/>
    <col min="14155" max="14155" width="14.33203125" style="339" bestFit="1" customWidth="1"/>
    <col min="14156" max="14156" width="15.1328125" style="339" bestFit="1" customWidth="1"/>
    <col min="14157" max="14157" width="12.6640625" style="339" bestFit="1" customWidth="1"/>
    <col min="14158" max="14158" width="11.6640625" style="339" bestFit="1" customWidth="1"/>
    <col min="14159" max="14159" width="11" style="339" bestFit="1" customWidth="1"/>
    <col min="14160" max="14160" width="11.6640625" style="339" bestFit="1" customWidth="1"/>
    <col min="14161" max="14161" width="11" style="339" bestFit="1" customWidth="1"/>
    <col min="14162" max="14162" width="13.33203125" style="339" bestFit="1" customWidth="1"/>
    <col min="14163" max="14163" width="17" style="339" bestFit="1" customWidth="1"/>
    <col min="14164" max="14164" width="14.1328125" style="339" bestFit="1" customWidth="1"/>
    <col min="14165" max="14166" width="16.33203125" style="339" bestFit="1" customWidth="1"/>
    <col min="14167" max="14167" width="14.33203125" style="339" bestFit="1" customWidth="1"/>
    <col min="14168" max="14168" width="15.1328125" style="339" bestFit="1" customWidth="1"/>
    <col min="14169" max="14169" width="12.6640625" style="339" bestFit="1" customWidth="1"/>
    <col min="14170" max="14170" width="11.6640625" style="339" bestFit="1" customWidth="1"/>
    <col min="14171" max="14171" width="11" style="339" bestFit="1" customWidth="1"/>
    <col min="14172" max="14172" width="11.6640625" style="339" bestFit="1" customWidth="1"/>
    <col min="14173" max="14173" width="11" style="339" bestFit="1" customWidth="1"/>
    <col min="14174" max="14174" width="13.33203125" style="339" bestFit="1" customWidth="1"/>
    <col min="14175" max="14176" width="17" style="339" bestFit="1" customWidth="1"/>
    <col min="14177" max="14340" width="9" style="339"/>
    <col min="14341" max="14341" width="12.1328125" style="339" customWidth="1"/>
    <col min="14342" max="14345" width="9" style="339"/>
    <col min="14346" max="14346" width="91.33203125" style="339" bestFit="1" customWidth="1"/>
    <col min="14347" max="14347" width="10.6640625" style="339" customWidth="1"/>
    <col min="14348" max="14348" width="14.1328125" style="339" bestFit="1" customWidth="1"/>
    <col min="14349" max="14350" width="16.33203125" style="339" bestFit="1" customWidth="1"/>
    <col min="14351" max="14351" width="14.33203125" style="339" bestFit="1" customWidth="1"/>
    <col min="14352" max="14352" width="15.1328125" style="339" bestFit="1" customWidth="1"/>
    <col min="14353" max="14353" width="12.6640625" style="339" bestFit="1" customWidth="1"/>
    <col min="14354" max="14354" width="11.6640625" style="339" bestFit="1" customWidth="1"/>
    <col min="14355" max="14355" width="11" style="339" bestFit="1" customWidth="1"/>
    <col min="14356" max="14356" width="13.6640625" style="339" bestFit="1" customWidth="1"/>
    <col min="14357" max="14357" width="11" style="339" bestFit="1" customWidth="1"/>
    <col min="14358" max="14358" width="13.33203125" style="339" bestFit="1" customWidth="1"/>
    <col min="14359" max="14359" width="17" style="339" bestFit="1" customWidth="1"/>
    <col min="14360" max="14360" width="14.1328125" style="339" bestFit="1" customWidth="1"/>
    <col min="14361" max="14362" width="16.33203125" style="339" bestFit="1" customWidth="1"/>
    <col min="14363" max="14363" width="14.33203125" style="339" bestFit="1" customWidth="1"/>
    <col min="14364" max="14364" width="15.1328125" style="339" bestFit="1" customWidth="1"/>
    <col min="14365" max="14365" width="12.6640625" style="339" bestFit="1" customWidth="1"/>
    <col min="14366" max="14366" width="11.6640625" style="339" bestFit="1" customWidth="1"/>
    <col min="14367" max="14367" width="11" style="339" bestFit="1" customWidth="1"/>
    <col min="14368" max="14368" width="11.6640625" style="339" bestFit="1" customWidth="1"/>
    <col min="14369" max="14369" width="11" style="339" bestFit="1" customWidth="1"/>
    <col min="14370" max="14370" width="13.33203125" style="339" bestFit="1" customWidth="1"/>
    <col min="14371" max="14371" width="17" style="339" bestFit="1" customWidth="1"/>
    <col min="14372" max="14372" width="14.1328125" style="339" bestFit="1" customWidth="1"/>
    <col min="14373" max="14374" width="16.33203125" style="339" bestFit="1" customWidth="1"/>
    <col min="14375" max="14375" width="14.33203125" style="339" bestFit="1" customWidth="1"/>
    <col min="14376" max="14376" width="15.1328125" style="339" bestFit="1" customWidth="1"/>
    <col min="14377" max="14377" width="12.6640625" style="339" bestFit="1" customWidth="1"/>
    <col min="14378" max="14378" width="11.6640625" style="339" bestFit="1" customWidth="1"/>
    <col min="14379" max="14379" width="11" style="339" bestFit="1" customWidth="1"/>
    <col min="14380" max="14380" width="11.6640625" style="339" bestFit="1" customWidth="1"/>
    <col min="14381" max="14381" width="11" style="339" bestFit="1" customWidth="1"/>
    <col min="14382" max="14382" width="13.33203125" style="339" bestFit="1" customWidth="1"/>
    <col min="14383" max="14383" width="17" style="339" bestFit="1" customWidth="1"/>
    <col min="14384" max="14384" width="14.1328125" style="339" bestFit="1" customWidth="1"/>
    <col min="14385" max="14386" width="16.33203125" style="339" bestFit="1" customWidth="1"/>
    <col min="14387" max="14387" width="14.33203125" style="339" bestFit="1" customWidth="1"/>
    <col min="14388" max="14388" width="15.1328125" style="339" bestFit="1" customWidth="1"/>
    <col min="14389" max="14389" width="12.6640625" style="339" bestFit="1" customWidth="1"/>
    <col min="14390" max="14390" width="11.6640625" style="339" bestFit="1" customWidth="1"/>
    <col min="14391" max="14391" width="11" style="339" bestFit="1" customWidth="1"/>
    <col min="14392" max="14392" width="11.6640625" style="339" bestFit="1" customWidth="1"/>
    <col min="14393" max="14393" width="11" style="339" bestFit="1" customWidth="1"/>
    <col min="14394" max="14394" width="13.33203125" style="339" bestFit="1" customWidth="1"/>
    <col min="14395" max="14395" width="17" style="339" bestFit="1" customWidth="1"/>
    <col min="14396" max="14396" width="14.1328125" style="339" bestFit="1" customWidth="1"/>
    <col min="14397" max="14398" width="16.33203125" style="339" bestFit="1" customWidth="1"/>
    <col min="14399" max="14399" width="14.33203125" style="339" bestFit="1" customWidth="1"/>
    <col min="14400" max="14400" width="15.1328125" style="339" bestFit="1" customWidth="1"/>
    <col min="14401" max="14401" width="12.6640625" style="339" bestFit="1" customWidth="1"/>
    <col min="14402" max="14402" width="11.6640625" style="339" bestFit="1" customWidth="1"/>
    <col min="14403" max="14403" width="11" style="339" bestFit="1" customWidth="1"/>
    <col min="14404" max="14404" width="11.6640625" style="339" bestFit="1" customWidth="1"/>
    <col min="14405" max="14405" width="11" style="339" bestFit="1" customWidth="1"/>
    <col min="14406" max="14406" width="13.33203125" style="339" bestFit="1" customWidth="1"/>
    <col min="14407" max="14407" width="17" style="339" bestFit="1" customWidth="1"/>
    <col min="14408" max="14408" width="14.1328125" style="339" bestFit="1" customWidth="1"/>
    <col min="14409" max="14410" width="16.33203125" style="339" bestFit="1" customWidth="1"/>
    <col min="14411" max="14411" width="14.33203125" style="339" bestFit="1" customWidth="1"/>
    <col min="14412" max="14412" width="15.1328125" style="339" bestFit="1" customWidth="1"/>
    <col min="14413" max="14413" width="12.6640625" style="339" bestFit="1" customWidth="1"/>
    <col min="14414" max="14414" width="11.6640625" style="339" bestFit="1" customWidth="1"/>
    <col min="14415" max="14415" width="11" style="339" bestFit="1" customWidth="1"/>
    <col min="14416" max="14416" width="11.6640625" style="339" bestFit="1" customWidth="1"/>
    <col min="14417" max="14417" width="11" style="339" bestFit="1" customWidth="1"/>
    <col min="14418" max="14418" width="13.33203125" style="339" bestFit="1" customWidth="1"/>
    <col min="14419" max="14419" width="17" style="339" bestFit="1" customWidth="1"/>
    <col min="14420" max="14420" width="14.1328125" style="339" bestFit="1" customWidth="1"/>
    <col min="14421" max="14422" width="16.33203125" style="339" bestFit="1" customWidth="1"/>
    <col min="14423" max="14423" width="14.33203125" style="339" bestFit="1" customWidth="1"/>
    <col min="14424" max="14424" width="15.1328125" style="339" bestFit="1" customWidth="1"/>
    <col min="14425" max="14425" width="12.6640625" style="339" bestFit="1" customWidth="1"/>
    <col min="14426" max="14426" width="11.6640625" style="339" bestFit="1" customWidth="1"/>
    <col min="14427" max="14427" width="11" style="339" bestFit="1" customWidth="1"/>
    <col min="14428" max="14428" width="11.6640625" style="339" bestFit="1" customWidth="1"/>
    <col min="14429" max="14429" width="11" style="339" bestFit="1" customWidth="1"/>
    <col min="14430" max="14430" width="13.33203125" style="339" bestFit="1" customWidth="1"/>
    <col min="14431" max="14432" width="17" style="339" bestFit="1" customWidth="1"/>
    <col min="14433" max="14596" width="9" style="339"/>
    <col min="14597" max="14597" width="12.1328125" style="339" customWidth="1"/>
    <col min="14598" max="14601" width="9" style="339"/>
    <col min="14602" max="14602" width="91.33203125" style="339" bestFit="1" customWidth="1"/>
    <col min="14603" max="14603" width="10.6640625" style="339" customWidth="1"/>
    <col min="14604" max="14604" width="14.1328125" style="339" bestFit="1" customWidth="1"/>
    <col min="14605" max="14606" width="16.33203125" style="339" bestFit="1" customWidth="1"/>
    <col min="14607" max="14607" width="14.33203125" style="339" bestFit="1" customWidth="1"/>
    <col min="14608" max="14608" width="15.1328125" style="339" bestFit="1" customWidth="1"/>
    <col min="14609" max="14609" width="12.6640625" style="339" bestFit="1" customWidth="1"/>
    <col min="14610" max="14610" width="11.6640625" style="339" bestFit="1" customWidth="1"/>
    <col min="14611" max="14611" width="11" style="339" bestFit="1" customWidth="1"/>
    <col min="14612" max="14612" width="13.6640625" style="339" bestFit="1" customWidth="1"/>
    <col min="14613" max="14613" width="11" style="339" bestFit="1" customWidth="1"/>
    <col min="14614" max="14614" width="13.33203125" style="339" bestFit="1" customWidth="1"/>
    <col min="14615" max="14615" width="17" style="339" bestFit="1" customWidth="1"/>
    <col min="14616" max="14616" width="14.1328125" style="339" bestFit="1" customWidth="1"/>
    <col min="14617" max="14618" width="16.33203125" style="339" bestFit="1" customWidth="1"/>
    <col min="14619" max="14619" width="14.33203125" style="339" bestFit="1" customWidth="1"/>
    <col min="14620" max="14620" width="15.1328125" style="339" bestFit="1" customWidth="1"/>
    <col min="14621" max="14621" width="12.6640625" style="339" bestFit="1" customWidth="1"/>
    <col min="14622" max="14622" width="11.6640625" style="339" bestFit="1" customWidth="1"/>
    <col min="14623" max="14623" width="11" style="339" bestFit="1" customWidth="1"/>
    <col min="14624" max="14624" width="11.6640625" style="339" bestFit="1" customWidth="1"/>
    <col min="14625" max="14625" width="11" style="339" bestFit="1" customWidth="1"/>
    <col min="14626" max="14626" width="13.33203125" style="339" bestFit="1" customWidth="1"/>
    <col min="14627" max="14627" width="17" style="339" bestFit="1" customWidth="1"/>
    <col min="14628" max="14628" width="14.1328125" style="339" bestFit="1" customWidth="1"/>
    <col min="14629" max="14630" width="16.33203125" style="339" bestFit="1" customWidth="1"/>
    <col min="14631" max="14631" width="14.33203125" style="339" bestFit="1" customWidth="1"/>
    <col min="14632" max="14632" width="15.1328125" style="339" bestFit="1" customWidth="1"/>
    <col min="14633" max="14633" width="12.6640625" style="339" bestFit="1" customWidth="1"/>
    <col min="14634" max="14634" width="11.6640625" style="339" bestFit="1" customWidth="1"/>
    <col min="14635" max="14635" width="11" style="339" bestFit="1" customWidth="1"/>
    <col min="14636" max="14636" width="11.6640625" style="339" bestFit="1" customWidth="1"/>
    <col min="14637" max="14637" width="11" style="339" bestFit="1" customWidth="1"/>
    <col min="14638" max="14638" width="13.33203125" style="339" bestFit="1" customWidth="1"/>
    <col min="14639" max="14639" width="17" style="339" bestFit="1" customWidth="1"/>
    <col min="14640" max="14640" width="14.1328125" style="339" bestFit="1" customWidth="1"/>
    <col min="14641" max="14642" width="16.33203125" style="339" bestFit="1" customWidth="1"/>
    <col min="14643" max="14643" width="14.33203125" style="339" bestFit="1" customWidth="1"/>
    <col min="14644" max="14644" width="15.1328125" style="339" bestFit="1" customWidth="1"/>
    <col min="14645" max="14645" width="12.6640625" style="339" bestFit="1" customWidth="1"/>
    <col min="14646" max="14646" width="11.6640625" style="339" bestFit="1" customWidth="1"/>
    <col min="14647" max="14647" width="11" style="339" bestFit="1" customWidth="1"/>
    <col min="14648" max="14648" width="11.6640625" style="339" bestFit="1" customWidth="1"/>
    <col min="14649" max="14649" width="11" style="339" bestFit="1" customWidth="1"/>
    <col min="14650" max="14650" width="13.33203125" style="339" bestFit="1" customWidth="1"/>
    <col min="14651" max="14651" width="17" style="339" bestFit="1" customWidth="1"/>
    <col min="14652" max="14652" width="14.1328125" style="339" bestFit="1" customWidth="1"/>
    <col min="14653" max="14654" width="16.33203125" style="339" bestFit="1" customWidth="1"/>
    <col min="14655" max="14655" width="14.33203125" style="339" bestFit="1" customWidth="1"/>
    <col min="14656" max="14656" width="15.1328125" style="339" bestFit="1" customWidth="1"/>
    <col min="14657" max="14657" width="12.6640625" style="339" bestFit="1" customWidth="1"/>
    <col min="14658" max="14658" width="11.6640625" style="339" bestFit="1" customWidth="1"/>
    <col min="14659" max="14659" width="11" style="339" bestFit="1" customWidth="1"/>
    <col min="14660" max="14660" width="11.6640625" style="339" bestFit="1" customWidth="1"/>
    <col min="14661" max="14661" width="11" style="339" bestFit="1" customWidth="1"/>
    <col min="14662" max="14662" width="13.33203125" style="339" bestFit="1" customWidth="1"/>
    <col min="14663" max="14663" width="17" style="339" bestFit="1" customWidth="1"/>
    <col min="14664" max="14664" width="14.1328125" style="339" bestFit="1" customWidth="1"/>
    <col min="14665" max="14666" width="16.33203125" style="339" bestFit="1" customWidth="1"/>
    <col min="14667" max="14667" width="14.33203125" style="339" bestFit="1" customWidth="1"/>
    <col min="14668" max="14668" width="15.1328125" style="339" bestFit="1" customWidth="1"/>
    <col min="14669" max="14669" width="12.6640625" style="339" bestFit="1" customWidth="1"/>
    <col min="14670" max="14670" width="11.6640625" style="339" bestFit="1" customWidth="1"/>
    <col min="14671" max="14671" width="11" style="339" bestFit="1" customWidth="1"/>
    <col min="14672" max="14672" width="11.6640625" style="339" bestFit="1" customWidth="1"/>
    <col min="14673" max="14673" width="11" style="339" bestFit="1" customWidth="1"/>
    <col min="14674" max="14674" width="13.33203125" style="339" bestFit="1" customWidth="1"/>
    <col min="14675" max="14675" width="17" style="339" bestFit="1" customWidth="1"/>
    <col min="14676" max="14676" width="14.1328125" style="339" bestFit="1" customWidth="1"/>
    <col min="14677" max="14678" width="16.33203125" style="339" bestFit="1" customWidth="1"/>
    <col min="14679" max="14679" width="14.33203125" style="339" bestFit="1" customWidth="1"/>
    <col min="14680" max="14680" width="15.1328125" style="339" bestFit="1" customWidth="1"/>
    <col min="14681" max="14681" width="12.6640625" style="339" bestFit="1" customWidth="1"/>
    <col min="14682" max="14682" width="11.6640625" style="339" bestFit="1" customWidth="1"/>
    <col min="14683" max="14683" width="11" style="339" bestFit="1" customWidth="1"/>
    <col min="14684" max="14684" width="11.6640625" style="339" bestFit="1" customWidth="1"/>
    <col min="14685" max="14685" width="11" style="339" bestFit="1" customWidth="1"/>
    <col min="14686" max="14686" width="13.33203125" style="339" bestFit="1" customWidth="1"/>
    <col min="14687" max="14688" width="17" style="339" bestFit="1" customWidth="1"/>
    <col min="14689" max="14852" width="9" style="339"/>
    <col min="14853" max="14853" width="12.1328125" style="339" customWidth="1"/>
    <col min="14854" max="14857" width="9" style="339"/>
    <col min="14858" max="14858" width="91.33203125" style="339" bestFit="1" customWidth="1"/>
    <col min="14859" max="14859" width="10.6640625" style="339" customWidth="1"/>
    <col min="14860" max="14860" width="14.1328125" style="339" bestFit="1" customWidth="1"/>
    <col min="14861" max="14862" width="16.33203125" style="339" bestFit="1" customWidth="1"/>
    <col min="14863" max="14863" width="14.33203125" style="339" bestFit="1" customWidth="1"/>
    <col min="14864" max="14864" width="15.1328125" style="339" bestFit="1" customWidth="1"/>
    <col min="14865" max="14865" width="12.6640625" style="339" bestFit="1" customWidth="1"/>
    <col min="14866" max="14866" width="11.6640625" style="339" bestFit="1" customWidth="1"/>
    <col min="14867" max="14867" width="11" style="339" bestFit="1" customWidth="1"/>
    <col min="14868" max="14868" width="13.6640625" style="339" bestFit="1" customWidth="1"/>
    <col min="14869" max="14869" width="11" style="339" bestFit="1" customWidth="1"/>
    <col min="14870" max="14870" width="13.33203125" style="339" bestFit="1" customWidth="1"/>
    <col min="14871" max="14871" width="17" style="339" bestFit="1" customWidth="1"/>
    <col min="14872" max="14872" width="14.1328125" style="339" bestFit="1" customWidth="1"/>
    <col min="14873" max="14874" width="16.33203125" style="339" bestFit="1" customWidth="1"/>
    <col min="14875" max="14875" width="14.33203125" style="339" bestFit="1" customWidth="1"/>
    <col min="14876" max="14876" width="15.1328125" style="339" bestFit="1" customWidth="1"/>
    <col min="14877" max="14877" width="12.6640625" style="339" bestFit="1" customWidth="1"/>
    <col min="14878" max="14878" width="11.6640625" style="339" bestFit="1" customWidth="1"/>
    <col min="14879" max="14879" width="11" style="339" bestFit="1" customWidth="1"/>
    <col min="14880" max="14880" width="11.6640625" style="339" bestFit="1" customWidth="1"/>
    <col min="14881" max="14881" width="11" style="339" bestFit="1" customWidth="1"/>
    <col min="14882" max="14882" width="13.33203125" style="339" bestFit="1" customWidth="1"/>
    <col min="14883" max="14883" width="17" style="339" bestFit="1" customWidth="1"/>
    <col min="14884" max="14884" width="14.1328125" style="339" bestFit="1" customWidth="1"/>
    <col min="14885" max="14886" width="16.33203125" style="339" bestFit="1" customWidth="1"/>
    <col min="14887" max="14887" width="14.33203125" style="339" bestFit="1" customWidth="1"/>
    <col min="14888" max="14888" width="15.1328125" style="339" bestFit="1" customWidth="1"/>
    <col min="14889" max="14889" width="12.6640625" style="339" bestFit="1" customWidth="1"/>
    <col min="14890" max="14890" width="11.6640625" style="339" bestFit="1" customWidth="1"/>
    <col min="14891" max="14891" width="11" style="339" bestFit="1" customWidth="1"/>
    <col min="14892" max="14892" width="11.6640625" style="339" bestFit="1" customWidth="1"/>
    <col min="14893" max="14893" width="11" style="339" bestFit="1" customWidth="1"/>
    <col min="14894" max="14894" width="13.33203125" style="339" bestFit="1" customWidth="1"/>
    <col min="14895" max="14895" width="17" style="339" bestFit="1" customWidth="1"/>
    <col min="14896" max="14896" width="14.1328125" style="339" bestFit="1" customWidth="1"/>
    <col min="14897" max="14898" width="16.33203125" style="339" bestFit="1" customWidth="1"/>
    <col min="14899" max="14899" width="14.33203125" style="339" bestFit="1" customWidth="1"/>
    <col min="14900" max="14900" width="15.1328125" style="339" bestFit="1" customWidth="1"/>
    <col min="14901" max="14901" width="12.6640625" style="339" bestFit="1" customWidth="1"/>
    <col min="14902" max="14902" width="11.6640625" style="339" bestFit="1" customWidth="1"/>
    <col min="14903" max="14903" width="11" style="339" bestFit="1" customWidth="1"/>
    <col min="14904" max="14904" width="11.6640625" style="339" bestFit="1" customWidth="1"/>
    <col min="14905" max="14905" width="11" style="339" bestFit="1" customWidth="1"/>
    <col min="14906" max="14906" width="13.33203125" style="339" bestFit="1" customWidth="1"/>
    <col min="14907" max="14907" width="17" style="339" bestFit="1" customWidth="1"/>
    <col min="14908" max="14908" width="14.1328125" style="339" bestFit="1" customWidth="1"/>
    <col min="14909" max="14910" width="16.33203125" style="339" bestFit="1" customWidth="1"/>
    <col min="14911" max="14911" width="14.33203125" style="339" bestFit="1" customWidth="1"/>
    <col min="14912" max="14912" width="15.1328125" style="339" bestFit="1" customWidth="1"/>
    <col min="14913" max="14913" width="12.6640625" style="339" bestFit="1" customWidth="1"/>
    <col min="14914" max="14914" width="11.6640625" style="339" bestFit="1" customWidth="1"/>
    <col min="14915" max="14915" width="11" style="339" bestFit="1" customWidth="1"/>
    <col min="14916" max="14916" width="11.6640625" style="339" bestFit="1" customWidth="1"/>
    <col min="14917" max="14917" width="11" style="339" bestFit="1" customWidth="1"/>
    <col min="14918" max="14918" width="13.33203125" style="339" bestFit="1" customWidth="1"/>
    <col min="14919" max="14919" width="17" style="339" bestFit="1" customWidth="1"/>
    <col min="14920" max="14920" width="14.1328125" style="339" bestFit="1" customWidth="1"/>
    <col min="14921" max="14922" width="16.33203125" style="339" bestFit="1" customWidth="1"/>
    <col min="14923" max="14923" width="14.33203125" style="339" bestFit="1" customWidth="1"/>
    <col min="14924" max="14924" width="15.1328125" style="339" bestFit="1" customWidth="1"/>
    <col min="14925" max="14925" width="12.6640625" style="339" bestFit="1" customWidth="1"/>
    <col min="14926" max="14926" width="11.6640625" style="339" bestFit="1" customWidth="1"/>
    <col min="14927" max="14927" width="11" style="339" bestFit="1" customWidth="1"/>
    <col min="14928" max="14928" width="11.6640625" style="339" bestFit="1" customWidth="1"/>
    <col min="14929" max="14929" width="11" style="339" bestFit="1" customWidth="1"/>
    <col min="14930" max="14930" width="13.33203125" style="339" bestFit="1" customWidth="1"/>
    <col min="14931" max="14931" width="17" style="339" bestFit="1" customWidth="1"/>
    <col min="14932" max="14932" width="14.1328125" style="339" bestFit="1" customWidth="1"/>
    <col min="14933" max="14934" width="16.33203125" style="339" bestFit="1" customWidth="1"/>
    <col min="14935" max="14935" width="14.33203125" style="339" bestFit="1" customWidth="1"/>
    <col min="14936" max="14936" width="15.1328125" style="339" bestFit="1" customWidth="1"/>
    <col min="14937" max="14937" width="12.6640625" style="339" bestFit="1" customWidth="1"/>
    <col min="14938" max="14938" width="11.6640625" style="339" bestFit="1" customWidth="1"/>
    <col min="14939" max="14939" width="11" style="339" bestFit="1" customWidth="1"/>
    <col min="14940" max="14940" width="11.6640625" style="339" bestFit="1" customWidth="1"/>
    <col min="14941" max="14941" width="11" style="339" bestFit="1" customWidth="1"/>
    <col min="14942" max="14942" width="13.33203125" style="339" bestFit="1" customWidth="1"/>
    <col min="14943" max="14944" width="17" style="339" bestFit="1" customWidth="1"/>
    <col min="14945" max="15108" width="9" style="339"/>
    <col min="15109" max="15109" width="12.1328125" style="339" customWidth="1"/>
    <col min="15110" max="15113" width="9" style="339"/>
    <col min="15114" max="15114" width="91.33203125" style="339" bestFit="1" customWidth="1"/>
    <col min="15115" max="15115" width="10.6640625" style="339" customWidth="1"/>
    <col min="15116" max="15116" width="14.1328125" style="339" bestFit="1" customWidth="1"/>
    <col min="15117" max="15118" width="16.33203125" style="339" bestFit="1" customWidth="1"/>
    <col min="15119" max="15119" width="14.33203125" style="339" bestFit="1" customWidth="1"/>
    <col min="15120" max="15120" width="15.1328125" style="339" bestFit="1" customWidth="1"/>
    <col min="15121" max="15121" width="12.6640625" style="339" bestFit="1" customWidth="1"/>
    <col min="15122" max="15122" width="11.6640625" style="339" bestFit="1" customWidth="1"/>
    <col min="15123" max="15123" width="11" style="339" bestFit="1" customWidth="1"/>
    <col min="15124" max="15124" width="13.6640625" style="339" bestFit="1" customWidth="1"/>
    <col min="15125" max="15125" width="11" style="339" bestFit="1" customWidth="1"/>
    <col min="15126" max="15126" width="13.33203125" style="339" bestFit="1" customWidth="1"/>
    <col min="15127" max="15127" width="17" style="339" bestFit="1" customWidth="1"/>
    <col min="15128" max="15128" width="14.1328125" style="339" bestFit="1" customWidth="1"/>
    <col min="15129" max="15130" width="16.33203125" style="339" bestFit="1" customWidth="1"/>
    <col min="15131" max="15131" width="14.33203125" style="339" bestFit="1" customWidth="1"/>
    <col min="15132" max="15132" width="15.1328125" style="339" bestFit="1" customWidth="1"/>
    <col min="15133" max="15133" width="12.6640625" style="339" bestFit="1" customWidth="1"/>
    <col min="15134" max="15134" width="11.6640625" style="339" bestFit="1" customWidth="1"/>
    <col min="15135" max="15135" width="11" style="339" bestFit="1" customWidth="1"/>
    <col min="15136" max="15136" width="11.6640625" style="339" bestFit="1" customWidth="1"/>
    <col min="15137" max="15137" width="11" style="339" bestFit="1" customWidth="1"/>
    <col min="15138" max="15138" width="13.33203125" style="339" bestFit="1" customWidth="1"/>
    <col min="15139" max="15139" width="17" style="339" bestFit="1" customWidth="1"/>
    <col min="15140" max="15140" width="14.1328125" style="339" bestFit="1" customWidth="1"/>
    <col min="15141" max="15142" width="16.33203125" style="339" bestFit="1" customWidth="1"/>
    <col min="15143" max="15143" width="14.33203125" style="339" bestFit="1" customWidth="1"/>
    <col min="15144" max="15144" width="15.1328125" style="339" bestFit="1" customWidth="1"/>
    <col min="15145" max="15145" width="12.6640625" style="339" bestFit="1" customWidth="1"/>
    <col min="15146" max="15146" width="11.6640625" style="339" bestFit="1" customWidth="1"/>
    <col min="15147" max="15147" width="11" style="339" bestFit="1" customWidth="1"/>
    <col min="15148" max="15148" width="11.6640625" style="339" bestFit="1" customWidth="1"/>
    <col min="15149" max="15149" width="11" style="339" bestFit="1" customWidth="1"/>
    <col min="15150" max="15150" width="13.33203125" style="339" bestFit="1" customWidth="1"/>
    <col min="15151" max="15151" width="17" style="339" bestFit="1" customWidth="1"/>
    <col min="15152" max="15152" width="14.1328125" style="339" bestFit="1" customWidth="1"/>
    <col min="15153" max="15154" width="16.33203125" style="339" bestFit="1" customWidth="1"/>
    <col min="15155" max="15155" width="14.33203125" style="339" bestFit="1" customWidth="1"/>
    <col min="15156" max="15156" width="15.1328125" style="339" bestFit="1" customWidth="1"/>
    <col min="15157" max="15157" width="12.6640625" style="339" bestFit="1" customWidth="1"/>
    <col min="15158" max="15158" width="11.6640625" style="339" bestFit="1" customWidth="1"/>
    <col min="15159" max="15159" width="11" style="339" bestFit="1" customWidth="1"/>
    <col min="15160" max="15160" width="11.6640625" style="339" bestFit="1" customWidth="1"/>
    <col min="15161" max="15161" width="11" style="339" bestFit="1" customWidth="1"/>
    <col min="15162" max="15162" width="13.33203125" style="339" bestFit="1" customWidth="1"/>
    <col min="15163" max="15163" width="17" style="339" bestFit="1" customWidth="1"/>
    <col min="15164" max="15164" width="14.1328125" style="339" bestFit="1" customWidth="1"/>
    <col min="15165" max="15166" width="16.33203125" style="339" bestFit="1" customWidth="1"/>
    <col min="15167" max="15167" width="14.33203125" style="339" bestFit="1" customWidth="1"/>
    <col min="15168" max="15168" width="15.1328125" style="339" bestFit="1" customWidth="1"/>
    <col min="15169" max="15169" width="12.6640625" style="339" bestFit="1" customWidth="1"/>
    <col min="15170" max="15170" width="11.6640625" style="339" bestFit="1" customWidth="1"/>
    <col min="15171" max="15171" width="11" style="339" bestFit="1" customWidth="1"/>
    <col min="15172" max="15172" width="11.6640625" style="339" bestFit="1" customWidth="1"/>
    <col min="15173" max="15173" width="11" style="339" bestFit="1" customWidth="1"/>
    <col min="15174" max="15174" width="13.33203125" style="339" bestFit="1" customWidth="1"/>
    <col min="15175" max="15175" width="17" style="339" bestFit="1" customWidth="1"/>
    <col min="15176" max="15176" width="14.1328125" style="339" bestFit="1" customWidth="1"/>
    <col min="15177" max="15178" width="16.33203125" style="339" bestFit="1" customWidth="1"/>
    <col min="15179" max="15179" width="14.33203125" style="339" bestFit="1" customWidth="1"/>
    <col min="15180" max="15180" width="15.1328125" style="339" bestFit="1" customWidth="1"/>
    <col min="15181" max="15181" width="12.6640625" style="339" bestFit="1" customWidth="1"/>
    <col min="15182" max="15182" width="11.6640625" style="339" bestFit="1" customWidth="1"/>
    <col min="15183" max="15183" width="11" style="339" bestFit="1" customWidth="1"/>
    <col min="15184" max="15184" width="11.6640625" style="339" bestFit="1" customWidth="1"/>
    <col min="15185" max="15185" width="11" style="339" bestFit="1" customWidth="1"/>
    <col min="15186" max="15186" width="13.33203125" style="339" bestFit="1" customWidth="1"/>
    <col min="15187" max="15187" width="17" style="339" bestFit="1" customWidth="1"/>
    <col min="15188" max="15188" width="14.1328125" style="339" bestFit="1" customWidth="1"/>
    <col min="15189" max="15190" width="16.33203125" style="339" bestFit="1" customWidth="1"/>
    <col min="15191" max="15191" width="14.33203125" style="339" bestFit="1" customWidth="1"/>
    <col min="15192" max="15192" width="15.1328125" style="339" bestFit="1" customWidth="1"/>
    <col min="15193" max="15193" width="12.6640625" style="339" bestFit="1" customWidth="1"/>
    <col min="15194" max="15194" width="11.6640625" style="339" bestFit="1" customWidth="1"/>
    <col min="15195" max="15195" width="11" style="339" bestFit="1" customWidth="1"/>
    <col min="15196" max="15196" width="11.6640625" style="339" bestFit="1" customWidth="1"/>
    <col min="15197" max="15197" width="11" style="339" bestFit="1" customWidth="1"/>
    <col min="15198" max="15198" width="13.33203125" style="339" bestFit="1" customWidth="1"/>
    <col min="15199" max="15200" width="17" style="339" bestFit="1" customWidth="1"/>
    <col min="15201" max="15364" width="9" style="339"/>
    <col min="15365" max="15365" width="12.1328125" style="339" customWidth="1"/>
    <col min="15366" max="15369" width="9" style="339"/>
    <col min="15370" max="15370" width="91.33203125" style="339" bestFit="1" customWidth="1"/>
    <col min="15371" max="15371" width="10.6640625" style="339" customWidth="1"/>
    <col min="15372" max="15372" width="14.1328125" style="339" bestFit="1" customWidth="1"/>
    <col min="15373" max="15374" width="16.33203125" style="339" bestFit="1" customWidth="1"/>
    <col min="15375" max="15375" width="14.33203125" style="339" bestFit="1" customWidth="1"/>
    <col min="15376" max="15376" width="15.1328125" style="339" bestFit="1" customWidth="1"/>
    <col min="15377" max="15377" width="12.6640625" style="339" bestFit="1" customWidth="1"/>
    <col min="15378" max="15378" width="11.6640625" style="339" bestFit="1" customWidth="1"/>
    <col min="15379" max="15379" width="11" style="339" bestFit="1" customWidth="1"/>
    <col min="15380" max="15380" width="13.6640625" style="339" bestFit="1" customWidth="1"/>
    <col min="15381" max="15381" width="11" style="339" bestFit="1" customWidth="1"/>
    <col min="15382" max="15382" width="13.33203125" style="339" bestFit="1" customWidth="1"/>
    <col min="15383" max="15383" width="17" style="339" bestFit="1" customWidth="1"/>
    <col min="15384" max="15384" width="14.1328125" style="339" bestFit="1" customWidth="1"/>
    <col min="15385" max="15386" width="16.33203125" style="339" bestFit="1" customWidth="1"/>
    <col min="15387" max="15387" width="14.33203125" style="339" bestFit="1" customWidth="1"/>
    <col min="15388" max="15388" width="15.1328125" style="339" bestFit="1" customWidth="1"/>
    <col min="15389" max="15389" width="12.6640625" style="339" bestFit="1" customWidth="1"/>
    <col min="15390" max="15390" width="11.6640625" style="339" bestFit="1" customWidth="1"/>
    <col min="15391" max="15391" width="11" style="339" bestFit="1" customWidth="1"/>
    <col min="15392" max="15392" width="11.6640625" style="339" bestFit="1" customWidth="1"/>
    <col min="15393" max="15393" width="11" style="339" bestFit="1" customWidth="1"/>
    <col min="15394" max="15394" width="13.33203125" style="339" bestFit="1" customWidth="1"/>
    <col min="15395" max="15395" width="17" style="339" bestFit="1" customWidth="1"/>
    <col min="15396" max="15396" width="14.1328125" style="339" bestFit="1" customWidth="1"/>
    <col min="15397" max="15398" width="16.33203125" style="339" bestFit="1" customWidth="1"/>
    <col min="15399" max="15399" width="14.33203125" style="339" bestFit="1" customWidth="1"/>
    <col min="15400" max="15400" width="15.1328125" style="339" bestFit="1" customWidth="1"/>
    <col min="15401" max="15401" width="12.6640625" style="339" bestFit="1" customWidth="1"/>
    <col min="15402" max="15402" width="11.6640625" style="339" bestFit="1" customWidth="1"/>
    <col min="15403" max="15403" width="11" style="339" bestFit="1" customWidth="1"/>
    <col min="15404" max="15404" width="11.6640625" style="339" bestFit="1" customWidth="1"/>
    <col min="15405" max="15405" width="11" style="339" bestFit="1" customWidth="1"/>
    <col min="15406" max="15406" width="13.33203125" style="339" bestFit="1" customWidth="1"/>
    <col min="15407" max="15407" width="17" style="339" bestFit="1" customWidth="1"/>
    <col min="15408" max="15408" width="14.1328125" style="339" bestFit="1" customWidth="1"/>
    <col min="15409" max="15410" width="16.33203125" style="339" bestFit="1" customWidth="1"/>
    <col min="15411" max="15411" width="14.33203125" style="339" bestFit="1" customWidth="1"/>
    <col min="15412" max="15412" width="15.1328125" style="339" bestFit="1" customWidth="1"/>
    <col min="15413" max="15413" width="12.6640625" style="339" bestFit="1" customWidth="1"/>
    <col min="15414" max="15414" width="11.6640625" style="339" bestFit="1" customWidth="1"/>
    <col min="15415" max="15415" width="11" style="339" bestFit="1" customWidth="1"/>
    <col min="15416" max="15416" width="11.6640625" style="339" bestFit="1" customWidth="1"/>
    <col min="15417" max="15417" width="11" style="339" bestFit="1" customWidth="1"/>
    <col min="15418" max="15418" width="13.33203125" style="339" bestFit="1" customWidth="1"/>
    <col min="15419" max="15419" width="17" style="339" bestFit="1" customWidth="1"/>
    <col min="15420" max="15420" width="14.1328125" style="339" bestFit="1" customWidth="1"/>
    <col min="15421" max="15422" width="16.33203125" style="339" bestFit="1" customWidth="1"/>
    <col min="15423" max="15423" width="14.33203125" style="339" bestFit="1" customWidth="1"/>
    <col min="15424" max="15424" width="15.1328125" style="339" bestFit="1" customWidth="1"/>
    <col min="15425" max="15425" width="12.6640625" style="339" bestFit="1" customWidth="1"/>
    <col min="15426" max="15426" width="11.6640625" style="339" bestFit="1" customWidth="1"/>
    <col min="15427" max="15427" width="11" style="339" bestFit="1" customWidth="1"/>
    <col min="15428" max="15428" width="11.6640625" style="339" bestFit="1" customWidth="1"/>
    <col min="15429" max="15429" width="11" style="339" bestFit="1" customWidth="1"/>
    <col min="15430" max="15430" width="13.33203125" style="339" bestFit="1" customWidth="1"/>
    <col min="15431" max="15431" width="17" style="339" bestFit="1" customWidth="1"/>
    <col min="15432" max="15432" width="14.1328125" style="339" bestFit="1" customWidth="1"/>
    <col min="15433" max="15434" width="16.33203125" style="339" bestFit="1" customWidth="1"/>
    <col min="15435" max="15435" width="14.33203125" style="339" bestFit="1" customWidth="1"/>
    <col min="15436" max="15436" width="15.1328125" style="339" bestFit="1" customWidth="1"/>
    <col min="15437" max="15437" width="12.6640625" style="339" bestFit="1" customWidth="1"/>
    <col min="15438" max="15438" width="11.6640625" style="339" bestFit="1" customWidth="1"/>
    <col min="15439" max="15439" width="11" style="339" bestFit="1" customWidth="1"/>
    <col min="15440" max="15440" width="11.6640625" style="339" bestFit="1" customWidth="1"/>
    <col min="15441" max="15441" width="11" style="339" bestFit="1" customWidth="1"/>
    <col min="15442" max="15442" width="13.33203125" style="339" bestFit="1" customWidth="1"/>
    <col min="15443" max="15443" width="17" style="339" bestFit="1" customWidth="1"/>
    <col min="15444" max="15444" width="14.1328125" style="339" bestFit="1" customWidth="1"/>
    <col min="15445" max="15446" width="16.33203125" style="339" bestFit="1" customWidth="1"/>
    <col min="15447" max="15447" width="14.33203125" style="339" bestFit="1" customWidth="1"/>
    <col min="15448" max="15448" width="15.1328125" style="339" bestFit="1" customWidth="1"/>
    <col min="15449" max="15449" width="12.6640625" style="339" bestFit="1" customWidth="1"/>
    <col min="15450" max="15450" width="11.6640625" style="339" bestFit="1" customWidth="1"/>
    <col min="15451" max="15451" width="11" style="339" bestFit="1" customWidth="1"/>
    <col min="15452" max="15452" width="11.6640625" style="339" bestFit="1" customWidth="1"/>
    <col min="15453" max="15453" width="11" style="339" bestFit="1" customWidth="1"/>
    <col min="15454" max="15454" width="13.33203125" style="339" bestFit="1" customWidth="1"/>
    <col min="15455" max="15456" width="17" style="339" bestFit="1" customWidth="1"/>
    <col min="15457" max="15620" width="9" style="339"/>
    <col min="15621" max="15621" width="12.1328125" style="339" customWidth="1"/>
    <col min="15622" max="15625" width="9" style="339"/>
    <col min="15626" max="15626" width="91.33203125" style="339" bestFit="1" customWidth="1"/>
    <col min="15627" max="15627" width="10.6640625" style="339" customWidth="1"/>
    <col min="15628" max="15628" width="14.1328125" style="339" bestFit="1" customWidth="1"/>
    <col min="15629" max="15630" width="16.33203125" style="339" bestFit="1" customWidth="1"/>
    <col min="15631" max="15631" width="14.33203125" style="339" bestFit="1" customWidth="1"/>
    <col min="15632" max="15632" width="15.1328125" style="339" bestFit="1" customWidth="1"/>
    <col min="15633" max="15633" width="12.6640625" style="339" bestFit="1" customWidth="1"/>
    <col min="15634" max="15634" width="11.6640625" style="339" bestFit="1" customWidth="1"/>
    <col min="15635" max="15635" width="11" style="339" bestFit="1" customWidth="1"/>
    <col min="15636" max="15636" width="13.6640625" style="339" bestFit="1" customWidth="1"/>
    <col min="15637" max="15637" width="11" style="339" bestFit="1" customWidth="1"/>
    <col min="15638" max="15638" width="13.33203125" style="339" bestFit="1" customWidth="1"/>
    <col min="15639" max="15639" width="17" style="339" bestFit="1" customWidth="1"/>
    <col min="15640" max="15640" width="14.1328125" style="339" bestFit="1" customWidth="1"/>
    <col min="15641" max="15642" width="16.33203125" style="339" bestFit="1" customWidth="1"/>
    <col min="15643" max="15643" width="14.33203125" style="339" bestFit="1" customWidth="1"/>
    <col min="15644" max="15644" width="15.1328125" style="339" bestFit="1" customWidth="1"/>
    <col min="15645" max="15645" width="12.6640625" style="339" bestFit="1" customWidth="1"/>
    <col min="15646" max="15646" width="11.6640625" style="339" bestFit="1" customWidth="1"/>
    <col min="15647" max="15647" width="11" style="339" bestFit="1" customWidth="1"/>
    <col min="15648" max="15648" width="11.6640625" style="339" bestFit="1" customWidth="1"/>
    <col min="15649" max="15649" width="11" style="339" bestFit="1" customWidth="1"/>
    <col min="15650" max="15650" width="13.33203125" style="339" bestFit="1" customWidth="1"/>
    <col min="15651" max="15651" width="17" style="339" bestFit="1" customWidth="1"/>
    <col min="15652" max="15652" width="14.1328125" style="339" bestFit="1" customWidth="1"/>
    <col min="15653" max="15654" width="16.33203125" style="339" bestFit="1" customWidth="1"/>
    <col min="15655" max="15655" width="14.33203125" style="339" bestFit="1" customWidth="1"/>
    <col min="15656" max="15656" width="15.1328125" style="339" bestFit="1" customWidth="1"/>
    <col min="15657" max="15657" width="12.6640625" style="339" bestFit="1" customWidth="1"/>
    <col min="15658" max="15658" width="11.6640625" style="339" bestFit="1" customWidth="1"/>
    <col min="15659" max="15659" width="11" style="339" bestFit="1" customWidth="1"/>
    <col min="15660" max="15660" width="11.6640625" style="339" bestFit="1" customWidth="1"/>
    <col min="15661" max="15661" width="11" style="339" bestFit="1" customWidth="1"/>
    <col min="15662" max="15662" width="13.33203125" style="339" bestFit="1" customWidth="1"/>
    <col min="15663" max="15663" width="17" style="339" bestFit="1" customWidth="1"/>
    <col min="15664" max="15664" width="14.1328125" style="339" bestFit="1" customWidth="1"/>
    <col min="15665" max="15666" width="16.33203125" style="339" bestFit="1" customWidth="1"/>
    <col min="15667" max="15667" width="14.33203125" style="339" bestFit="1" customWidth="1"/>
    <col min="15668" max="15668" width="15.1328125" style="339" bestFit="1" customWidth="1"/>
    <col min="15669" max="15669" width="12.6640625" style="339" bestFit="1" customWidth="1"/>
    <col min="15670" max="15670" width="11.6640625" style="339" bestFit="1" customWidth="1"/>
    <col min="15671" max="15671" width="11" style="339" bestFit="1" customWidth="1"/>
    <col min="15672" max="15672" width="11.6640625" style="339" bestFit="1" customWidth="1"/>
    <col min="15673" max="15673" width="11" style="339" bestFit="1" customWidth="1"/>
    <col min="15674" max="15674" width="13.33203125" style="339" bestFit="1" customWidth="1"/>
    <col min="15675" max="15675" width="17" style="339" bestFit="1" customWidth="1"/>
    <col min="15676" max="15676" width="14.1328125" style="339" bestFit="1" customWidth="1"/>
    <col min="15677" max="15678" width="16.33203125" style="339" bestFit="1" customWidth="1"/>
    <col min="15679" max="15679" width="14.33203125" style="339" bestFit="1" customWidth="1"/>
    <col min="15680" max="15680" width="15.1328125" style="339" bestFit="1" customWidth="1"/>
    <col min="15681" max="15681" width="12.6640625" style="339" bestFit="1" customWidth="1"/>
    <col min="15682" max="15682" width="11.6640625" style="339" bestFit="1" customWidth="1"/>
    <col min="15683" max="15683" width="11" style="339" bestFit="1" customWidth="1"/>
    <col min="15684" max="15684" width="11.6640625" style="339" bestFit="1" customWidth="1"/>
    <col min="15685" max="15685" width="11" style="339" bestFit="1" customWidth="1"/>
    <col min="15686" max="15686" width="13.33203125" style="339" bestFit="1" customWidth="1"/>
    <col min="15687" max="15687" width="17" style="339" bestFit="1" customWidth="1"/>
    <col min="15688" max="15688" width="14.1328125" style="339" bestFit="1" customWidth="1"/>
    <col min="15689" max="15690" width="16.33203125" style="339" bestFit="1" customWidth="1"/>
    <col min="15691" max="15691" width="14.33203125" style="339" bestFit="1" customWidth="1"/>
    <col min="15692" max="15692" width="15.1328125" style="339" bestFit="1" customWidth="1"/>
    <col min="15693" max="15693" width="12.6640625" style="339" bestFit="1" customWidth="1"/>
    <col min="15694" max="15694" width="11.6640625" style="339" bestFit="1" customWidth="1"/>
    <col min="15695" max="15695" width="11" style="339" bestFit="1" customWidth="1"/>
    <col min="15696" max="15696" width="11.6640625" style="339" bestFit="1" customWidth="1"/>
    <col min="15697" max="15697" width="11" style="339" bestFit="1" customWidth="1"/>
    <col min="15698" max="15698" width="13.33203125" style="339" bestFit="1" customWidth="1"/>
    <col min="15699" max="15699" width="17" style="339" bestFit="1" customWidth="1"/>
    <col min="15700" max="15700" width="14.1328125" style="339" bestFit="1" customWidth="1"/>
    <col min="15701" max="15702" width="16.33203125" style="339" bestFit="1" customWidth="1"/>
    <col min="15703" max="15703" width="14.33203125" style="339" bestFit="1" customWidth="1"/>
    <col min="15704" max="15704" width="15.1328125" style="339" bestFit="1" customWidth="1"/>
    <col min="15705" max="15705" width="12.6640625" style="339" bestFit="1" customWidth="1"/>
    <col min="15706" max="15706" width="11.6640625" style="339" bestFit="1" customWidth="1"/>
    <col min="15707" max="15707" width="11" style="339" bestFit="1" customWidth="1"/>
    <col min="15708" max="15708" width="11.6640625" style="339" bestFit="1" customWidth="1"/>
    <col min="15709" max="15709" width="11" style="339" bestFit="1" customWidth="1"/>
    <col min="15710" max="15710" width="13.33203125" style="339" bestFit="1" customWidth="1"/>
    <col min="15711" max="15712" width="17" style="339" bestFit="1" customWidth="1"/>
    <col min="15713" max="15876" width="9" style="339"/>
    <col min="15877" max="15877" width="12.1328125" style="339" customWidth="1"/>
    <col min="15878" max="15881" width="9" style="339"/>
    <col min="15882" max="15882" width="91.33203125" style="339" bestFit="1" customWidth="1"/>
    <col min="15883" max="15883" width="10.6640625" style="339" customWidth="1"/>
    <col min="15884" max="15884" width="14.1328125" style="339" bestFit="1" customWidth="1"/>
    <col min="15885" max="15886" width="16.33203125" style="339" bestFit="1" customWidth="1"/>
    <col min="15887" max="15887" width="14.33203125" style="339" bestFit="1" customWidth="1"/>
    <col min="15888" max="15888" width="15.1328125" style="339" bestFit="1" customWidth="1"/>
    <col min="15889" max="15889" width="12.6640625" style="339" bestFit="1" customWidth="1"/>
    <col min="15890" max="15890" width="11.6640625" style="339" bestFit="1" customWidth="1"/>
    <col min="15891" max="15891" width="11" style="339" bestFit="1" customWidth="1"/>
    <col min="15892" max="15892" width="13.6640625" style="339" bestFit="1" customWidth="1"/>
    <col min="15893" max="15893" width="11" style="339" bestFit="1" customWidth="1"/>
    <col min="15894" max="15894" width="13.33203125" style="339" bestFit="1" customWidth="1"/>
    <col min="15895" max="15895" width="17" style="339" bestFit="1" customWidth="1"/>
    <col min="15896" max="15896" width="14.1328125" style="339" bestFit="1" customWidth="1"/>
    <col min="15897" max="15898" width="16.33203125" style="339" bestFit="1" customWidth="1"/>
    <col min="15899" max="15899" width="14.33203125" style="339" bestFit="1" customWidth="1"/>
    <col min="15900" max="15900" width="15.1328125" style="339" bestFit="1" customWidth="1"/>
    <col min="15901" max="15901" width="12.6640625" style="339" bestFit="1" customWidth="1"/>
    <col min="15902" max="15902" width="11.6640625" style="339" bestFit="1" customWidth="1"/>
    <col min="15903" max="15903" width="11" style="339" bestFit="1" customWidth="1"/>
    <col min="15904" max="15904" width="11.6640625" style="339" bestFit="1" customWidth="1"/>
    <col min="15905" max="15905" width="11" style="339" bestFit="1" customWidth="1"/>
    <col min="15906" max="15906" width="13.33203125" style="339" bestFit="1" customWidth="1"/>
    <col min="15907" max="15907" width="17" style="339" bestFit="1" customWidth="1"/>
    <col min="15908" max="15908" width="14.1328125" style="339" bestFit="1" customWidth="1"/>
    <col min="15909" max="15910" width="16.33203125" style="339" bestFit="1" customWidth="1"/>
    <col min="15911" max="15911" width="14.33203125" style="339" bestFit="1" customWidth="1"/>
    <col min="15912" max="15912" width="15.1328125" style="339" bestFit="1" customWidth="1"/>
    <col min="15913" max="15913" width="12.6640625" style="339" bestFit="1" customWidth="1"/>
    <col min="15914" max="15914" width="11.6640625" style="339" bestFit="1" customWidth="1"/>
    <col min="15915" max="15915" width="11" style="339" bestFit="1" customWidth="1"/>
    <col min="15916" max="15916" width="11.6640625" style="339" bestFit="1" customWidth="1"/>
    <col min="15917" max="15917" width="11" style="339" bestFit="1" customWidth="1"/>
    <col min="15918" max="15918" width="13.33203125" style="339" bestFit="1" customWidth="1"/>
    <col min="15919" max="15919" width="17" style="339" bestFit="1" customWidth="1"/>
    <col min="15920" max="15920" width="14.1328125" style="339" bestFit="1" customWidth="1"/>
    <col min="15921" max="15922" width="16.33203125" style="339" bestFit="1" customWidth="1"/>
    <col min="15923" max="15923" width="14.33203125" style="339" bestFit="1" customWidth="1"/>
    <col min="15924" max="15924" width="15.1328125" style="339" bestFit="1" customWidth="1"/>
    <col min="15925" max="15925" width="12.6640625" style="339" bestFit="1" customWidth="1"/>
    <col min="15926" max="15926" width="11.6640625" style="339" bestFit="1" customWidth="1"/>
    <col min="15927" max="15927" width="11" style="339" bestFit="1" customWidth="1"/>
    <col min="15928" max="15928" width="11.6640625" style="339" bestFit="1" customWidth="1"/>
    <col min="15929" max="15929" width="11" style="339" bestFit="1" customWidth="1"/>
    <col min="15930" max="15930" width="13.33203125" style="339" bestFit="1" customWidth="1"/>
    <col min="15931" max="15931" width="17" style="339" bestFit="1" customWidth="1"/>
    <col min="15932" max="15932" width="14.1328125" style="339" bestFit="1" customWidth="1"/>
    <col min="15933" max="15934" width="16.33203125" style="339" bestFit="1" customWidth="1"/>
    <col min="15935" max="15935" width="14.33203125" style="339" bestFit="1" customWidth="1"/>
    <col min="15936" max="15936" width="15.1328125" style="339" bestFit="1" customWidth="1"/>
    <col min="15937" max="15937" width="12.6640625" style="339" bestFit="1" customWidth="1"/>
    <col min="15938" max="15938" width="11.6640625" style="339" bestFit="1" customWidth="1"/>
    <col min="15939" max="15939" width="11" style="339" bestFit="1" customWidth="1"/>
    <col min="15940" max="15940" width="11.6640625" style="339" bestFit="1" customWidth="1"/>
    <col min="15941" max="15941" width="11" style="339" bestFit="1" customWidth="1"/>
    <col min="15942" max="15942" width="13.33203125" style="339" bestFit="1" customWidth="1"/>
    <col min="15943" max="15943" width="17" style="339" bestFit="1" customWidth="1"/>
    <col min="15944" max="15944" width="14.1328125" style="339" bestFit="1" customWidth="1"/>
    <col min="15945" max="15946" width="16.33203125" style="339" bestFit="1" customWidth="1"/>
    <col min="15947" max="15947" width="14.33203125" style="339" bestFit="1" customWidth="1"/>
    <col min="15948" max="15948" width="15.1328125" style="339" bestFit="1" customWidth="1"/>
    <col min="15949" max="15949" width="12.6640625" style="339" bestFit="1" customWidth="1"/>
    <col min="15950" max="15950" width="11.6640625" style="339" bestFit="1" customWidth="1"/>
    <col min="15951" max="15951" width="11" style="339" bestFit="1" customWidth="1"/>
    <col min="15952" max="15952" width="11.6640625" style="339" bestFit="1" customWidth="1"/>
    <col min="15953" max="15953" width="11" style="339" bestFit="1" customWidth="1"/>
    <col min="15954" max="15954" width="13.33203125" style="339" bestFit="1" customWidth="1"/>
    <col min="15955" max="15955" width="17" style="339" bestFit="1" customWidth="1"/>
    <col min="15956" max="15956" width="14.1328125" style="339" bestFit="1" customWidth="1"/>
    <col min="15957" max="15958" width="16.33203125" style="339" bestFit="1" customWidth="1"/>
    <col min="15959" max="15959" width="14.33203125" style="339" bestFit="1" customWidth="1"/>
    <col min="15960" max="15960" width="15.1328125" style="339" bestFit="1" customWidth="1"/>
    <col min="15961" max="15961" width="12.6640625" style="339" bestFit="1" customWidth="1"/>
    <col min="15962" max="15962" width="11.6640625" style="339" bestFit="1" customWidth="1"/>
    <col min="15963" max="15963" width="11" style="339" bestFit="1" customWidth="1"/>
    <col min="15964" max="15964" width="11.6640625" style="339" bestFit="1" customWidth="1"/>
    <col min="15965" max="15965" width="11" style="339" bestFit="1" customWidth="1"/>
    <col min="15966" max="15966" width="13.33203125" style="339" bestFit="1" customWidth="1"/>
    <col min="15967" max="15968" width="17" style="339" bestFit="1" customWidth="1"/>
    <col min="15969" max="16132" width="9" style="339"/>
    <col min="16133" max="16133" width="12.1328125" style="339" customWidth="1"/>
    <col min="16134" max="16137" width="9" style="339"/>
    <col min="16138" max="16138" width="91.33203125" style="339" bestFit="1" customWidth="1"/>
    <col min="16139" max="16139" width="10.6640625" style="339" customWidth="1"/>
    <col min="16140" max="16140" width="14.1328125" style="339" bestFit="1" customWidth="1"/>
    <col min="16141" max="16142" width="16.33203125" style="339" bestFit="1" customWidth="1"/>
    <col min="16143" max="16143" width="14.33203125" style="339" bestFit="1" customWidth="1"/>
    <col min="16144" max="16144" width="15.1328125" style="339" bestFit="1" customWidth="1"/>
    <col min="16145" max="16145" width="12.6640625" style="339" bestFit="1" customWidth="1"/>
    <col min="16146" max="16146" width="11.6640625" style="339" bestFit="1" customWidth="1"/>
    <col min="16147" max="16147" width="11" style="339" bestFit="1" customWidth="1"/>
    <col min="16148" max="16148" width="13.6640625" style="339" bestFit="1" customWidth="1"/>
    <col min="16149" max="16149" width="11" style="339" bestFit="1" customWidth="1"/>
    <col min="16150" max="16150" width="13.33203125" style="339" bestFit="1" customWidth="1"/>
    <col min="16151" max="16151" width="17" style="339" bestFit="1" customWidth="1"/>
    <col min="16152" max="16152" width="14.1328125" style="339" bestFit="1" customWidth="1"/>
    <col min="16153" max="16154" width="16.33203125" style="339" bestFit="1" customWidth="1"/>
    <col min="16155" max="16155" width="14.33203125" style="339" bestFit="1" customWidth="1"/>
    <col min="16156" max="16156" width="15.1328125" style="339" bestFit="1" customWidth="1"/>
    <col min="16157" max="16157" width="12.6640625" style="339" bestFit="1" customWidth="1"/>
    <col min="16158" max="16158" width="11.6640625" style="339" bestFit="1" customWidth="1"/>
    <col min="16159" max="16159" width="11" style="339" bestFit="1" customWidth="1"/>
    <col min="16160" max="16160" width="11.6640625" style="339" bestFit="1" customWidth="1"/>
    <col min="16161" max="16161" width="11" style="339" bestFit="1" customWidth="1"/>
    <col min="16162" max="16162" width="13.33203125" style="339" bestFit="1" customWidth="1"/>
    <col min="16163" max="16163" width="17" style="339" bestFit="1" customWidth="1"/>
    <col min="16164" max="16164" width="14.1328125" style="339" bestFit="1" customWidth="1"/>
    <col min="16165" max="16166" width="16.33203125" style="339" bestFit="1" customWidth="1"/>
    <col min="16167" max="16167" width="14.33203125" style="339" bestFit="1" customWidth="1"/>
    <col min="16168" max="16168" width="15.1328125" style="339" bestFit="1" customWidth="1"/>
    <col min="16169" max="16169" width="12.6640625" style="339" bestFit="1" customWidth="1"/>
    <col min="16170" max="16170" width="11.6640625" style="339" bestFit="1" customWidth="1"/>
    <col min="16171" max="16171" width="11" style="339" bestFit="1" customWidth="1"/>
    <col min="16172" max="16172" width="11.6640625" style="339" bestFit="1" customWidth="1"/>
    <col min="16173" max="16173" width="11" style="339" bestFit="1" customWidth="1"/>
    <col min="16174" max="16174" width="13.33203125" style="339" bestFit="1" customWidth="1"/>
    <col min="16175" max="16175" width="17" style="339" bestFit="1" customWidth="1"/>
    <col min="16176" max="16176" width="14.1328125" style="339" bestFit="1" customWidth="1"/>
    <col min="16177" max="16178" width="16.33203125" style="339" bestFit="1" customWidth="1"/>
    <col min="16179" max="16179" width="14.33203125" style="339" bestFit="1" customWidth="1"/>
    <col min="16180" max="16180" width="15.1328125" style="339" bestFit="1" customWidth="1"/>
    <col min="16181" max="16181" width="12.6640625" style="339" bestFit="1" customWidth="1"/>
    <col min="16182" max="16182" width="11.6640625" style="339" bestFit="1" customWidth="1"/>
    <col min="16183" max="16183" width="11" style="339" bestFit="1" customWidth="1"/>
    <col min="16184" max="16184" width="11.6640625" style="339" bestFit="1" customWidth="1"/>
    <col min="16185" max="16185" width="11" style="339" bestFit="1" customWidth="1"/>
    <col min="16186" max="16186" width="13.33203125" style="339" bestFit="1" customWidth="1"/>
    <col min="16187" max="16187" width="17" style="339" bestFit="1" customWidth="1"/>
    <col min="16188" max="16188" width="14.1328125" style="339" bestFit="1" customWidth="1"/>
    <col min="16189" max="16190" width="16.33203125" style="339" bestFit="1" customWidth="1"/>
    <col min="16191" max="16191" width="14.33203125" style="339" bestFit="1" customWidth="1"/>
    <col min="16192" max="16192" width="15.1328125" style="339" bestFit="1" customWidth="1"/>
    <col min="16193" max="16193" width="12.6640625" style="339" bestFit="1" customWidth="1"/>
    <col min="16194" max="16194" width="11.6640625" style="339" bestFit="1" customWidth="1"/>
    <col min="16195" max="16195" width="11" style="339" bestFit="1" customWidth="1"/>
    <col min="16196" max="16196" width="11.6640625" style="339" bestFit="1" customWidth="1"/>
    <col min="16197" max="16197" width="11" style="339" bestFit="1" customWidth="1"/>
    <col min="16198" max="16198" width="13.33203125" style="339" bestFit="1" customWidth="1"/>
    <col min="16199" max="16199" width="17" style="339" bestFit="1" customWidth="1"/>
    <col min="16200" max="16200" width="14.1328125" style="339" bestFit="1" customWidth="1"/>
    <col min="16201" max="16202" width="16.33203125" style="339" bestFit="1" customWidth="1"/>
    <col min="16203" max="16203" width="14.33203125" style="339" bestFit="1" customWidth="1"/>
    <col min="16204" max="16204" width="15.1328125" style="339" bestFit="1" customWidth="1"/>
    <col min="16205" max="16205" width="12.6640625" style="339" bestFit="1" customWidth="1"/>
    <col min="16206" max="16206" width="11.6640625" style="339" bestFit="1" customWidth="1"/>
    <col min="16207" max="16207" width="11" style="339" bestFit="1" customWidth="1"/>
    <col min="16208" max="16208" width="11.6640625" style="339" bestFit="1" customWidth="1"/>
    <col min="16209" max="16209" width="11" style="339" bestFit="1" customWidth="1"/>
    <col min="16210" max="16210" width="13.33203125" style="339" bestFit="1" customWidth="1"/>
    <col min="16211" max="16211" width="17" style="339" bestFit="1" customWidth="1"/>
    <col min="16212" max="16212" width="14.1328125" style="339" bestFit="1" customWidth="1"/>
    <col min="16213" max="16214" width="16.33203125" style="339" bestFit="1" customWidth="1"/>
    <col min="16215" max="16215" width="14.33203125" style="339" bestFit="1" customWidth="1"/>
    <col min="16216" max="16216" width="15.1328125" style="339" bestFit="1" customWidth="1"/>
    <col min="16217" max="16217" width="12.6640625" style="339" bestFit="1" customWidth="1"/>
    <col min="16218" max="16218" width="11.6640625" style="339" bestFit="1" customWidth="1"/>
    <col min="16219" max="16219" width="11" style="339" bestFit="1" customWidth="1"/>
    <col min="16220" max="16220" width="11.6640625" style="339" bestFit="1" customWidth="1"/>
    <col min="16221" max="16221" width="11" style="339" bestFit="1" customWidth="1"/>
    <col min="16222" max="16222" width="13.33203125" style="339" bestFit="1" customWidth="1"/>
    <col min="16223" max="16224" width="17" style="339" bestFit="1" customWidth="1"/>
    <col min="16225" max="16384" width="9" style="339"/>
  </cols>
  <sheetData>
    <row r="1" spans="2:96">
      <c r="B1" s="340" t="s">
        <v>611</v>
      </c>
      <c r="C1" s="341"/>
      <c r="D1" s="342"/>
      <c r="E1" s="342"/>
      <c r="F1" s="342"/>
      <c r="G1" s="342"/>
      <c r="H1" s="342"/>
      <c r="I1" s="341"/>
      <c r="J1" s="341"/>
      <c r="K1" s="343"/>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row>
    <row r="2" spans="2:96">
      <c r="B2" s="340" t="s">
        <v>612</v>
      </c>
      <c r="C2" s="341"/>
      <c r="D2" s="342"/>
      <c r="E2" s="342"/>
      <c r="F2" s="342"/>
      <c r="G2" s="342"/>
      <c r="H2" s="342"/>
      <c r="I2" s="341"/>
      <c r="J2" s="341"/>
      <c r="K2" s="343"/>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row>
    <row r="3" spans="2:96">
      <c r="B3" s="345" t="s">
        <v>541</v>
      </c>
      <c r="C3" s="341"/>
      <c r="D3" s="342"/>
      <c r="E3" s="342"/>
      <c r="F3" s="342"/>
      <c r="G3" s="342"/>
      <c r="H3" s="342"/>
      <c r="I3" s="341"/>
      <c r="J3" s="341"/>
      <c r="K3" s="343"/>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c r="CG3" s="344"/>
      <c r="CH3" s="344"/>
      <c r="CI3" s="344"/>
      <c r="CJ3" s="344"/>
      <c r="CK3" s="344"/>
      <c r="CL3" s="344"/>
      <c r="CM3" s="344"/>
      <c r="CN3" s="344"/>
      <c r="CO3" s="344"/>
      <c r="CP3" s="344"/>
      <c r="CQ3" s="344"/>
      <c r="CR3" s="344"/>
    </row>
    <row r="4" spans="2:96">
      <c r="B4" s="341"/>
      <c r="C4" s="341"/>
      <c r="D4" s="342"/>
      <c r="E4" s="342"/>
      <c r="F4" s="342"/>
      <c r="G4" s="342"/>
      <c r="H4" s="342"/>
      <c r="I4" s="341"/>
      <c r="J4" s="341"/>
      <c r="K4" s="343"/>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row>
    <row r="5" spans="2:96">
      <c r="B5" s="346" t="s">
        <v>61</v>
      </c>
      <c r="C5" s="341"/>
      <c r="D5" s="342"/>
      <c r="E5" s="342"/>
      <c r="F5" s="342"/>
      <c r="G5" s="342"/>
      <c r="H5" s="342"/>
      <c r="I5" s="341"/>
      <c r="J5" s="341"/>
      <c r="K5" s="343"/>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row>
    <row r="6" spans="2:96">
      <c r="B6" s="341"/>
      <c r="C6" s="341"/>
      <c r="D6" s="342"/>
      <c r="E6" s="342"/>
      <c r="F6" s="342"/>
      <c r="G6" s="342"/>
      <c r="H6" s="342"/>
      <c r="I6" s="341"/>
      <c r="J6" s="341"/>
      <c r="K6" s="343"/>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row>
    <row r="7" spans="2:96" ht="39.4">
      <c r="B7" s="340" t="s">
        <v>542</v>
      </c>
      <c r="C7" s="340" t="s">
        <v>53</v>
      </c>
      <c r="D7" s="347" t="s">
        <v>543</v>
      </c>
      <c r="E7" s="347" t="s">
        <v>544</v>
      </c>
      <c r="F7" s="347" t="s">
        <v>545</v>
      </c>
      <c r="G7" s="347" t="s">
        <v>546</v>
      </c>
      <c r="H7" s="347" t="s">
        <v>547</v>
      </c>
      <c r="I7" s="348" t="s">
        <v>548</v>
      </c>
      <c r="J7" s="340" t="s">
        <v>831</v>
      </c>
      <c r="K7" s="349" t="s">
        <v>549</v>
      </c>
      <c r="L7" s="349">
        <v>43404</v>
      </c>
      <c r="M7" s="349">
        <v>43434</v>
      </c>
      <c r="N7" s="349">
        <v>43465</v>
      </c>
      <c r="O7" s="349">
        <v>43496</v>
      </c>
      <c r="P7" s="349">
        <v>43524</v>
      </c>
      <c r="Q7" s="349">
        <v>43555</v>
      </c>
      <c r="R7" s="349">
        <v>43585</v>
      </c>
      <c r="S7" s="349">
        <v>43616</v>
      </c>
      <c r="T7" s="349">
        <v>43646</v>
      </c>
      <c r="U7" s="349">
        <v>43677</v>
      </c>
      <c r="V7" s="349">
        <v>43708</v>
      </c>
      <c r="W7" s="349">
        <v>43738</v>
      </c>
      <c r="X7" s="349">
        <v>43769</v>
      </c>
      <c r="Y7" s="349">
        <v>43799</v>
      </c>
      <c r="Z7" s="349">
        <v>43830</v>
      </c>
      <c r="AA7" s="349">
        <v>43861</v>
      </c>
      <c r="AB7" s="349">
        <v>43890</v>
      </c>
      <c r="AC7" s="349">
        <v>43921</v>
      </c>
      <c r="AD7" s="349">
        <v>43951</v>
      </c>
      <c r="AE7" s="349">
        <v>43982</v>
      </c>
      <c r="AF7" s="349">
        <v>44012</v>
      </c>
      <c r="AG7" s="349">
        <v>44043</v>
      </c>
      <c r="AH7" s="349">
        <v>44074</v>
      </c>
      <c r="AI7" s="349">
        <v>44104</v>
      </c>
      <c r="AJ7" s="349">
        <v>44135</v>
      </c>
      <c r="AK7" s="349">
        <v>44165</v>
      </c>
      <c r="AL7" s="349">
        <v>44196</v>
      </c>
      <c r="AM7" s="349">
        <v>44227</v>
      </c>
      <c r="AN7" s="349">
        <v>44255</v>
      </c>
      <c r="AO7" s="349">
        <v>44286</v>
      </c>
      <c r="AP7" s="349">
        <v>44316</v>
      </c>
      <c r="AQ7" s="349">
        <v>44347</v>
      </c>
      <c r="AR7" s="349">
        <v>44377</v>
      </c>
      <c r="AS7" s="349">
        <v>44408</v>
      </c>
      <c r="AT7" s="349">
        <v>44439</v>
      </c>
      <c r="AU7" s="349">
        <v>44469</v>
      </c>
      <c r="AV7" s="349">
        <v>44500</v>
      </c>
      <c r="AW7" s="349">
        <v>44530</v>
      </c>
      <c r="AX7" s="349">
        <v>44561</v>
      </c>
      <c r="AY7" s="349">
        <v>44592</v>
      </c>
      <c r="AZ7" s="349">
        <v>44620</v>
      </c>
      <c r="BA7" s="349">
        <v>44651</v>
      </c>
      <c r="BB7" s="349">
        <v>44681</v>
      </c>
      <c r="BC7" s="349">
        <v>44712</v>
      </c>
      <c r="BD7" s="349">
        <v>44742</v>
      </c>
      <c r="BE7" s="349">
        <v>44773</v>
      </c>
      <c r="BF7" s="349">
        <v>44804</v>
      </c>
      <c r="BG7" s="349">
        <v>44834</v>
      </c>
      <c r="BH7" s="349">
        <v>44865</v>
      </c>
      <c r="BI7" s="349">
        <v>44895</v>
      </c>
      <c r="BJ7" s="349">
        <v>44926</v>
      </c>
      <c r="BK7" s="349">
        <v>44957</v>
      </c>
      <c r="BL7" s="349">
        <v>44985</v>
      </c>
      <c r="BM7" s="349">
        <v>45016</v>
      </c>
      <c r="BN7" s="349">
        <v>45046</v>
      </c>
      <c r="BO7" s="349">
        <v>45077</v>
      </c>
      <c r="BP7" s="349">
        <v>45107</v>
      </c>
      <c r="BQ7" s="349">
        <v>45138</v>
      </c>
      <c r="BR7" s="349">
        <v>45169</v>
      </c>
      <c r="BS7" s="349">
        <v>45199</v>
      </c>
      <c r="BT7" s="349">
        <v>45230</v>
      </c>
      <c r="BU7" s="349">
        <v>45260</v>
      </c>
      <c r="BV7" s="349">
        <v>45291</v>
      </c>
      <c r="BW7" s="349">
        <v>45322</v>
      </c>
      <c r="BX7" s="349">
        <v>45351</v>
      </c>
      <c r="BY7" s="349">
        <v>45382</v>
      </c>
      <c r="BZ7" s="349">
        <v>45412</v>
      </c>
      <c r="CA7" s="349">
        <v>45443</v>
      </c>
      <c r="CB7" s="349">
        <v>45473</v>
      </c>
      <c r="CC7" s="349">
        <v>45504</v>
      </c>
      <c r="CD7" s="349">
        <v>45535</v>
      </c>
      <c r="CE7" s="349">
        <v>45565</v>
      </c>
      <c r="CF7" s="349">
        <v>45596</v>
      </c>
      <c r="CG7" s="349">
        <v>45626</v>
      </c>
      <c r="CH7" s="349">
        <v>45657</v>
      </c>
      <c r="CI7" s="349">
        <v>45688</v>
      </c>
      <c r="CJ7" s="349">
        <v>45716</v>
      </c>
      <c r="CK7" s="349">
        <v>45747</v>
      </c>
      <c r="CL7" s="349">
        <v>45777</v>
      </c>
      <c r="CM7" s="349">
        <v>45808</v>
      </c>
      <c r="CN7" s="349">
        <v>45838</v>
      </c>
      <c r="CO7" s="349">
        <v>45869</v>
      </c>
      <c r="CP7" s="349">
        <v>45900</v>
      </c>
      <c r="CQ7" s="349">
        <v>45930</v>
      </c>
      <c r="CR7" s="349"/>
    </row>
    <row r="8" spans="2:96">
      <c r="B8" s="456"/>
      <c r="C8" s="456"/>
      <c r="D8" s="350">
        <v>6002.57</v>
      </c>
      <c r="E8" s="350">
        <f>D8/G8</f>
        <v>49.608016528925617</v>
      </c>
      <c r="F8" s="350">
        <f>G8/12</f>
        <v>10.083333333333334</v>
      </c>
      <c r="G8" s="350">
        <v>121</v>
      </c>
      <c r="H8" s="351">
        <v>40044</v>
      </c>
      <c r="I8" s="352">
        <f t="shared" ref="I8:I23" si="0">H8+F8*365</f>
        <v>43724.416666666664</v>
      </c>
      <c r="J8" s="456"/>
      <c r="K8" s="353">
        <v>550.39</v>
      </c>
      <c r="L8" s="354">
        <v>50.02</v>
      </c>
      <c r="M8" s="354">
        <v>50.02</v>
      </c>
      <c r="N8" s="354">
        <v>50.02</v>
      </c>
      <c r="O8" s="354">
        <v>50.02</v>
      </c>
      <c r="P8" s="354">
        <v>50.02</v>
      </c>
      <c r="Q8" s="354">
        <v>50.02</v>
      </c>
      <c r="R8" s="354">
        <v>50.02</v>
      </c>
      <c r="S8" s="354">
        <v>50.02</v>
      </c>
      <c r="T8" s="354">
        <v>50.02</v>
      </c>
      <c r="U8" s="354">
        <f>IF($I8&gt;U$7-30,$E8,0)</f>
        <v>49.608016528925617</v>
      </c>
      <c r="V8" s="354">
        <f t="shared" ref="V8:AK23" si="1">IF($I8&gt;V$7-30,$E8,0)</f>
        <v>49.608016528925617</v>
      </c>
      <c r="W8" s="354">
        <v>0</v>
      </c>
      <c r="X8" s="354">
        <f t="shared" si="1"/>
        <v>0</v>
      </c>
      <c r="Y8" s="354">
        <f t="shared" si="1"/>
        <v>0</v>
      </c>
      <c r="Z8" s="354">
        <f t="shared" si="1"/>
        <v>0</v>
      </c>
      <c r="AA8" s="354">
        <f t="shared" si="1"/>
        <v>0</v>
      </c>
      <c r="AB8" s="354">
        <f t="shared" si="1"/>
        <v>0</v>
      </c>
      <c r="AC8" s="354">
        <f t="shared" si="1"/>
        <v>0</v>
      </c>
      <c r="AD8" s="354">
        <f t="shared" si="1"/>
        <v>0</v>
      </c>
      <c r="AE8" s="354">
        <f t="shared" si="1"/>
        <v>0</v>
      </c>
      <c r="AF8" s="354">
        <f t="shared" si="1"/>
        <v>0</v>
      </c>
      <c r="AG8" s="354">
        <f t="shared" si="1"/>
        <v>0</v>
      </c>
      <c r="AH8" s="354">
        <f t="shared" si="1"/>
        <v>0</v>
      </c>
      <c r="AI8" s="354">
        <f t="shared" si="1"/>
        <v>0</v>
      </c>
      <c r="AJ8" s="354">
        <f t="shared" si="1"/>
        <v>0</v>
      </c>
      <c r="AK8" s="354">
        <f t="shared" si="1"/>
        <v>0</v>
      </c>
      <c r="AL8" s="354">
        <f t="shared" ref="AL8:BA23" si="2">IF($I8&gt;AL$7-30,$E8,0)</f>
        <v>0</v>
      </c>
      <c r="AM8" s="354">
        <f t="shared" si="2"/>
        <v>0</v>
      </c>
      <c r="AN8" s="354">
        <f t="shared" si="2"/>
        <v>0</v>
      </c>
      <c r="AO8" s="354">
        <f t="shared" si="2"/>
        <v>0</v>
      </c>
      <c r="AP8" s="354">
        <f t="shared" si="2"/>
        <v>0</v>
      </c>
      <c r="AQ8" s="354">
        <f t="shared" si="2"/>
        <v>0</v>
      </c>
      <c r="AR8" s="354">
        <f t="shared" si="2"/>
        <v>0</v>
      </c>
      <c r="AS8" s="354">
        <f t="shared" si="2"/>
        <v>0</v>
      </c>
      <c r="AT8" s="354">
        <f t="shared" si="2"/>
        <v>0</v>
      </c>
      <c r="AU8" s="354">
        <f t="shared" si="2"/>
        <v>0</v>
      </c>
      <c r="AV8" s="354">
        <f t="shared" si="2"/>
        <v>0</v>
      </c>
      <c r="AW8" s="354">
        <f t="shared" si="2"/>
        <v>0</v>
      </c>
      <c r="AX8" s="354">
        <f t="shared" si="2"/>
        <v>0</v>
      </c>
      <c r="AY8" s="354">
        <f t="shared" si="2"/>
        <v>0</v>
      </c>
      <c r="AZ8" s="354">
        <f t="shared" si="2"/>
        <v>0</v>
      </c>
      <c r="BA8" s="354">
        <f t="shared" si="2"/>
        <v>0</v>
      </c>
      <c r="BB8" s="354">
        <f t="shared" ref="BB8:BQ23" si="3">IF($I8&gt;BB$7-30,$E8,0)</f>
        <v>0</v>
      </c>
      <c r="BC8" s="354">
        <f t="shared" si="3"/>
        <v>0</v>
      </c>
      <c r="BD8" s="354">
        <f t="shared" si="3"/>
        <v>0</v>
      </c>
      <c r="BE8" s="354">
        <f t="shared" si="3"/>
        <v>0</v>
      </c>
      <c r="BF8" s="354">
        <f t="shared" si="3"/>
        <v>0</v>
      </c>
      <c r="BG8" s="354">
        <f t="shared" si="3"/>
        <v>0</v>
      </c>
      <c r="BH8" s="354">
        <f t="shared" si="3"/>
        <v>0</v>
      </c>
      <c r="BI8" s="354">
        <f t="shared" si="3"/>
        <v>0</v>
      </c>
      <c r="BJ8" s="354">
        <f t="shared" si="3"/>
        <v>0</v>
      </c>
      <c r="BK8" s="354">
        <f t="shared" si="3"/>
        <v>0</v>
      </c>
      <c r="BL8" s="354">
        <f t="shared" si="3"/>
        <v>0</v>
      </c>
      <c r="BM8" s="354">
        <f t="shared" si="3"/>
        <v>0</v>
      </c>
      <c r="BN8" s="354">
        <f t="shared" si="3"/>
        <v>0</v>
      </c>
      <c r="BO8" s="354">
        <f t="shared" si="3"/>
        <v>0</v>
      </c>
      <c r="BP8" s="354">
        <f t="shared" si="3"/>
        <v>0</v>
      </c>
      <c r="BQ8" s="354">
        <f t="shared" si="3"/>
        <v>0</v>
      </c>
      <c r="BR8" s="354">
        <f t="shared" ref="BR8:CG23" si="4">IF($I8&gt;BR$7-30,$E8,0)</f>
        <v>0</v>
      </c>
      <c r="BS8" s="354">
        <f t="shared" si="4"/>
        <v>0</v>
      </c>
      <c r="BT8" s="354">
        <f t="shared" si="4"/>
        <v>0</v>
      </c>
      <c r="BU8" s="354">
        <f t="shared" si="4"/>
        <v>0</v>
      </c>
      <c r="BV8" s="354">
        <f t="shared" si="4"/>
        <v>0</v>
      </c>
      <c r="BW8" s="354">
        <f t="shared" si="4"/>
        <v>0</v>
      </c>
      <c r="BX8" s="354">
        <f t="shared" si="4"/>
        <v>0</v>
      </c>
      <c r="BY8" s="354">
        <f t="shared" si="4"/>
        <v>0</v>
      </c>
      <c r="BZ8" s="354">
        <f t="shared" si="4"/>
        <v>0</v>
      </c>
      <c r="CA8" s="354">
        <f t="shared" si="4"/>
        <v>0</v>
      </c>
      <c r="CB8" s="354">
        <f t="shared" si="4"/>
        <v>0</v>
      </c>
      <c r="CC8" s="354">
        <f t="shared" si="4"/>
        <v>0</v>
      </c>
      <c r="CD8" s="354">
        <f t="shared" si="4"/>
        <v>0</v>
      </c>
      <c r="CE8" s="354">
        <f t="shared" si="4"/>
        <v>0</v>
      </c>
      <c r="CF8" s="354">
        <f t="shared" si="4"/>
        <v>0</v>
      </c>
      <c r="CG8" s="354">
        <f t="shared" si="4"/>
        <v>0</v>
      </c>
      <c r="CH8" s="354">
        <f t="shared" ref="CH8:CQ23" si="5">IF($I8&gt;CH$7-30,$E8,0)</f>
        <v>0</v>
      </c>
      <c r="CI8" s="354">
        <f t="shared" si="5"/>
        <v>0</v>
      </c>
      <c r="CJ8" s="354">
        <f t="shared" si="5"/>
        <v>0</v>
      </c>
      <c r="CK8" s="354">
        <f t="shared" si="5"/>
        <v>0</v>
      </c>
      <c r="CL8" s="354">
        <f t="shared" si="5"/>
        <v>0</v>
      </c>
      <c r="CM8" s="354">
        <f t="shared" si="5"/>
        <v>0</v>
      </c>
      <c r="CN8" s="354">
        <f t="shared" si="5"/>
        <v>0</v>
      </c>
      <c r="CO8" s="354">
        <f t="shared" si="5"/>
        <v>0</v>
      </c>
      <c r="CP8" s="354">
        <f t="shared" si="5"/>
        <v>0</v>
      </c>
      <c r="CQ8" s="354">
        <f t="shared" si="5"/>
        <v>0</v>
      </c>
      <c r="CR8" s="354">
        <f>K8-(SUM(L8:CQ8))</f>
        <v>0.99396694214874515</v>
      </c>
    </row>
    <row r="9" spans="2:96">
      <c r="B9" s="456"/>
      <c r="C9" s="456"/>
      <c r="D9" s="350">
        <v>7410.7</v>
      </c>
      <c r="E9" s="350">
        <f t="shared" ref="E9:E72" si="6">D9/G9</f>
        <v>32.080952380952382</v>
      </c>
      <c r="F9" s="350">
        <f t="shared" ref="F9:F72" si="7">G9/12</f>
        <v>19.25</v>
      </c>
      <c r="G9" s="350">
        <v>231</v>
      </c>
      <c r="H9" s="351">
        <v>39957</v>
      </c>
      <c r="I9" s="352">
        <f t="shared" si="0"/>
        <v>46983.25</v>
      </c>
      <c r="J9" s="456"/>
      <c r="K9" s="353">
        <v>3762.24</v>
      </c>
      <c r="L9" s="354">
        <v>31.88</v>
      </c>
      <c r="M9" s="354">
        <v>31.88</v>
      </c>
      <c r="N9" s="354">
        <v>31.88</v>
      </c>
      <c r="O9" s="354">
        <v>31.88</v>
      </c>
      <c r="P9" s="354">
        <v>31.88</v>
      </c>
      <c r="Q9" s="354">
        <v>31.88</v>
      </c>
      <c r="R9" s="354">
        <v>31.88</v>
      </c>
      <c r="S9" s="354">
        <v>31.88</v>
      </c>
      <c r="T9" s="354">
        <v>31.88</v>
      </c>
      <c r="U9" s="354">
        <f>IF($I9&gt;U$7-30,$E9,0)</f>
        <v>32.080952380952382</v>
      </c>
      <c r="V9" s="354">
        <f t="shared" si="1"/>
        <v>32.080952380952382</v>
      </c>
      <c r="W9" s="354">
        <f t="shared" si="1"/>
        <v>32.080952380952382</v>
      </c>
      <c r="X9" s="354">
        <f t="shared" si="1"/>
        <v>32.080952380952382</v>
      </c>
      <c r="Y9" s="354">
        <f t="shared" si="1"/>
        <v>32.080952380952382</v>
      </c>
      <c r="Z9" s="354">
        <f t="shared" si="1"/>
        <v>32.080952380952382</v>
      </c>
      <c r="AA9" s="354">
        <f t="shared" si="1"/>
        <v>32.080952380952382</v>
      </c>
      <c r="AB9" s="354">
        <f t="shared" si="1"/>
        <v>32.080952380952382</v>
      </c>
      <c r="AC9" s="354">
        <f t="shared" si="1"/>
        <v>32.080952380952382</v>
      </c>
      <c r="AD9" s="354">
        <f t="shared" si="1"/>
        <v>32.080952380952382</v>
      </c>
      <c r="AE9" s="354">
        <f t="shared" si="1"/>
        <v>32.080952380952382</v>
      </c>
      <c r="AF9" s="354">
        <f t="shared" si="1"/>
        <v>32.080952380952382</v>
      </c>
      <c r="AG9" s="354">
        <f t="shared" si="1"/>
        <v>32.080952380952382</v>
      </c>
      <c r="AH9" s="354">
        <f t="shared" si="1"/>
        <v>32.080952380952382</v>
      </c>
      <c r="AI9" s="354">
        <f t="shared" si="1"/>
        <v>32.080952380952382</v>
      </c>
      <c r="AJ9" s="354">
        <f t="shared" si="1"/>
        <v>32.080952380952382</v>
      </c>
      <c r="AK9" s="354">
        <f t="shared" si="1"/>
        <v>32.080952380952382</v>
      </c>
      <c r="AL9" s="354">
        <f t="shared" si="2"/>
        <v>32.080952380952382</v>
      </c>
      <c r="AM9" s="354">
        <f t="shared" si="2"/>
        <v>32.080952380952382</v>
      </c>
      <c r="AN9" s="354">
        <f t="shared" si="2"/>
        <v>32.080952380952382</v>
      </c>
      <c r="AO9" s="354">
        <f t="shared" si="2"/>
        <v>32.080952380952382</v>
      </c>
      <c r="AP9" s="354">
        <f t="shared" si="2"/>
        <v>32.080952380952382</v>
      </c>
      <c r="AQ9" s="354">
        <f t="shared" si="2"/>
        <v>32.080952380952382</v>
      </c>
      <c r="AR9" s="354">
        <f t="shared" si="2"/>
        <v>32.080952380952382</v>
      </c>
      <c r="AS9" s="354">
        <f t="shared" si="2"/>
        <v>32.080952380952382</v>
      </c>
      <c r="AT9" s="354">
        <f t="shared" si="2"/>
        <v>32.080952380952382</v>
      </c>
      <c r="AU9" s="354">
        <f t="shared" si="2"/>
        <v>32.080952380952382</v>
      </c>
      <c r="AV9" s="354">
        <f t="shared" si="2"/>
        <v>32.080952380952382</v>
      </c>
      <c r="AW9" s="354">
        <f t="shared" si="2"/>
        <v>32.080952380952382</v>
      </c>
      <c r="AX9" s="354">
        <f t="shared" si="2"/>
        <v>32.080952380952382</v>
      </c>
      <c r="AY9" s="354">
        <f t="shared" si="2"/>
        <v>32.080952380952382</v>
      </c>
      <c r="AZ9" s="354">
        <f t="shared" si="2"/>
        <v>32.080952380952382</v>
      </c>
      <c r="BA9" s="354">
        <f t="shared" si="2"/>
        <v>32.080952380952382</v>
      </c>
      <c r="BB9" s="354">
        <f t="shared" si="3"/>
        <v>32.080952380952382</v>
      </c>
      <c r="BC9" s="354">
        <f t="shared" si="3"/>
        <v>32.080952380952382</v>
      </c>
      <c r="BD9" s="354">
        <f t="shared" si="3"/>
        <v>32.080952380952382</v>
      </c>
      <c r="BE9" s="354">
        <f t="shared" si="3"/>
        <v>32.080952380952382</v>
      </c>
      <c r="BF9" s="354">
        <f t="shared" si="3"/>
        <v>32.080952380952382</v>
      </c>
      <c r="BG9" s="354">
        <f t="shared" si="3"/>
        <v>32.080952380952382</v>
      </c>
      <c r="BH9" s="354">
        <f t="shared" si="3"/>
        <v>32.080952380952382</v>
      </c>
      <c r="BI9" s="354">
        <f t="shared" si="3"/>
        <v>32.080952380952382</v>
      </c>
      <c r="BJ9" s="354">
        <f t="shared" si="3"/>
        <v>32.080952380952382</v>
      </c>
      <c r="BK9" s="354">
        <f t="shared" si="3"/>
        <v>32.080952380952382</v>
      </c>
      <c r="BL9" s="354">
        <f t="shared" si="3"/>
        <v>32.080952380952382</v>
      </c>
      <c r="BM9" s="354">
        <f t="shared" si="3"/>
        <v>32.080952380952382</v>
      </c>
      <c r="BN9" s="354">
        <f t="shared" si="3"/>
        <v>32.080952380952382</v>
      </c>
      <c r="BO9" s="354">
        <f t="shared" si="3"/>
        <v>32.080952380952382</v>
      </c>
      <c r="BP9" s="354">
        <f t="shared" si="3"/>
        <v>32.080952380952382</v>
      </c>
      <c r="BQ9" s="354">
        <f t="shared" si="3"/>
        <v>32.080952380952382</v>
      </c>
      <c r="BR9" s="354">
        <f t="shared" si="4"/>
        <v>32.080952380952382</v>
      </c>
      <c r="BS9" s="354">
        <f t="shared" si="4"/>
        <v>32.080952380952382</v>
      </c>
      <c r="BT9" s="354">
        <f t="shared" si="4"/>
        <v>32.080952380952382</v>
      </c>
      <c r="BU9" s="354">
        <f t="shared" si="4"/>
        <v>32.080952380952382</v>
      </c>
      <c r="BV9" s="354">
        <f t="shared" si="4"/>
        <v>32.080952380952382</v>
      </c>
      <c r="BW9" s="354">
        <f t="shared" si="4"/>
        <v>32.080952380952382</v>
      </c>
      <c r="BX9" s="354">
        <f t="shared" si="4"/>
        <v>32.080952380952382</v>
      </c>
      <c r="BY9" s="354">
        <f t="shared" si="4"/>
        <v>32.080952380952382</v>
      </c>
      <c r="BZ9" s="354">
        <f t="shared" si="4"/>
        <v>32.080952380952382</v>
      </c>
      <c r="CA9" s="354">
        <f t="shared" si="4"/>
        <v>32.080952380952382</v>
      </c>
      <c r="CB9" s="354">
        <f t="shared" si="4"/>
        <v>32.080952380952382</v>
      </c>
      <c r="CC9" s="354">
        <f t="shared" si="4"/>
        <v>32.080952380952382</v>
      </c>
      <c r="CD9" s="354">
        <f t="shared" si="4"/>
        <v>32.080952380952382</v>
      </c>
      <c r="CE9" s="354">
        <f t="shared" si="4"/>
        <v>32.080952380952382</v>
      </c>
      <c r="CF9" s="354">
        <f t="shared" si="4"/>
        <v>32.080952380952382</v>
      </c>
      <c r="CG9" s="354">
        <f t="shared" si="4"/>
        <v>32.080952380952382</v>
      </c>
      <c r="CH9" s="354">
        <f t="shared" si="5"/>
        <v>32.080952380952382</v>
      </c>
      <c r="CI9" s="354">
        <f t="shared" si="5"/>
        <v>32.080952380952382</v>
      </c>
      <c r="CJ9" s="354">
        <f t="shared" si="5"/>
        <v>32.080952380952382</v>
      </c>
      <c r="CK9" s="354">
        <f t="shared" si="5"/>
        <v>32.080952380952382</v>
      </c>
      <c r="CL9" s="354">
        <f t="shared" si="5"/>
        <v>32.080952380952382</v>
      </c>
      <c r="CM9" s="354">
        <f t="shared" si="5"/>
        <v>32.080952380952382</v>
      </c>
      <c r="CN9" s="354">
        <f t="shared" si="5"/>
        <v>32.080952380952382</v>
      </c>
      <c r="CO9" s="354">
        <f t="shared" si="5"/>
        <v>32.080952380952382</v>
      </c>
      <c r="CP9" s="354">
        <f t="shared" si="5"/>
        <v>32.080952380952382</v>
      </c>
      <c r="CQ9" s="354">
        <f t="shared" si="5"/>
        <v>32.080952380952382</v>
      </c>
      <c r="CR9" s="354">
        <f t="shared" ref="CR9:CR72" si="8">K9-(SUM(L9:CQ9))</f>
        <v>1069.248571428569</v>
      </c>
    </row>
    <row r="10" spans="2:96">
      <c r="B10" s="456"/>
      <c r="C10" s="456"/>
      <c r="D10" s="350">
        <v>485.5</v>
      </c>
      <c r="E10" s="350">
        <f t="shared" si="6"/>
        <v>2.0659574468085107</v>
      </c>
      <c r="F10" s="350">
        <f t="shared" si="7"/>
        <v>19.583333333333332</v>
      </c>
      <c r="G10" s="350">
        <v>235</v>
      </c>
      <c r="H10" s="351">
        <v>39957</v>
      </c>
      <c r="I10" s="352">
        <f t="shared" si="0"/>
        <v>47104.916666666664</v>
      </c>
      <c r="J10" s="456"/>
      <c r="K10" s="353">
        <v>248.89</v>
      </c>
      <c r="L10" s="354">
        <v>2.0299999999999998</v>
      </c>
      <c r="M10" s="354">
        <v>2.0299999999999998</v>
      </c>
      <c r="N10" s="354">
        <v>2.0299999999999998</v>
      </c>
      <c r="O10" s="354">
        <v>2.0299999999999998</v>
      </c>
      <c r="P10" s="354">
        <v>2.0299999999999998</v>
      </c>
      <c r="Q10" s="354">
        <v>2.0299999999999998</v>
      </c>
      <c r="R10" s="354">
        <v>2.0299999999999998</v>
      </c>
      <c r="S10" s="354">
        <v>2.0299999999999998</v>
      </c>
      <c r="T10" s="354">
        <v>2.0299999999999998</v>
      </c>
      <c r="U10" s="354">
        <f>IF($I10&gt;U$7-30,$E10,0)</f>
        <v>2.0659574468085107</v>
      </c>
      <c r="V10" s="354">
        <f t="shared" si="1"/>
        <v>2.0659574468085107</v>
      </c>
      <c r="W10" s="354">
        <f t="shared" si="1"/>
        <v>2.0659574468085107</v>
      </c>
      <c r="X10" s="354">
        <f t="shared" si="1"/>
        <v>2.0659574468085107</v>
      </c>
      <c r="Y10" s="354">
        <f t="shared" si="1"/>
        <v>2.0659574468085107</v>
      </c>
      <c r="Z10" s="354">
        <f t="shared" si="1"/>
        <v>2.0659574468085107</v>
      </c>
      <c r="AA10" s="354">
        <f t="shared" si="1"/>
        <v>2.0659574468085107</v>
      </c>
      <c r="AB10" s="354">
        <f t="shared" si="1"/>
        <v>2.0659574468085107</v>
      </c>
      <c r="AC10" s="354">
        <f t="shared" si="1"/>
        <v>2.0659574468085107</v>
      </c>
      <c r="AD10" s="354">
        <f t="shared" si="1"/>
        <v>2.0659574468085107</v>
      </c>
      <c r="AE10" s="354">
        <f t="shared" si="1"/>
        <v>2.0659574468085107</v>
      </c>
      <c r="AF10" s="354">
        <f t="shared" si="1"/>
        <v>2.0659574468085107</v>
      </c>
      <c r="AG10" s="354">
        <f t="shared" si="1"/>
        <v>2.0659574468085107</v>
      </c>
      <c r="AH10" s="354">
        <f t="shared" si="1"/>
        <v>2.0659574468085107</v>
      </c>
      <c r="AI10" s="354">
        <f t="shared" si="1"/>
        <v>2.0659574468085107</v>
      </c>
      <c r="AJ10" s="354">
        <f t="shared" si="1"/>
        <v>2.0659574468085107</v>
      </c>
      <c r="AK10" s="354">
        <f t="shared" si="1"/>
        <v>2.0659574468085107</v>
      </c>
      <c r="AL10" s="354">
        <f t="shared" si="2"/>
        <v>2.0659574468085107</v>
      </c>
      <c r="AM10" s="354">
        <f t="shared" si="2"/>
        <v>2.0659574468085107</v>
      </c>
      <c r="AN10" s="354">
        <f t="shared" si="2"/>
        <v>2.0659574468085107</v>
      </c>
      <c r="AO10" s="354">
        <f t="shared" si="2"/>
        <v>2.0659574468085107</v>
      </c>
      <c r="AP10" s="354">
        <f t="shared" si="2"/>
        <v>2.0659574468085107</v>
      </c>
      <c r="AQ10" s="354">
        <f t="shared" si="2"/>
        <v>2.0659574468085107</v>
      </c>
      <c r="AR10" s="354">
        <f t="shared" si="2"/>
        <v>2.0659574468085107</v>
      </c>
      <c r="AS10" s="354">
        <f t="shared" si="2"/>
        <v>2.0659574468085107</v>
      </c>
      <c r="AT10" s="354">
        <f t="shared" si="2"/>
        <v>2.0659574468085107</v>
      </c>
      <c r="AU10" s="354">
        <f t="shared" si="2"/>
        <v>2.0659574468085107</v>
      </c>
      <c r="AV10" s="354">
        <f t="shared" si="2"/>
        <v>2.0659574468085107</v>
      </c>
      <c r="AW10" s="354">
        <f t="shared" si="2"/>
        <v>2.0659574468085107</v>
      </c>
      <c r="AX10" s="354">
        <f t="shared" si="2"/>
        <v>2.0659574468085107</v>
      </c>
      <c r="AY10" s="354">
        <f t="shared" si="2"/>
        <v>2.0659574468085107</v>
      </c>
      <c r="AZ10" s="354">
        <f t="shared" si="2"/>
        <v>2.0659574468085107</v>
      </c>
      <c r="BA10" s="354">
        <f t="shared" si="2"/>
        <v>2.0659574468085107</v>
      </c>
      <c r="BB10" s="354">
        <f t="shared" si="3"/>
        <v>2.0659574468085107</v>
      </c>
      <c r="BC10" s="354">
        <f t="shared" si="3"/>
        <v>2.0659574468085107</v>
      </c>
      <c r="BD10" s="354">
        <f t="shared" si="3"/>
        <v>2.0659574468085107</v>
      </c>
      <c r="BE10" s="354">
        <f t="shared" si="3"/>
        <v>2.0659574468085107</v>
      </c>
      <c r="BF10" s="354">
        <f t="shared" si="3"/>
        <v>2.0659574468085107</v>
      </c>
      <c r="BG10" s="354">
        <f t="shared" si="3"/>
        <v>2.0659574468085107</v>
      </c>
      <c r="BH10" s="354">
        <f t="shared" si="3"/>
        <v>2.0659574468085107</v>
      </c>
      <c r="BI10" s="354">
        <f t="shared" si="3"/>
        <v>2.0659574468085107</v>
      </c>
      <c r="BJ10" s="354">
        <f t="shared" si="3"/>
        <v>2.0659574468085107</v>
      </c>
      <c r="BK10" s="354">
        <f t="shared" si="3"/>
        <v>2.0659574468085107</v>
      </c>
      <c r="BL10" s="354">
        <f t="shared" si="3"/>
        <v>2.0659574468085107</v>
      </c>
      <c r="BM10" s="354">
        <f t="shared" si="3"/>
        <v>2.0659574468085107</v>
      </c>
      <c r="BN10" s="354">
        <f t="shared" si="3"/>
        <v>2.0659574468085107</v>
      </c>
      <c r="BO10" s="354">
        <f t="shared" si="3"/>
        <v>2.0659574468085107</v>
      </c>
      <c r="BP10" s="354">
        <f t="shared" si="3"/>
        <v>2.0659574468085107</v>
      </c>
      <c r="BQ10" s="354">
        <f t="shared" si="3"/>
        <v>2.0659574468085107</v>
      </c>
      <c r="BR10" s="354">
        <f t="shared" si="4"/>
        <v>2.0659574468085107</v>
      </c>
      <c r="BS10" s="354">
        <f t="shared" si="4"/>
        <v>2.0659574468085107</v>
      </c>
      <c r="BT10" s="354">
        <f t="shared" si="4"/>
        <v>2.0659574468085107</v>
      </c>
      <c r="BU10" s="354">
        <f t="shared" si="4"/>
        <v>2.0659574468085107</v>
      </c>
      <c r="BV10" s="354">
        <f t="shared" si="4"/>
        <v>2.0659574468085107</v>
      </c>
      <c r="BW10" s="354">
        <f t="shared" si="4"/>
        <v>2.0659574468085107</v>
      </c>
      <c r="BX10" s="354">
        <f t="shared" si="4"/>
        <v>2.0659574468085107</v>
      </c>
      <c r="BY10" s="354">
        <f t="shared" si="4"/>
        <v>2.0659574468085107</v>
      </c>
      <c r="BZ10" s="354">
        <f t="shared" si="4"/>
        <v>2.0659574468085107</v>
      </c>
      <c r="CA10" s="354">
        <f t="shared" si="4"/>
        <v>2.0659574468085107</v>
      </c>
      <c r="CB10" s="354">
        <f t="shared" si="4"/>
        <v>2.0659574468085107</v>
      </c>
      <c r="CC10" s="354">
        <f t="shared" si="4"/>
        <v>2.0659574468085107</v>
      </c>
      <c r="CD10" s="354">
        <f t="shared" si="4"/>
        <v>2.0659574468085107</v>
      </c>
      <c r="CE10" s="354">
        <f t="shared" si="4"/>
        <v>2.0659574468085107</v>
      </c>
      <c r="CF10" s="354">
        <f t="shared" si="4"/>
        <v>2.0659574468085107</v>
      </c>
      <c r="CG10" s="354">
        <f t="shared" si="4"/>
        <v>2.0659574468085107</v>
      </c>
      <c r="CH10" s="354">
        <f t="shared" si="5"/>
        <v>2.0659574468085107</v>
      </c>
      <c r="CI10" s="354">
        <f t="shared" si="5"/>
        <v>2.0659574468085107</v>
      </c>
      <c r="CJ10" s="354">
        <f t="shared" si="5"/>
        <v>2.0659574468085107</v>
      </c>
      <c r="CK10" s="354">
        <f t="shared" si="5"/>
        <v>2.0659574468085107</v>
      </c>
      <c r="CL10" s="354">
        <f t="shared" si="5"/>
        <v>2.0659574468085107</v>
      </c>
      <c r="CM10" s="354">
        <f t="shared" si="5"/>
        <v>2.0659574468085107</v>
      </c>
      <c r="CN10" s="354">
        <f t="shared" si="5"/>
        <v>2.0659574468085107</v>
      </c>
      <c r="CO10" s="354">
        <f t="shared" si="5"/>
        <v>2.0659574468085107</v>
      </c>
      <c r="CP10" s="354">
        <f t="shared" si="5"/>
        <v>2.0659574468085107</v>
      </c>
      <c r="CQ10" s="354">
        <f t="shared" si="5"/>
        <v>2.0659574468085107</v>
      </c>
      <c r="CR10" s="354">
        <f t="shared" si="8"/>
        <v>75.67319148936167</v>
      </c>
    </row>
    <row r="11" spans="2:96">
      <c r="B11" s="456"/>
      <c r="C11" s="456"/>
      <c r="D11" s="355">
        <v>2570242.75</v>
      </c>
      <c r="E11" s="355">
        <f t="shared" si="6"/>
        <v>8539.0124584717614</v>
      </c>
      <c r="F11" s="355">
        <f t="shared" si="7"/>
        <v>25.083333333333332</v>
      </c>
      <c r="G11" s="355">
        <v>301</v>
      </c>
      <c r="H11" s="356">
        <v>39957</v>
      </c>
      <c r="I11" s="357">
        <f t="shared" si="0"/>
        <v>49112.416666666664</v>
      </c>
      <c r="J11" s="456"/>
      <c r="K11" s="358">
        <v>577717.17000000004</v>
      </c>
      <c r="L11" s="359">
        <v>3072.96</v>
      </c>
      <c r="M11" s="359">
        <v>3072.96</v>
      </c>
      <c r="N11" s="359">
        <v>3072.96</v>
      </c>
      <c r="O11" s="359">
        <v>3072.96</v>
      </c>
      <c r="P11" s="359">
        <v>3072.96</v>
      </c>
      <c r="Q11" s="359">
        <v>3072.96</v>
      </c>
      <c r="R11" s="359">
        <v>3072.96</v>
      </c>
      <c r="S11" s="359">
        <v>3072.96</v>
      </c>
      <c r="T11" s="359">
        <v>3072.96</v>
      </c>
      <c r="U11" s="359">
        <v>3072.96</v>
      </c>
      <c r="V11" s="359">
        <v>3072.96</v>
      </c>
      <c r="W11" s="359">
        <v>3072.96</v>
      </c>
      <c r="X11" s="359">
        <v>3072.96</v>
      </c>
      <c r="Y11" s="359">
        <v>3072.96</v>
      </c>
      <c r="Z11" s="359">
        <v>3072.96</v>
      </c>
      <c r="AA11" s="359">
        <v>3072.96</v>
      </c>
      <c r="AB11" s="359">
        <v>3072.96</v>
      </c>
      <c r="AC11" s="359">
        <v>3072.96</v>
      </c>
      <c r="AD11" s="359">
        <v>3072.96</v>
      </c>
      <c r="AE11" s="359">
        <v>3072.96</v>
      </c>
      <c r="AF11" s="359">
        <v>3072.96</v>
      </c>
      <c r="AG11" s="359">
        <v>3072.96</v>
      </c>
      <c r="AH11" s="359">
        <v>3072.96</v>
      </c>
      <c r="AI11" s="359">
        <v>3072.96</v>
      </c>
      <c r="AJ11" s="359">
        <v>3072.96</v>
      </c>
      <c r="AK11" s="359">
        <v>3072.96</v>
      </c>
      <c r="AL11" s="359">
        <v>3072.96</v>
      </c>
      <c r="AM11" s="359">
        <v>3072.96</v>
      </c>
      <c r="AN11" s="359">
        <v>3072.96</v>
      </c>
      <c r="AO11" s="359">
        <v>3072.96</v>
      </c>
      <c r="AP11" s="359">
        <v>3072.96</v>
      </c>
      <c r="AQ11" s="359">
        <v>3072.96</v>
      </c>
      <c r="AR11" s="359">
        <v>3072.96</v>
      </c>
      <c r="AS11" s="359">
        <v>3072.96</v>
      </c>
      <c r="AT11" s="359">
        <v>3072.96</v>
      </c>
      <c r="AU11" s="359">
        <v>3072.96</v>
      </c>
      <c r="AV11" s="359">
        <v>3072.96</v>
      </c>
      <c r="AW11" s="359">
        <v>3072.96</v>
      </c>
      <c r="AX11" s="359">
        <v>3072.96</v>
      </c>
      <c r="AY11" s="359">
        <v>3072.96</v>
      </c>
      <c r="AZ11" s="359">
        <v>3072.96</v>
      </c>
      <c r="BA11" s="359">
        <v>3072.96</v>
      </c>
      <c r="BB11" s="359">
        <v>3072.96</v>
      </c>
      <c r="BC11" s="359">
        <v>3072.96</v>
      </c>
      <c r="BD11" s="359">
        <v>3072.96</v>
      </c>
      <c r="BE11" s="359">
        <v>3072.96</v>
      </c>
      <c r="BF11" s="359">
        <v>3072.96</v>
      </c>
      <c r="BG11" s="359">
        <v>3072.96</v>
      </c>
      <c r="BH11" s="359">
        <v>3072.96</v>
      </c>
      <c r="BI11" s="359">
        <v>3072.96</v>
      </c>
      <c r="BJ11" s="359">
        <v>3072.96</v>
      </c>
      <c r="BK11" s="359">
        <v>3072.96</v>
      </c>
      <c r="BL11" s="359">
        <v>3072.96</v>
      </c>
      <c r="BM11" s="359">
        <v>3072.96</v>
      </c>
      <c r="BN11" s="359">
        <v>3072.96</v>
      </c>
      <c r="BO11" s="359">
        <v>3072.96</v>
      </c>
      <c r="BP11" s="359">
        <v>3072.96</v>
      </c>
      <c r="BQ11" s="359">
        <v>3072.96</v>
      </c>
      <c r="BR11" s="359">
        <v>3072.96</v>
      </c>
      <c r="BS11" s="359">
        <v>3072.96</v>
      </c>
      <c r="BT11" s="359">
        <v>3072.96</v>
      </c>
      <c r="BU11" s="359">
        <v>3072.96</v>
      </c>
      <c r="BV11" s="359">
        <v>3072.96</v>
      </c>
      <c r="BW11" s="359">
        <v>3072.96</v>
      </c>
      <c r="BX11" s="359">
        <v>3072.96</v>
      </c>
      <c r="BY11" s="359">
        <v>3072.96</v>
      </c>
      <c r="BZ11" s="359">
        <v>3072.96</v>
      </c>
      <c r="CA11" s="359">
        <v>3072.96</v>
      </c>
      <c r="CB11" s="359">
        <v>3072.96</v>
      </c>
      <c r="CC11" s="359">
        <v>3072.96</v>
      </c>
      <c r="CD11" s="359">
        <v>3072.96</v>
      </c>
      <c r="CE11" s="359">
        <v>3072.96</v>
      </c>
      <c r="CF11" s="359">
        <v>3072.96</v>
      </c>
      <c r="CG11" s="359">
        <v>3072.96</v>
      </c>
      <c r="CH11" s="359">
        <v>3072.96</v>
      </c>
      <c r="CI11" s="359">
        <v>3072.96</v>
      </c>
      <c r="CJ11" s="359">
        <v>3072.96</v>
      </c>
      <c r="CK11" s="359">
        <v>3072.96</v>
      </c>
      <c r="CL11" s="359">
        <v>3072.96</v>
      </c>
      <c r="CM11" s="359">
        <v>3072.96</v>
      </c>
      <c r="CN11" s="359">
        <v>3072.96</v>
      </c>
      <c r="CO11" s="359">
        <v>3072.96</v>
      </c>
      <c r="CP11" s="359">
        <v>3072.96</v>
      </c>
      <c r="CQ11" s="359">
        <v>3072.96</v>
      </c>
      <c r="CR11" s="359">
        <f t="shared" si="8"/>
        <v>319588.53000000026</v>
      </c>
    </row>
    <row r="12" spans="2:96">
      <c r="B12" s="456"/>
      <c r="C12" s="456"/>
      <c r="D12" s="355">
        <v>23500</v>
      </c>
      <c r="E12" s="355">
        <f t="shared" si="6"/>
        <v>84.229390681003579</v>
      </c>
      <c r="F12" s="355">
        <f t="shared" si="7"/>
        <v>23.25</v>
      </c>
      <c r="G12" s="355">
        <v>279</v>
      </c>
      <c r="H12" s="356">
        <v>40817</v>
      </c>
      <c r="I12" s="360">
        <f t="shared" si="0"/>
        <v>49303.25</v>
      </c>
      <c r="J12" s="456"/>
      <c r="K12" s="358">
        <v>15892.3</v>
      </c>
      <c r="L12" s="359">
        <v>84.53</v>
      </c>
      <c r="M12" s="359">
        <v>84.53</v>
      </c>
      <c r="N12" s="359">
        <v>84.53</v>
      </c>
      <c r="O12" s="359">
        <v>84.53</v>
      </c>
      <c r="P12" s="359">
        <v>84.53</v>
      </c>
      <c r="Q12" s="359">
        <v>84.53</v>
      </c>
      <c r="R12" s="359">
        <v>84.53</v>
      </c>
      <c r="S12" s="359">
        <v>84.53</v>
      </c>
      <c r="T12" s="359">
        <v>84.53</v>
      </c>
      <c r="U12" s="359">
        <f t="shared" ref="U12:U20" si="9">IF($I12&gt;U$7-30,$E12,0)</f>
        <v>84.229390681003579</v>
      </c>
      <c r="V12" s="359">
        <f t="shared" si="1"/>
        <v>84.229390681003579</v>
      </c>
      <c r="W12" s="359">
        <f t="shared" si="1"/>
        <v>84.229390681003579</v>
      </c>
      <c r="X12" s="359">
        <f t="shared" si="1"/>
        <v>84.229390681003579</v>
      </c>
      <c r="Y12" s="359">
        <f t="shared" si="1"/>
        <v>84.229390681003579</v>
      </c>
      <c r="Z12" s="359">
        <f t="shared" si="1"/>
        <v>84.229390681003579</v>
      </c>
      <c r="AA12" s="359">
        <f t="shared" si="1"/>
        <v>84.229390681003579</v>
      </c>
      <c r="AB12" s="359">
        <f t="shared" si="1"/>
        <v>84.229390681003579</v>
      </c>
      <c r="AC12" s="359">
        <f t="shared" si="1"/>
        <v>84.229390681003579</v>
      </c>
      <c r="AD12" s="359">
        <f t="shared" si="1"/>
        <v>84.229390681003579</v>
      </c>
      <c r="AE12" s="359">
        <f t="shared" si="1"/>
        <v>84.229390681003579</v>
      </c>
      <c r="AF12" s="359">
        <f t="shared" si="1"/>
        <v>84.229390681003579</v>
      </c>
      <c r="AG12" s="359">
        <f t="shared" si="1"/>
        <v>84.229390681003579</v>
      </c>
      <c r="AH12" s="359">
        <f t="shared" si="1"/>
        <v>84.229390681003579</v>
      </c>
      <c r="AI12" s="359">
        <f t="shared" si="1"/>
        <v>84.229390681003579</v>
      </c>
      <c r="AJ12" s="359">
        <f t="shared" si="1"/>
        <v>84.229390681003579</v>
      </c>
      <c r="AK12" s="359">
        <f t="shared" si="1"/>
        <v>84.229390681003579</v>
      </c>
      <c r="AL12" s="359">
        <f t="shared" si="2"/>
        <v>84.229390681003579</v>
      </c>
      <c r="AM12" s="359">
        <f t="shared" si="2"/>
        <v>84.229390681003579</v>
      </c>
      <c r="AN12" s="359">
        <f t="shared" si="2"/>
        <v>84.229390681003579</v>
      </c>
      <c r="AO12" s="359">
        <f t="shared" si="2"/>
        <v>84.229390681003579</v>
      </c>
      <c r="AP12" s="359">
        <f t="shared" si="2"/>
        <v>84.229390681003579</v>
      </c>
      <c r="AQ12" s="359">
        <f t="shared" si="2"/>
        <v>84.229390681003579</v>
      </c>
      <c r="AR12" s="359">
        <f t="shared" si="2"/>
        <v>84.229390681003579</v>
      </c>
      <c r="AS12" s="359">
        <f t="shared" si="2"/>
        <v>84.229390681003579</v>
      </c>
      <c r="AT12" s="359">
        <f t="shared" si="2"/>
        <v>84.229390681003579</v>
      </c>
      <c r="AU12" s="359">
        <f t="shared" si="2"/>
        <v>84.229390681003579</v>
      </c>
      <c r="AV12" s="359">
        <f t="shared" si="2"/>
        <v>84.229390681003579</v>
      </c>
      <c r="AW12" s="359">
        <f t="shared" si="2"/>
        <v>84.229390681003579</v>
      </c>
      <c r="AX12" s="359">
        <f t="shared" si="2"/>
        <v>84.229390681003579</v>
      </c>
      <c r="AY12" s="359">
        <f t="shared" si="2"/>
        <v>84.229390681003579</v>
      </c>
      <c r="AZ12" s="359">
        <f t="shared" si="2"/>
        <v>84.229390681003579</v>
      </c>
      <c r="BA12" s="359">
        <f t="shared" si="2"/>
        <v>84.229390681003579</v>
      </c>
      <c r="BB12" s="359">
        <f t="shared" si="3"/>
        <v>84.229390681003579</v>
      </c>
      <c r="BC12" s="359">
        <f t="shared" si="3"/>
        <v>84.229390681003579</v>
      </c>
      <c r="BD12" s="359">
        <f t="shared" si="3"/>
        <v>84.229390681003579</v>
      </c>
      <c r="BE12" s="359">
        <f t="shared" si="3"/>
        <v>84.229390681003579</v>
      </c>
      <c r="BF12" s="359">
        <f t="shared" si="3"/>
        <v>84.229390681003579</v>
      </c>
      <c r="BG12" s="359">
        <f t="shared" si="3"/>
        <v>84.229390681003579</v>
      </c>
      <c r="BH12" s="359">
        <f t="shared" si="3"/>
        <v>84.229390681003579</v>
      </c>
      <c r="BI12" s="359">
        <f t="shared" si="3"/>
        <v>84.229390681003579</v>
      </c>
      <c r="BJ12" s="359">
        <f t="shared" si="3"/>
        <v>84.229390681003579</v>
      </c>
      <c r="BK12" s="359">
        <f t="shared" si="3"/>
        <v>84.229390681003579</v>
      </c>
      <c r="BL12" s="359">
        <f t="shared" si="3"/>
        <v>84.229390681003579</v>
      </c>
      <c r="BM12" s="359">
        <f t="shared" si="3"/>
        <v>84.229390681003579</v>
      </c>
      <c r="BN12" s="359">
        <f t="shared" si="3"/>
        <v>84.229390681003579</v>
      </c>
      <c r="BO12" s="359">
        <f t="shared" si="3"/>
        <v>84.229390681003579</v>
      </c>
      <c r="BP12" s="359">
        <f t="shared" si="3"/>
        <v>84.229390681003579</v>
      </c>
      <c r="BQ12" s="359">
        <f t="shared" si="3"/>
        <v>84.229390681003579</v>
      </c>
      <c r="BR12" s="359">
        <f t="shared" si="4"/>
        <v>84.229390681003579</v>
      </c>
      <c r="BS12" s="359">
        <f t="shared" si="4"/>
        <v>84.229390681003579</v>
      </c>
      <c r="BT12" s="359">
        <f t="shared" si="4"/>
        <v>84.229390681003579</v>
      </c>
      <c r="BU12" s="359">
        <f t="shared" si="4"/>
        <v>84.229390681003579</v>
      </c>
      <c r="BV12" s="359">
        <f t="shared" si="4"/>
        <v>84.229390681003579</v>
      </c>
      <c r="BW12" s="359">
        <f t="shared" si="4"/>
        <v>84.229390681003579</v>
      </c>
      <c r="BX12" s="359">
        <f t="shared" si="4"/>
        <v>84.229390681003579</v>
      </c>
      <c r="BY12" s="359">
        <f t="shared" si="4"/>
        <v>84.229390681003579</v>
      </c>
      <c r="BZ12" s="359">
        <f t="shared" si="4"/>
        <v>84.229390681003579</v>
      </c>
      <c r="CA12" s="359">
        <f t="shared" si="4"/>
        <v>84.229390681003579</v>
      </c>
      <c r="CB12" s="359">
        <f t="shared" si="4"/>
        <v>84.229390681003579</v>
      </c>
      <c r="CC12" s="359">
        <f t="shared" si="4"/>
        <v>84.229390681003579</v>
      </c>
      <c r="CD12" s="359">
        <f t="shared" si="4"/>
        <v>84.229390681003579</v>
      </c>
      <c r="CE12" s="359">
        <f t="shared" si="4"/>
        <v>84.229390681003579</v>
      </c>
      <c r="CF12" s="359">
        <f t="shared" si="4"/>
        <v>84.229390681003579</v>
      </c>
      <c r="CG12" s="359">
        <f t="shared" si="4"/>
        <v>84.229390681003579</v>
      </c>
      <c r="CH12" s="359">
        <f t="shared" si="5"/>
        <v>84.229390681003579</v>
      </c>
      <c r="CI12" s="359">
        <f t="shared" si="5"/>
        <v>84.229390681003579</v>
      </c>
      <c r="CJ12" s="359">
        <f t="shared" si="5"/>
        <v>84.229390681003579</v>
      </c>
      <c r="CK12" s="359">
        <f t="shared" si="5"/>
        <v>84.229390681003579</v>
      </c>
      <c r="CL12" s="359">
        <f t="shared" si="5"/>
        <v>84.229390681003579</v>
      </c>
      <c r="CM12" s="359">
        <f t="shared" si="5"/>
        <v>84.229390681003579</v>
      </c>
      <c r="CN12" s="359">
        <f t="shared" si="5"/>
        <v>84.229390681003579</v>
      </c>
      <c r="CO12" s="359">
        <f t="shared" si="5"/>
        <v>84.229390681003579</v>
      </c>
      <c r="CP12" s="359">
        <f t="shared" si="5"/>
        <v>84.229390681003579</v>
      </c>
      <c r="CQ12" s="359">
        <f t="shared" si="5"/>
        <v>84.229390681003579</v>
      </c>
      <c r="CR12" s="359">
        <f t="shared" si="8"/>
        <v>8814.3256989247238</v>
      </c>
    </row>
    <row r="13" spans="2:96">
      <c r="B13" s="456"/>
      <c r="C13" s="456"/>
      <c r="D13" s="355">
        <v>2722</v>
      </c>
      <c r="E13" s="355">
        <f t="shared" si="6"/>
        <v>22.683333333333334</v>
      </c>
      <c r="F13" s="355">
        <f t="shared" si="7"/>
        <v>10</v>
      </c>
      <c r="G13" s="355">
        <v>120</v>
      </c>
      <c r="H13" s="356">
        <v>41086</v>
      </c>
      <c r="I13" s="360">
        <f t="shared" si="0"/>
        <v>44736</v>
      </c>
      <c r="J13" s="456"/>
      <c r="K13" s="358">
        <v>1021</v>
      </c>
      <c r="L13" s="359">
        <v>22.68</v>
      </c>
      <c r="M13" s="359">
        <v>22.68</v>
      </c>
      <c r="N13" s="359">
        <v>22.68</v>
      </c>
      <c r="O13" s="359">
        <v>22.68</v>
      </c>
      <c r="P13" s="359">
        <v>22.68</v>
      </c>
      <c r="Q13" s="359">
        <v>22.68</v>
      </c>
      <c r="R13" s="359">
        <v>22.68</v>
      </c>
      <c r="S13" s="359">
        <v>22.68</v>
      </c>
      <c r="T13" s="359">
        <v>22.68</v>
      </c>
      <c r="U13" s="359">
        <f t="shared" si="9"/>
        <v>22.683333333333334</v>
      </c>
      <c r="V13" s="359">
        <f t="shared" si="1"/>
        <v>22.683333333333334</v>
      </c>
      <c r="W13" s="359">
        <f t="shared" si="1"/>
        <v>22.683333333333334</v>
      </c>
      <c r="X13" s="359">
        <f t="shared" si="1"/>
        <v>22.683333333333334</v>
      </c>
      <c r="Y13" s="359">
        <f t="shared" si="1"/>
        <v>22.683333333333334</v>
      </c>
      <c r="Z13" s="359">
        <f t="shared" si="1"/>
        <v>22.683333333333334</v>
      </c>
      <c r="AA13" s="359">
        <f t="shared" si="1"/>
        <v>22.683333333333334</v>
      </c>
      <c r="AB13" s="359">
        <f t="shared" si="1"/>
        <v>22.683333333333334</v>
      </c>
      <c r="AC13" s="359">
        <f t="shared" si="1"/>
        <v>22.683333333333334</v>
      </c>
      <c r="AD13" s="359">
        <f t="shared" si="1"/>
        <v>22.683333333333334</v>
      </c>
      <c r="AE13" s="359">
        <f t="shared" si="1"/>
        <v>22.683333333333334</v>
      </c>
      <c r="AF13" s="359">
        <f t="shared" si="1"/>
        <v>22.683333333333334</v>
      </c>
      <c r="AG13" s="359">
        <f t="shared" si="1"/>
        <v>22.683333333333334</v>
      </c>
      <c r="AH13" s="359">
        <f t="shared" si="1"/>
        <v>22.683333333333334</v>
      </c>
      <c r="AI13" s="359">
        <f t="shared" si="1"/>
        <v>22.683333333333334</v>
      </c>
      <c r="AJ13" s="359">
        <f t="shared" si="1"/>
        <v>22.683333333333334</v>
      </c>
      <c r="AK13" s="359">
        <f t="shared" si="1"/>
        <v>22.683333333333334</v>
      </c>
      <c r="AL13" s="359">
        <f t="shared" si="2"/>
        <v>22.683333333333334</v>
      </c>
      <c r="AM13" s="359">
        <f t="shared" si="2"/>
        <v>22.683333333333334</v>
      </c>
      <c r="AN13" s="359">
        <f t="shared" si="2"/>
        <v>22.683333333333334</v>
      </c>
      <c r="AO13" s="359">
        <f t="shared" si="2"/>
        <v>22.683333333333334</v>
      </c>
      <c r="AP13" s="359">
        <f t="shared" si="2"/>
        <v>22.683333333333334</v>
      </c>
      <c r="AQ13" s="359">
        <f t="shared" si="2"/>
        <v>22.683333333333334</v>
      </c>
      <c r="AR13" s="359">
        <f t="shared" si="2"/>
        <v>22.683333333333334</v>
      </c>
      <c r="AS13" s="359">
        <f t="shared" si="2"/>
        <v>22.683333333333334</v>
      </c>
      <c r="AT13" s="359">
        <f t="shared" si="2"/>
        <v>22.683333333333334</v>
      </c>
      <c r="AU13" s="359">
        <f t="shared" si="2"/>
        <v>22.683333333333334</v>
      </c>
      <c r="AV13" s="359">
        <f t="shared" si="2"/>
        <v>22.683333333333334</v>
      </c>
      <c r="AW13" s="359">
        <f t="shared" si="2"/>
        <v>22.683333333333334</v>
      </c>
      <c r="AX13" s="359">
        <f t="shared" si="2"/>
        <v>22.683333333333334</v>
      </c>
      <c r="AY13" s="359">
        <f t="shared" si="2"/>
        <v>22.683333333333334</v>
      </c>
      <c r="AZ13" s="359">
        <f t="shared" si="2"/>
        <v>22.683333333333334</v>
      </c>
      <c r="BA13" s="359">
        <f t="shared" si="2"/>
        <v>22.683333333333334</v>
      </c>
      <c r="BB13" s="359">
        <f t="shared" si="3"/>
        <v>22.683333333333334</v>
      </c>
      <c r="BC13" s="359">
        <f t="shared" si="3"/>
        <v>22.683333333333334</v>
      </c>
      <c r="BD13" s="359">
        <f t="shared" si="3"/>
        <v>22.683333333333334</v>
      </c>
      <c r="BE13" s="359">
        <f t="shared" si="3"/>
        <v>0</v>
      </c>
      <c r="BF13" s="359">
        <f t="shared" si="3"/>
        <v>0</v>
      </c>
      <c r="BG13" s="359">
        <f t="shared" si="3"/>
        <v>0</v>
      </c>
      <c r="BH13" s="359">
        <f t="shared" si="3"/>
        <v>0</v>
      </c>
      <c r="BI13" s="359">
        <f t="shared" si="3"/>
        <v>0</v>
      </c>
      <c r="BJ13" s="359">
        <f t="shared" si="3"/>
        <v>0</v>
      </c>
      <c r="BK13" s="359">
        <f t="shared" si="3"/>
        <v>0</v>
      </c>
      <c r="BL13" s="359">
        <f t="shared" si="3"/>
        <v>0</v>
      </c>
      <c r="BM13" s="359">
        <f t="shared" si="3"/>
        <v>0</v>
      </c>
      <c r="BN13" s="359">
        <f t="shared" si="3"/>
        <v>0</v>
      </c>
      <c r="BO13" s="359">
        <f t="shared" si="3"/>
        <v>0</v>
      </c>
      <c r="BP13" s="359">
        <f t="shared" si="3"/>
        <v>0</v>
      </c>
      <c r="BQ13" s="359">
        <f t="shared" si="3"/>
        <v>0</v>
      </c>
      <c r="BR13" s="359">
        <f t="shared" si="4"/>
        <v>0</v>
      </c>
      <c r="BS13" s="359">
        <f t="shared" si="4"/>
        <v>0</v>
      </c>
      <c r="BT13" s="359">
        <f t="shared" si="4"/>
        <v>0</v>
      </c>
      <c r="BU13" s="359">
        <f t="shared" si="4"/>
        <v>0</v>
      </c>
      <c r="BV13" s="359">
        <f t="shared" si="4"/>
        <v>0</v>
      </c>
      <c r="BW13" s="359">
        <f t="shared" si="4"/>
        <v>0</v>
      </c>
      <c r="BX13" s="359">
        <f t="shared" si="4"/>
        <v>0</v>
      </c>
      <c r="BY13" s="359">
        <f t="shared" si="4"/>
        <v>0</v>
      </c>
      <c r="BZ13" s="359">
        <f t="shared" si="4"/>
        <v>0</v>
      </c>
      <c r="CA13" s="359">
        <f t="shared" si="4"/>
        <v>0</v>
      </c>
      <c r="CB13" s="359">
        <f t="shared" si="4"/>
        <v>0</v>
      </c>
      <c r="CC13" s="359">
        <f t="shared" si="4"/>
        <v>0</v>
      </c>
      <c r="CD13" s="359">
        <f t="shared" si="4"/>
        <v>0</v>
      </c>
      <c r="CE13" s="359">
        <f t="shared" si="4"/>
        <v>0</v>
      </c>
      <c r="CF13" s="359">
        <f t="shared" si="4"/>
        <v>0</v>
      </c>
      <c r="CG13" s="359">
        <f t="shared" si="4"/>
        <v>0</v>
      </c>
      <c r="CH13" s="359">
        <f t="shared" si="5"/>
        <v>0</v>
      </c>
      <c r="CI13" s="359">
        <f t="shared" si="5"/>
        <v>0</v>
      </c>
      <c r="CJ13" s="359">
        <f t="shared" si="5"/>
        <v>0</v>
      </c>
      <c r="CK13" s="359">
        <f t="shared" si="5"/>
        <v>0</v>
      </c>
      <c r="CL13" s="359">
        <f t="shared" si="5"/>
        <v>0</v>
      </c>
      <c r="CM13" s="359">
        <f t="shared" si="5"/>
        <v>0</v>
      </c>
      <c r="CN13" s="359">
        <f t="shared" si="5"/>
        <v>0</v>
      </c>
      <c r="CO13" s="359">
        <f t="shared" si="5"/>
        <v>0</v>
      </c>
      <c r="CP13" s="359">
        <f t="shared" si="5"/>
        <v>0</v>
      </c>
      <c r="CQ13" s="359">
        <f t="shared" si="5"/>
        <v>0</v>
      </c>
      <c r="CR13" s="359">
        <f t="shared" si="8"/>
        <v>0.28000000000110958</v>
      </c>
    </row>
    <row r="14" spans="2:96">
      <c r="B14" s="456"/>
      <c r="C14" s="456"/>
      <c r="D14" s="355">
        <v>125610</v>
      </c>
      <c r="E14" s="355">
        <f t="shared" si="6"/>
        <v>1046.75</v>
      </c>
      <c r="F14" s="355">
        <f t="shared" si="7"/>
        <v>10</v>
      </c>
      <c r="G14" s="355">
        <v>120</v>
      </c>
      <c r="H14" s="356">
        <v>41384</v>
      </c>
      <c r="I14" s="360">
        <f t="shared" si="0"/>
        <v>45034</v>
      </c>
      <c r="J14" s="456"/>
      <c r="K14" s="358">
        <v>53391.79</v>
      </c>
      <c r="L14" s="359">
        <v>1046.8900000000001</v>
      </c>
      <c r="M14" s="359">
        <v>1046.8900000000001</v>
      </c>
      <c r="N14" s="359">
        <v>1046.8900000000001</v>
      </c>
      <c r="O14" s="359">
        <v>1046.8900000000001</v>
      </c>
      <c r="P14" s="359">
        <v>1046.8900000000001</v>
      </c>
      <c r="Q14" s="359">
        <v>1046.8900000000001</v>
      </c>
      <c r="R14" s="359">
        <v>1046.8900000000001</v>
      </c>
      <c r="S14" s="359">
        <v>1046.8900000000001</v>
      </c>
      <c r="T14" s="359">
        <v>1046.8900000000001</v>
      </c>
      <c r="U14" s="359">
        <f t="shared" si="9"/>
        <v>1046.75</v>
      </c>
      <c r="V14" s="359">
        <f t="shared" si="1"/>
        <v>1046.75</v>
      </c>
      <c r="W14" s="359">
        <f t="shared" si="1"/>
        <v>1046.75</v>
      </c>
      <c r="X14" s="359">
        <f t="shared" si="1"/>
        <v>1046.75</v>
      </c>
      <c r="Y14" s="359">
        <f t="shared" si="1"/>
        <v>1046.75</v>
      </c>
      <c r="Z14" s="359">
        <f t="shared" si="1"/>
        <v>1046.75</v>
      </c>
      <c r="AA14" s="359">
        <f t="shared" si="1"/>
        <v>1046.75</v>
      </c>
      <c r="AB14" s="359">
        <f t="shared" si="1"/>
        <v>1046.75</v>
      </c>
      <c r="AC14" s="359">
        <f t="shared" si="1"/>
        <v>1046.75</v>
      </c>
      <c r="AD14" s="359">
        <f t="shared" si="1"/>
        <v>1046.75</v>
      </c>
      <c r="AE14" s="359">
        <f t="shared" si="1"/>
        <v>1046.75</v>
      </c>
      <c r="AF14" s="359">
        <f t="shared" si="1"/>
        <v>1046.75</v>
      </c>
      <c r="AG14" s="359">
        <f t="shared" si="1"/>
        <v>1046.75</v>
      </c>
      <c r="AH14" s="359">
        <f t="shared" si="1"/>
        <v>1046.75</v>
      </c>
      <c r="AI14" s="359">
        <f t="shared" si="1"/>
        <v>1046.75</v>
      </c>
      <c r="AJ14" s="359">
        <f t="shared" si="1"/>
        <v>1046.75</v>
      </c>
      <c r="AK14" s="359">
        <f t="shared" si="1"/>
        <v>1046.75</v>
      </c>
      <c r="AL14" s="359">
        <f t="shared" si="2"/>
        <v>1046.75</v>
      </c>
      <c r="AM14" s="359">
        <f t="shared" si="2"/>
        <v>1046.75</v>
      </c>
      <c r="AN14" s="359">
        <f t="shared" si="2"/>
        <v>1046.75</v>
      </c>
      <c r="AO14" s="359">
        <f t="shared" si="2"/>
        <v>1046.75</v>
      </c>
      <c r="AP14" s="359">
        <f t="shared" si="2"/>
        <v>1046.75</v>
      </c>
      <c r="AQ14" s="359">
        <f t="shared" si="2"/>
        <v>1046.75</v>
      </c>
      <c r="AR14" s="359">
        <f t="shared" si="2"/>
        <v>1046.75</v>
      </c>
      <c r="AS14" s="359">
        <f t="shared" si="2"/>
        <v>1046.75</v>
      </c>
      <c r="AT14" s="359">
        <f t="shared" si="2"/>
        <v>1046.75</v>
      </c>
      <c r="AU14" s="359">
        <f t="shared" si="2"/>
        <v>1046.75</v>
      </c>
      <c r="AV14" s="359">
        <f t="shared" si="2"/>
        <v>1046.75</v>
      </c>
      <c r="AW14" s="359">
        <f t="shared" si="2"/>
        <v>1046.75</v>
      </c>
      <c r="AX14" s="359">
        <f t="shared" si="2"/>
        <v>1046.75</v>
      </c>
      <c r="AY14" s="359">
        <f t="shared" si="2"/>
        <v>1046.75</v>
      </c>
      <c r="AZ14" s="359">
        <f t="shared" si="2"/>
        <v>1046.75</v>
      </c>
      <c r="BA14" s="359">
        <f t="shared" si="2"/>
        <v>1046.75</v>
      </c>
      <c r="BB14" s="359">
        <f t="shared" si="3"/>
        <v>1046.75</v>
      </c>
      <c r="BC14" s="359">
        <f t="shared" si="3"/>
        <v>1046.75</v>
      </c>
      <c r="BD14" s="359">
        <f t="shared" si="3"/>
        <v>1046.75</v>
      </c>
      <c r="BE14" s="359">
        <f t="shared" si="3"/>
        <v>1046.75</v>
      </c>
      <c r="BF14" s="359">
        <f t="shared" si="3"/>
        <v>1046.75</v>
      </c>
      <c r="BG14" s="359">
        <f t="shared" si="3"/>
        <v>1046.75</v>
      </c>
      <c r="BH14" s="359">
        <f t="shared" si="3"/>
        <v>1046.75</v>
      </c>
      <c r="BI14" s="359">
        <f t="shared" si="3"/>
        <v>1046.75</v>
      </c>
      <c r="BJ14" s="359">
        <f t="shared" si="3"/>
        <v>1046.75</v>
      </c>
      <c r="BK14" s="359">
        <v>0</v>
      </c>
      <c r="BL14" s="359">
        <v>0</v>
      </c>
      <c r="BM14" s="359">
        <v>0</v>
      </c>
      <c r="BN14" s="359">
        <v>0</v>
      </c>
      <c r="BO14" s="359">
        <f t="shared" si="3"/>
        <v>0</v>
      </c>
      <c r="BP14" s="359">
        <f t="shared" si="3"/>
        <v>0</v>
      </c>
      <c r="BQ14" s="359">
        <f t="shared" si="3"/>
        <v>0</v>
      </c>
      <c r="BR14" s="359">
        <f t="shared" si="4"/>
        <v>0</v>
      </c>
      <c r="BS14" s="359">
        <f t="shared" si="4"/>
        <v>0</v>
      </c>
      <c r="BT14" s="359">
        <f t="shared" si="4"/>
        <v>0</v>
      </c>
      <c r="BU14" s="359">
        <f t="shared" si="4"/>
        <v>0</v>
      </c>
      <c r="BV14" s="359">
        <f t="shared" si="4"/>
        <v>0</v>
      </c>
      <c r="BW14" s="359">
        <f t="shared" si="4"/>
        <v>0</v>
      </c>
      <c r="BX14" s="359">
        <f t="shared" si="4"/>
        <v>0</v>
      </c>
      <c r="BY14" s="359">
        <f t="shared" si="4"/>
        <v>0</v>
      </c>
      <c r="BZ14" s="359">
        <f t="shared" si="4"/>
        <v>0</v>
      </c>
      <c r="CA14" s="359">
        <f t="shared" si="4"/>
        <v>0</v>
      </c>
      <c r="CB14" s="359">
        <f t="shared" si="4"/>
        <v>0</v>
      </c>
      <c r="CC14" s="359">
        <f t="shared" si="4"/>
        <v>0</v>
      </c>
      <c r="CD14" s="359">
        <f t="shared" si="4"/>
        <v>0</v>
      </c>
      <c r="CE14" s="359">
        <f t="shared" si="4"/>
        <v>0</v>
      </c>
      <c r="CF14" s="359">
        <f t="shared" si="4"/>
        <v>0</v>
      </c>
      <c r="CG14" s="359">
        <f t="shared" si="4"/>
        <v>0</v>
      </c>
      <c r="CH14" s="359">
        <f t="shared" si="5"/>
        <v>0</v>
      </c>
      <c r="CI14" s="359">
        <f t="shared" si="5"/>
        <v>0</v>
      </c>
      <c r="CJ14" s="359">
        <f t="shared" si="5"/>
        <v>0</v>
      </c>
      <c r="CK14" s="359">
        <f t="shared" si="5"/>
        <v>0</v>
      </c>
      <c r="CL14" s="359">
        <f t="shared" si="5"/>
        <v>0</v>
      </c>
      <c r="CM14" s="359">
        <f t="shared" si="5"/>
        <v>0</v>
      </c>
      <c r="CN14" s="359">
        <f t="shared" si="5"/>
        <v>0</v>
      </c>
      <c r="CO14" s="359">
        <f t="shared" si="5"/>
        <v>0</v>
      </c>
      <c r="CP14" s="359">
        <f t="shared" si="5"/>
        <v>0</v>
      </c>
      <c r="CQ14" s="359">
        <f t="shared" si="5"/>
        <v>0</v>
      </c>
      <c r="CR14" s="359">
        <f t="shared" si="8"/>
        <v>6.2799999999988358</v>
      </c>
    </row>
    <row r="15" spans="2:96">
      <c r="B15" s="456"/>
      <c r="C15" s="456"/>
      <c r="D15" s="355">
        <v>3244399.48</v>
      </c>
      <c r="E15" s="355">
        <f t="shared" si="6"/>
        <v>10814.664933333333</v>
      </c>
      <c r="F15" s="355">
        <f t="shared" si="7"/>
        <v>25</v>
      </c>
      <c r="G15" s="355">
        <v>300</v>
      </c>
      <c r="H15" s="356">
        <v>42273</v>
      </c>
      <c r="I15" s="360">
        <f t="shared" si="0"/>
        <v>51398</v>
      </c>
      <c r="J15" s="456"/>
      <c r="K15" s="358">
        <v>2736110.41</v>
      </c>
      <c r="L15" s="359">
        <v>10814.66</v>
      </c>
      <c r="M15" s="359">
        <v>10814.66</v>
      </c>
      <c r="N15" s="359">
        <v>10814.66</v>
      </c>
      <c r="O15" s="359">
        <v>10814.66</v>
      </c>
      <c r="P15" s="359">
        <v>10814.66</v>
      </c>
      <c r="Q15" s="359">
        <v>10814.66</v>
      </c>
      <c r="R15" s="359">
        <v>10814.66</v>
      </c>
      <c r="S15" s="359">
        <v>10814.66</v>
      </c>
      <c r="T15" s="359">
        <v>10814.66</v>
      </c>
      <c r="U15" s="359">
        <f t="shared" si="9"/>
        <v>10814.664933333333</v>
      </c>
      <c r="V15" s="359">
        <f t="shared" si="1"/>
        <v>10814.664933333333</v>
      </c>
      <c r="W15" s="359">
        <f t="shared" si="1"/>
        <v>10814.664933333333</v>
      </c>
      <c r="X15" s="359">
        <f t="shared" si="1"/>
        <v>10814.664933333333</v>
      </c>
      <c r="Y15" s="359">
        <f t="shared" si="1"/>
        <v>10814.664933333333</v>
      </c>
      <c r="Z15" s="359">
        <f t="shared" si="1"/>
        <v>10814.664933333333</v>
      </c>
      <c r="AA15" s="359">
        <f t="shared" si="1"/>
        <v>10814.664933333333</v>
      </c>
      <c r="AB15" s="359">
        <f t="shared" si="1"/>
        <v>10814.664933333333</v>
      </c>
      <c r="AC15" s="359">
        <f t="shared" si="1"/>
        <v>10814.664933333333</v>
      </c>
      <c r="AD15" s="359">
        <f t="shared" si="1"/>
        <v>10814.664933333333</v>
      </c>
      <c r="AE15" s="359">
        <f t="shared" si="1"/>
        <v>10814.664933333333</v>
      </c>
      <c r="AF15" s="359">
        <f t="shared" si="1"/>
        <v>10814.664933333333</v>
      </c>
      <c r="AG15" s="359">
        <f t="shared" si="1"/>
        <v>10814.664933333333</v>
      </c>
      <c r="AH15" s="359">
        <f t="shared" si="1"/>
        <v>10814.664933333333</v>
      </c>
      <c r="AI15" s="359">
        <f t="shared" si="1"/>
        <v>10814.664933333333</v>
      </c>
      <c r="AJ15" s="359">
        <f t="shared" si="1"/>
        <v>10814.664933333333</v>
      </c>
      <c r="AK15" s="359">
        <f t="shared" si="1"/>
        <v>10814.664933333333</v>
      </c>
      <c r="AL15" s="359">
        <f t="shared" si="2"/>
        <v>10814.664933333333</v>
      </c>
      <c r="AM15" s="359">
        <f t="shared" si="2"/>
        <v>10814.664933333333</v>
      </c>
      <c r="AN15" s="359">
        <f t="shared" si="2"/>
        <v>10814.664933333333</v>
      </c>
      <c r="AO15" s="359">
        <f t="shared" si="2"/>
        <v>10814.664933333333</v>
      </c>
      <c r="AP15" s="359">
        <f t="shared" si="2"/>
        <v>10814.664933333333</v>
      </c>
      <c r="AQ15" s="359">
        <f t="shared" si="2"/>
        <v>10814.664933333333</v>
      </c>
      <c r="AR15" s="359">
        <f t="shared" si="2"/>
        <v>10814.664933333333</v>
      </c>
      <c r="AS15" s="359">
        <f t="shared" si="2"/>
        <v>10814.664933333333</v>
      </c>
      <c r="AT15" s="359">
        <f t="shared" si="2"/>
        <v>10814.664933333333</v>
      </c>
      <c r="AU15" s="359">
        <f t="shared" si="2"/>
        <v>10814.664933333333</v>
      </c>
      <c r="AV15" s="359">
        <f t="shared" si="2"/>
        <v>10814.664933333333</v>
      </c>
      <c r="AW15" s="359">
        <f t="shared" si="2"/>
        <v>10814.664933333333</v>
      </c>
      <c r="AX15" s="359">
        <f t="shared" si="2"/>
        <v>10814.664933333333</v>
      </c>
      <c r="AY15" s="359">
        <f t="shared" si="2"/>
        <v>10814.664933333333</v>
      </c>
      <c r="AZ15" s="359">
        <f t="shared" si="2"/>
        <v>10814.664933333333</v>
      </c>
      <c r="BA15" s="359">
        <f t="shared" si="2"/>
        <v>10814.664933333333</v>
      </c>
      <c r="BB15" s="359">
        <f t="shared" si="3"/>
        <v>10814.664933333333</v>
      </c>
      <c r="BC15" s="359">
        <f t="shared" si="3"/>
        <v>10814.664933333333</v>
      </c>
      <c r="BD15" s="359">
        <f t="shared" si="3"/>
        <v>10814.664933333333</v>
      </c>
      <c r="BE15" s="359">
        <f t="shared" si="3"/>
        <v>10814.664933333333</v>
      </c>
      <c r="BF15" s="359">
        <f t="shared" si="3"/>
        <v>10814.664933333333</v>
      </c>
      <c r="BG15" s="359">
        <f t="shared" si="3"/>
        <v>10814.664933333333</v>
      </c>
      <c r="BH15" s="359">
        <f t="shared" si="3"/>
        <v>10814.664933333333</v>
      </c>
      <c r="BI15" s="359">
        <f t="shared" si="3"/>
        <v>10814.664933333333</v>
      </c>
      <c r="BJ15" s="359">
        <f t="shared" si="3"/>
        <v>10814.664933333333</v>
      </c>
      <c r="BK15" s="359">
        <f t="shared" si="3"/>
        <v>10814.664933333333</v>
      </c>
      <c r="BL15" s="359">
        <f t="shared" si="3"/>
        <v>10814.664933333333</v>
      </c>
      <c r="BM15" s="359">
        <f t="shared" si="3"/>
        <v>10814.664933333333</v>
      </c>
      <c r="BN15" s="359">
        <f t="shared" si="3"/>
        <v>10814.664933333333</v>
      </c>
      <c r="BO15" s="359">
        <f t="shared" si="3"/>
        <v>10814.664933333333</v>
      </c>
      <c r="BP15" s="359">
        <f t="shared" si="3"/>
        <v>10814.664933333333</v>
      </c>
      <c r="BQ15" s="359">
        <f t="shared" si="3"/>
        <v>10814.664933333333</v>
      </c>
      <c r="BR15" s="359">
        <f t="shared" si="4"/>
        <v>10814.664933333333</v>
      </c>
      <c r="BS15" s="359">
        <f t="shared" si="4"/>
        <v>10814.664933333333</v>
      </c>
      <c r="BT15" s="359">
        <f t="shared" si="4"/>
        <v>10814.664933333333</v>
      </c>
      <c r="BU15" s="359">
        <f t="shared" si="4"/>
        <v>10814.664933333333</v>
      </c>
      <c r="BV15" s="359">
        <f t="shared" si="4"/>
        <v>10814.664933333333</v>
      </c>
      <c r="BW15" s="359">
        <f t="shared" si="4"/>
        <v>10814.664933333333</v>
      </c>
      <c r="BX15" s="359">
        <f t="shared" si="4"/>
        <v>10814.664933333333</v>
      </c>
      <c r="BY15" s="359">
        <f t="shared" si="4"/>
        <v>10814.664933333333</v>
      </c>
      <c r="BZ15" s="359">
        <f t="shared" si="4"/>
        <v>10814.664933333333</v>
      </c>
      <c r="CA15" s="359">
        <f t="shared" si="4"/>
        <v>10814.664933333333</v>
      </c>
      <c r="CB15" s="359">
        <f t="shared" si="4"/>
        <v>10814.664933333333</v>
      </c>
      <c r="CC15" s="359">
        <f t="shared" si="4"/>
        <v>10814.664933333333</v>
      </c>
      <c r="CD15" s="359">
        <f t="shared" si="4"/>
        <v>10814.664933333333</v>
      </c>
      <c r="CE15" s="359">
        <f t="shared" si="4"/>
        <v>10814.664933333333</v>
      </c>
      <c r="CF15" s="359">
        <f t="shared" si="4"/>
        <v>10814.664933333333</v>
      </c>
      <c r="CG15" s="359">
        <f t="shared" si="4"/>
        <v>10814.664933333333</v>
      </c>
      <c r="CH15" s="359">
        <f t="shared" si="5"/>
        <v>10814.664933333333</v>
      </c>
      <c r="CI15" s="359">
        <f t="shared" si="5"/>
        <v>10814.664933333333</v>
      </c>
      <c r="CJ15" s="359">
        <f t="shared" si="5"/>
        <v>10814.664933333333</v>
      </c>
      <c r="CK15" s="359">
        <f t="shared" si="5"/>
        <v>10814.664933333333</v>
      </c>
      <c r="CL15" s="359">
        <f t="shared" si="5"/>
        <v>10814.664933333333</v>
      </c>
      <c r="CM15" s="359">
        <f t="shared" si="5"/>
        <v>10814.664933333333</v>
      </c>
      <c r="CN15" s="359">
        <f t="shared" si="5"/>
        <v>10814.664933333333</v>
      </c>
      <c r="CO15" s="359">
        <f t="shared" si="5"/>
        <v>10814.664933333333</v>
      </c>
      <c r="CP15" s="359">
        <f t="shared" si="5"/>
        <v>10814.664933333333</v>
      </c>
      <c r="CQ15" s="359">
        <f t="shared" si="5"/>
        <v>10814.664933333333</v>
      </c>
      <c r="CR15" s="359">
        <f t="shared" si="8"/>
        <v>1827678.600000001</v>
      </c>
    </row>
    <row r="16" spans="2:96">
      <c r="B16" s="456"/>
      <c r="C16" s="456"/>
      <c r="D16" s="355">
        <v>60743.92</v>
      </c>
      <c r="E16" s="355">
        <f t="shared" si="6"/>
        <v>202.47973333333331</v>
      </c>
      <c r="F16" s="355">
        <f t="shared" si="7"/>
        <v>25</v>
      </c>
      <c r="G16" s="355">
        <v>300</v>
      </c>
      <c r="H16" s="356">
        <v>41938</v>
      </c>
      <c r="I16" s="360">
        <f t="shared" si="0"/>
        <v>51063</v>
      </c>
      <c r="J16" s="456"/>
      <c r="K16" s="358">
        <v>51227.37</v>
      </c>
      <c r="L16" s="359">
        <v>202.48</v>
      </c>
      <c r="M16" s="359">
        <v>202.48</v>
      </c>
      <c r="N16" s="359">
        <v>202.48</v>
      </c>
      <c r="O16" s="359">
        <v>202.48</v>
      </c>
      <c r="P16" s="359">
        <v>202.48</v>
      </c>
      <c r="Q16" s="359">
        <v>202.48</v>
      </c>
      <c r="R16" s="359">
        <v>202.48</v>
      </c>
      <c r="S16" s="359">
        <v>202.48</v>
      </c>
      <c r="T16" s="359">
        <v>202.48</v>
      </c>
      <c r="U16" s="359">
        <f t="shared" si="9"/>
        <v>202.47973333333331</v>
      </c>
      <c r="V16" s="359">
        <f t="shared" si="1"/>
        <v>202.47973333333331</v>
      </c>
      <c r="W16" s="359">
        <f t="shared" si="1"/>
        <v>202.47973333333331</v>
      </c>
      <c r="X16" s="359">
        <f t="shared" si="1"/>
        <v>202.47973333333331</v>
      </c>
      <c r="Y16" s="359">
        <f t="shared" si="1"/>
        <v>202.47973333333331</v>
      </c>
      <c r="Z16" s="359">
        <f t="shared" si="1"/>
        <v>202.47973333333331</v>
      </c>
      <c r="AA16" s="359">
        <f t="shared" si="1"/>
        <v>202.47973333333331</v>
      </c>
      <c r="AB16" s="359">
        <f t="shared" si="1"/>
        <v>202.47973333333331</v>
      </c>
      <c r="AC16" s="359">
        <f t="shared" si="1"/>
        <v>202.47973333333331</v>
      </c>
      <c r="AD16" s="359">
        <f t="shared" si="1"/>
        <v>202.47973333333331</v>
      </c>
      <c r="AE16" s="359">
        <f t="shared" si="1"/>
        <v>202.47973333333331</v>
      </c>
      <c r="AF16" s="359">
        <f t="shared" si="1"/>
        <v>202.47973333333331</v>
      </c>
      <c r="AG16" s="359">
        <f t="shared" si="1"/>
        <v>202.47973333333331</v>
      </c>
      <c r="AH16" s="359">
        <f t="shared" si="1"/>
        <v>202.47973333333331</v>
      </c>
      <c r="AI16" s="359">
        <f t="shared" si="1"/>
        <v>202.47973333333331</v>
      </c>
      <c r="AJ16" s="359">
        <f t="shared" si="1"/>
        <v>202.47973333333331</v>
      </c>
      <c r="AK16" s="359">
        <f t="shared" si="1"/>
        <v>202.47973333333331</v>
      </c>
      <c r="AL16" s="359">
        <f t="shared" si="2"/>
        <v>202.47973333333331</v>
      </c>
      <c r="AM16" s="359">
        <f t="shared" si="2"/>
        <v>202.47973333333331</v>
      </c>
      <c r="AN16" s="359">
        <f t="shared" si="2"/>
        <v>202.47973333333331</v>
      </c>
      <c r="AO16" s="359">
        <f t="shared" si="2"/>
        <v>202.47973333333331</v>
      </c>
      <c r="AP16" s="359">
        <f t="shared" si="2"/>
        <v>202.47973333333331</v>
      </c>
      <c r="AQ16" s="359">
        <f t="shared" si="2"/>
        <v>202.47973333333331</v>
      </c>
      <c r="AR16" s="359">
        <f t="shared" si="2"/>
        <v>202.47973333333331</v>
      </c>
      <c r="AS16" s="359">
        <f t="shared" si="2"/>
        <v>202.47973333333331</v>
      </c>
      <c r="AT16" s="359">
        <f t="shared" si="2"/>
        <v>202.47973333333331</v>
      </c>
      <c r="AU16" s="359">
        <f t="shared" si="2"/>
        <v>202.47973333333331</v>
      </c>
      <c r="AV16" s="359">
        <f t="shared" si="2"/>
        <v>202.47973333333331</v>
      </c>
      <c r="AW16" s="359">
        <f t="shared" si="2"/>
        <v>202.47973333333331</v>
      </c>
      <c r="AX16" s="359">
        <f t="shared" si="2"/>
        <v>202.47973333333331</v>
      </c>
      <c r="AY16" s="359">
        <f t="shared" si="2"/>
        <v>202.47973333333331</v>
      </c>
      <c r="AZ16" s="359">
        <f t="shared" si="2"/>
        <v>202.47973333333331</v>
      </c>
      <c r="BA16" s="359">
        <f t="shared" si="2"/>
        <v>202.47973333333331</v>
      </c>
      <c r="BB16" s="359">
        <f t="shared" si="3"/>
        <v>202.47973333333331</v>
      </c>
      <c r="BC16" s="359">
        <f t="shared" si="3"/>
        <v>202.47973333333331</v>
      </c>
      <c r="BD16" s="359">
        <f t="shared" si="3"/>
        <v>202.47973333333331</v>
      </c>
      <c r="BE16" s="359">
        <f t="shared" si="3"/>
        <v>202.47973333333331</v>
      </c>
      <c r="BF16" s="359">
        <f t="shared" si="3"/>
        <v>202.47973333333331</v>
      </c>
      <c r="BG16" s="359">
        <f t="shared" si="3"/>
        <v>202.47973333333331</v>
      </c>
      <c r="BH16" s="359">
        <f t="shared" si="3"/>
        <v>202.47973333333331</v>
      </c>
      <c r="BI16" s="359">
        <f t="shared" si="3"/>
        <v>202.47973333333331</v>
      </c>
      <c r="BJ16" s="359">
        <f t="shared" si="3"/>
        <v>202.47973333333331</v>
      </c>
      <c r="BK16" s="359">
        <f t="shared" si="3"/>
        <v>202.47973333333331</v>
      </c>
      <c r="BL16" s="359">
        <f t="shared" si="3"/>
        <v>202.47973333333331</v>
      </c>
      <c r="BM16" s="359">
        <f t="shared" si="3"/>
        <v>202.47973333333331</v>
      </c>
      <c r="BN16" s="359">
        <f t="shared" si="3"/>
        <v>202.47973333333331</v>
      </c>
      <c r="BO16" s="359">
        <f t="shared" si="3"/>
        <v>202.47973333333331</v>
      </c>
      <c r="BP16" s="359">
        <f t="shared" si="3"/>
        <v>202.47973333333331</v>
      </c>
      <c r="BQ16" s="359">
        <f t="shared" si="3"/>
        <v>202.47973333333331</v>
      </c>
      <c r="BR16" s="359">
        <f t="shared" si="4"/>
        <v>202.47973333333331</v>
      </c>
      <c r="BS16" s="359">
        <f t="shared" si="4"/>
        <v>202.47973333333331</v>
      </c>
      <c r="BT16" s="359">
        <f t="shared" si="4"/>
        <v>202.47973333333331</v>
      </c>
      <c r="BU16" s="359">
        <f t="shared" si="4"/>
        <v>202.47973333333331</v>
      </c>
      <c r="BV16" s="359">
        <f t="shared" si="4"/>
        <v>202.47973333333331</v>
      </c>
      <c r="BW16" s="359">
        <f t="shared" si="4"/>
        <v>202.47973333333331</v>
      </c>
      <c r="BX16" s="359">
        <f t="shared" si="4"/>
        <v>202.47973333333331</v>
      </c>
      <c r="BY16" s="359">
        <f t="shared" si="4"/>
        <v>202.47973333333331</v>
      </c>
      <c r="BZ16" s="359">
        <f t="shared" si="4"/>
        <v>202.47973333333331</v>
      </c>
      <c r="CA16" s="359">
        <f t="shared" si="4"/>
        <v>202.47973333333331</v>
      </c>
      <c r="CB16" s="359">
        <f t="shared" si="4"/>
        <v>202.47973333333331</v>
      </c>
      <c r="CC16" s="359">
        <f t="shared" si="4"/>
        <v>202.47973333333331</v>
      </c>
      <c r="CD16" s="359">
        <f t="shared" si="4"/>
        <v>202.47973333333331</v>
      </c>
      <c r="CE16" s="359">
        <f t="shared" si="4"/>
        <v>202.47973333333331</v>
      </c>
      <c r="CF16" s="359">
        <f t="shared" si="4"/>
        <v>202.47973333333331</v>
      </c>
      <c r="CG16" s="359">
        <f t="shared" si="4"/>
        <v>202.47973333333331</v>
      </c>
      <c r="CH16" s="359">
        <f t="shared" si="5"/>
        <v>202.47973333333331</v>
      </c>
      <c r="CI16" s="359">
        <f t="shared" si="5"/>
        <v>202.47973333333331</v>
      </c>
      <c r="CJ16" s="359">
        <f t="shared" si="5"/>
        <v>202.47973333333331</v>
      </c>
      <c r="CK16" s="359">
        <f t="shared" si="5"/>
        <v>202.47973333333331</v>
      </c>
      <c r="CL16" s="359">
        <f t="shared" si="5"/>
        <v>202.47973333333331</v>
      </c>
      <c r="CM16" s="359">
        <f t="shared" si="5"/>
        <v>202.47973333333331</v>
      </c>
      <c r="CN16" s="359">
        <f t="shared" si="5"/>
        <v>202.47973333333331</v>
      </c>
      <c r="CO16" s="359">
        <f t="shared" si="5"/>
        <v>202.47973333333331</v>
      </c>
      <c r="CP16" s="359">
        <f t="shared" si="5"/>
        <v>202.47973333333331</v>
      </c>
      <c r="CQ16" s="359">
        <f t="shared" si="5"/>
        <v>202.47973333333331</v>
      </c>
      <c r="CR16" s="359">
        <f t="shared" si="8"/>
        <v>34219.069999999992</v>
      </c>
    </row>
    <row r="17" spans="2:96">
      <c r="B17" s="456"/>
      <c r="C17" s="456"/>
      <c r="D17" s="355">
        <v>11559.9</v>
      </c>
      <c r="E17" s="355">
        <f t="shared" si="6"/>
        <v>38.533000000000001</v>
      </c>
      <c r="F17" s="355">
        <f t="shared" si="7"/>
        <v>25</v>
      </c>
      <c r="G17" s="355">
        <v>300</v>
      </c>
      <c r="H17" s="356">
        <v>42484</v>
      </c>
      <c r="I17" s="360">
        <f t="shared" si="0"/>
        <v>51609</v>
      </c>
      <c r="J17" s="456"/>
      <c r="K17" s="358">
        <v>10442.27</v>
      </c>
      <c r="L17" s="359">
        <v>38.54</v>
      </c>
      <c r="M17" s="359">
        <v>38.54</v>
      </c>
      <c r="N17" s="359">
        <v>38.54</v>
      </c>
      <c r="O17" s="359">
        <v>38.54</v>
      </c>
      <c r="P17" s="359">
        <v>38.54</v>
      </c>
      <c r="Q17" s="359">
        <v>38.54</v>
      </c>
      <c r="R17" s="359">
        <v>38.54</v>
      </c>
      <c r="S17" s="359">
        <v>38.54</v>
      </c>
      <c r="T17" s="359">
        <v>38.54</v>
      </c>
      <c r="U17" s="359">
        <f t="shared" si="9"/>
        <v>38.533000000000001</v>
      </c>
      <c r="V17" s="359">
        <f t="shared" si="1"/>
        <v>38.533000000000001</v>
      </c>
      <c r="W17" s="359">
        <f t="shared" si="1"/>
        <v>38.533000000000001</v>
      </c>
      <c r="X17" s="359">
        <f t="shared" si="1"/>
        <v>38.533000000000001</v>
      </c>
      <c r="Y17" s="359">
        <f t="shared" si="1"/>
        <v>38.533000000000001</v>
      </c>
      <c r="Z17" s="359">
        <f t="shared" si="1"/>
        <v>38.533000000000001</v>
      </c>
      <c r="AA17" s="359">
        <f t="shared" si="1"/>
        <v>38.533000000000001</v>
      </c>
      <c r="AB17" s="359">
        <f t="shared" si="1"/>
        <v>38.533000000000001</v>
      </c>
      <c r="AC17" s="359">
        <f t="shared" si="1"/>
        <v>38.533000000000001</v>
      </c>
      <c r="AD17" s="359">
        <f t="shared" si="1"/>
        <v>38.533000000000001</v>
      </c>
      <c r="AE17" s="359">
        <f t="shared" si="1"/>
        <v>38.533000000000001</v>
      </c>
      <c r="AF17" s="359">
        <f t="shared" si="1"/>
        <v>38.533000000000001</v>
      </c>
      <c r="AG17" s="359">
        <f t="shared" si="1"/>
        <v>38.533000000000001</v>
      </c>
      <c r="AH17" s="359">
        <f t="shared" si="1"/>
        <v>38.533000000000001</v>
      </c>
      <c r="AI17" s="359">
        <f t="shared" si="1"/>
        <v>38.533000000000001</v>
      </c>
      <c r="AJ17" s="359">
        <f t="shared" si="1"/>
        <v>38.533000000000001</v>
      </c>
      <c r="AK17" s="359">
        <f t="shared" si="1"/>
        <v>38.533000000000001</v>
      </c>
      <c r="AL17" s="359">
        <f t="shared" si="2"/>
        <v>38.533000000000001</v>
      </c>
      <c r="AM17" s="359">
        <f t="shared" si="2"/>
        <v>38.533000000000001</v>
      </c>
      <c r="AN17" s="359">
        <f t="shared" si="2"/>
        <v>38.533000000000001</v>
      </c>
      <c r="AO17" s="359">
        <f t="shared" si="2"/>
        <v>38.533000000000001</v>
      </c>
      <c r="AP17" s="359">
        <f t="shared" si="2"/>
        <v>38.533000000000001</v>
      </c>
      <c r="AQ17" s="359">
        <f t="shared" si="2"/>
        <v>38.533000000000001</v>
      </c>
      <c r="AR17" s="359">
        <f t="shared" si="2"/>
        <v>38.533000000000001</v>
      </c>
      <c r="AS17" s="359">
        <f t="shared" si="2"/>
        <v>38.533000000000001</v>
      </c>
      <c r="AT17" s="359">
        <f t="shared" si="2"/>
        <v>38.533000000000001</v>
      </c>
      <c r="AU17" s="359">
        <f t="shared" si="2"/>
        <v>38.533000000000001</v>
      </c>
      <c r="AV17" s="359">
        <f t="shared" si="2"/>
        <v>38.533000000000001</v>
      </c>
      <c r="AW17" s="359">
        <f t="shared" si="2"/>
        <v>38.533000000000001</v>
      </c>
      <c r="AX17" s="359">
        <f t="shared" si="2"/>
        <v>38.533000000000001</v>
      </c>
      <c r="AY17" s="359">
        <f t="shared" si="2"/>
        <v>38.533000000000001</v>
      </c>
      <c r="AZ17" s="359">
        <f t="shared" si="2"/>
        <v>38.533000000000001</v>
      </c>
      <c r="BA17" s="359">
        <f t="shared" si="2"/>
        <v>38.533000000000001</v>
      </c>
      <c r="BB17" s="359">
        <f t="shared" si="3"/>
        <v>38.533000000000001</v>
      </c>
      <c r="BC17" s="359">
        <f t="shared" si="3"/>
        <v>38.533000000000001</v>
      </c>
      <c r="BD17" s="359">
        <f t="shared" si="3"/>
        <v>38.533000000000001</v>
      </c>
      <c r="BE17" s="359">
        <f t="shared" si="3"/>
        <v>38.533000000000001</v>
      </c>
      <c r="BF17" s="359">
        <f t="shared" si="3"/>
        <v>38.533000000000001</v>
      </c>
      <c r="BG17" s="359">
        <f t="shared" si="3"/>
        <v>38.533000000000001</v>
      </c>
      <c r="BH17" s="359">
        <f t="shared" si="3"/>
        <v>38.533000000000001</v>
      </c>
      <c r="BI17" s="359">
        <f t="shared" si="3"/>
        <v>38.533000000000001</v>
      </c>
      <c r="BJ17" s="359">
        <f t="shared" si="3"/>
        <v>38.533000000000001</v>
      </c>
      <c r="BK17" s="359">
        <f t="shared" si="3"/>
        <v>38.533000000000001</v>
      </c>
      <c r="BL17" s="359">
        <f t="shared" si="3"/>
        <v>38.533000000000001</v>
      </c>
      <c r="BM17" s="359">
        <f t="shared" si="3"/>
        <v>38.533000000000001</v>
      </c>
      <c r="BN17" s="359">
        <f t="shared" si="3"/>
        <v>38.533000000000001</v>
      </c>
      <c r="BO17" s="359">
        <f t="shared" si="3"/>
        <v>38.533000000000001</v>
      </c>
      <c r="BP17" s="359">
        <f t="shared" si="3"/>
        <v>38.533000000000001</v>
      </c>
      <c r="BQ17" s="359">
        <f t="shared" si="3"/>
        <v>38.533000000000001</v>
      </c>
      <c r="BR17" s="359">
        <f t="shared" si="4"/>
        <v>38.533000000000001</v>
      </c>
      <c r="BS17" s="359">
        <f t="shared" si="4"/>
        <v>38.533000000000001</v>
      </c>
      <c r="BT17" s="359">
        <f t="shared" si="4"/>
        <v>38.533000000000001</v>
      </c>
      <c r="BU17" s="359">
        <f t="shared" si="4"/>
        <v>38.533000000000001</v>
      </c>
      <c r="BV17" s="359">
        <f t="shared" si="4"/>
        <v>38.533000000000001</v>
      </c>
      <c r="BW17" s="359">
        <f t="shared" si="4"/>
        <v>38.533000000000001</v>
      </c>
      <c r="BX17" s="359">
        <f t="shared" si="4"/>
        <v>38.533000000000001</v>
      </c>
      <c r="BY17" s="359">
        <f t="shared" si="4"/>
        <v>38.533000000000001</v>
      </c>
      <c r="BZ17" s="359">
        <f t="shared" si="4"/>
        <v>38.533000000000001</v>
      </c>
      <c r="CA17" s="359">
        <f t="shared" si="4"/>
        <v>38.533000000000001</v>
      </c>
      <c r="CB17" s="359">
        <f t="shared" si="4"/>
        <v>38.533000000000001</v>
      </c>
      <c r="CC17" s="359">
        <f t="shared" si="4"/>
        <v>38.533000000000001</v>
      </c>
      <c r="CD17" s="359">
        <f t="shared" si="4"/>
        <v>38.533000000000001</v>
      </c>
      <c r="CE17" s="359">
        <f t="shared" si="4"/>
        <v>38.533000000000001</v>
      </c>
      <c r="CF17" s="359">
        <f t="shared" si="4"/>
        <v>38.533000000000001</v>
      </c>
      <c r="CG17" s="359">
        <f t="shared" si="4"/>
        <v>38.533000000000001</v>
      </c>
      <c r="CH17" s="359">
        <f t="shared" si="5"/>
        <v>38.533000000000001</v>
      </c>
      <c r="CI17" s="359">
        <f t="shared" si="5"/>
        <v>38.533000000000001</v>
      </c>
      <c r="CJ17" s="359">
        <f t="shared" si="5"/>
        <v>38.533000000000001</v>
      </c>
      <c r="CK17" s="359">
        <f t="shared" si="5"/>
        <v>38.533000000000001</v>
      </c>
      <c r="CL17" s="359">
        <f t="shared" si="5"/>
        <v>38.533000000000001</v>
      </c>
      <c r="CM17" s="359">
        <f t="shared" si="5"/>
        <v>38.533000000000001</v>
      </c>
      <c r="CN17" s="359">
        <f t="shared" si="5"/>
        <v>38.533000000000001</v>
      </c>
      <c r="CO17" s="359">
        <f t="shared" si="5"/>
        <v>38.533000000000001</v>
      </c>
      <c r="CP17" s="359">
        <f t="shared" si="5"/>
        <v>38.533000000000001</v>
      </c>
      <c r="CQ17" s="359">
        <f t="shared" si="5"/>
        <v>38.533000000000001</v>
      </c>
      <c r="CR17" s="359">
        <f t="shared" si="8"/>
        <v>7205.4350000000059</v>
      </c>
    </row>
    <row r="18" spans="2:96">
      <c r="B18" s="456"/>
      <c r="C18" s="456"/>
      <c r="D18" s="355">
        <v>14904.75</v>
      </c>
      <c r="E18" s="355">
        <f t="shared" si="6"/>
        <v>49.682499999999997</v>
      </c>
      <c r="F18" s="355">
        <f t="shared" si="7"/>
        <v>25</v>
      </c>
      <c r="G18" s="355">
        <v>300</v>
      </c>
      <c r="H18" s="356">
        <v>42421</v>
      </c>
      <c r="I18" s="360">
        <f t="shared" si="0"/>
        <v>51546</v>
      </c>
      <c r="J18" s="456"/>
      <c r="K18" s="358">
        <v>13364.17</v>
      </c>
      <c r="L18" s="359">
        <v>49.7</v>
      </c>
      <c r="M18" s="359">
        <v>49.7</v>
      </c>
      <c r="N18" s="359">
        <v>49.7</v>
      </c>
      <c r="O18" s="359">
        <v>49.7</v>
      </c>
      <c r="P18" s="359">
        <v>49.7</v>
      </c>
      <c r="Q18" s="359">
        <v>49.7</v>
      </c>
      <c r="R18" s="359">
        <v>49.7</v>
      </c>
      <c r="S18" s="359">
        <v>49.7</v>
      </c>
      <c r="T18" s="359">
        <v>49.7</v>
      </c>
      <c r="U18" s="359">
        <f t="shared" si="9"/>
        <v>49.682499999999997</v>
      </c>
      <c r="V18" s="359">
        <f t="shared" si="1"/>
        <v>49.682499999999997</v>
      </c>
      <c r="W18" s="359">
        <f t="shared" si="1"/>
        <v>49.682499999999997</v>
      </c>
      <c r="X18" s="359">
        <f t="shared" si="1"/>
        <v>49.682499999999997</v>
      </c>
      <c r="Y18" s="359">
        <f t="shared" si="1"/>
        <v>49.682499999999997</v>
      </c>
      <c r="Z18" s="359">
        <f t="shared" si="1"/>
        <v>49.682499999999997</v>
      </c>
      <c r="AA18" s="359">
        <f t="shared" si="1"/>
        <v>49.682499999999997</v>
      </c>
      <c r="AB18" s="359">
        <f t="shared" si="1"/>
        <v>49.682499999999997</v>
      </c>
      <c r="AC18" s="359">
        <f t="shared" si="1"/>
        <v>49.682499999999997</v>
      </c>
      <c r="AD18" s="359">
        <f t="shared" si="1"/>
        <v>49.682499999999997</v>
      </c>
      <c r="AE18" s="359">
        <f t="shared" si="1"/>
        <v>49.682499999999997</v>
      </c>
      <c r="AF18" s="359">
        <f t="shared" si="1"/>
        <v>49.682499999999997</v>
      </c>
      <c r="AG18" s="359">
        <f t="shared" si="1"/>
        <v>49.682499999999997</v>
      </c>
      <c r="AH18" s="359">
        <f t="shared" si="1"/>
        <v>49.682499999999997</v>
      </c>
      <c r="AI18" s="359">
        <f t="shared" si="1"/>
        <v>49.682499999999997</v>
      </c>
      <c r="AJ18" s="359">
        <f t="shared" si="1"/>
        <v>49.682499999999997</v>
      </c>
      <c r="AK18" s="359">
        <f t="shared" si="1"/>
        <v>49.682499999999997</v>
      </c>
      <c r="AL18" s="359">
        <f t="shared" si="2"/>
        <v>49.682499999999997</v>
      </c>
      <c r="AM18" s="359">
        <f t="shared" si="2"/>
        <v>49.682499999999997</v>
      </c>
      <c r="AN18" s="359">
        <f t="shared" si="2"/>
        <v>49.682499999999997</v>
      </c>
      <c r="AO18" s="359">
        <f t="shared" si="2"/>
        <v>49.682499999999997</v>
      </c>
      <c r="AP18" s="359">
        <f t="shared" si="2"/>
        <v>49.682499999999997</v>
      </c>
      <c r="AQ18" s="359">
        <f t="shared" si="2"/>
        <v>49.682499999999997</v>
      </c>
      <c r="AR18" s="359">
        <f t="shared" si="2"/>
        <v>49.682499999999997</v>
      </c>
      <c r="AS18" s="359">
        <f t="shared" si="2"/>
        <v>49.682499999999997</v>
      </c>
      <c r="AT18" s="359">
        <f t="shared" si="2"/>
        <v>49.682499999999997</v>
      </c>
      <c r="AU18" s="359">
        <f t="shared" si="2"/>
        <v>49.682499999999997</v>
      </c>
      <c r="AV18" s="359">
        <f t="shared" si="2"/>
        <v>49.682499999999997</v>
      </c>
      <c r="AW18" s="359">
        <f t="shared" si="2"/>
        <v>49.682499999999997</v>
      </c>
      <c r="AX18" s="359">
        <f t="shared" si="2"/>
        <v>49.682499999999997</v>
      </c>
      <c r="AY18" s="359">
        <f t="shared" si="2"/>
        <v>49.682499999999997</v>
      </c>
      <c r="AZ18" s="359">
        <f t="shared" si="2"/>
        <v>49.682499999999997</v>
      </c>
      <c r="BA18" s="359">
        <f t="shared" si="2"/>
        <v>49.682499999999997</v>
      </c>
      <c r="BB18" s="359">
        <f t="shared" si="3"/>
        <v>49.682499999999997</v>
      </c>
      <c r="BC18" s="359">
        <f t="shared" si="3"/>
        <v>49.682499999999997</v>
      </c>
      <c r="BD18" s="359">
        <f t="shared" si="3"/>
        <v>49.682499999999997</v>
      </c>
      <c r="BE18" s="359">
        <f t="shared" si="3"/>
        <v>49.682499999999997</v>
      </c>
      <c r="BF18" s="359">
        <f t="shared" si="3"/>
        <v>49.682499999999997</v>
      </c>
      <c r="BG18" s="359">
        <f t="shared" si="3"/>
        <v>49.682499999999997</v>
      </c>
      <c r="BH18" s="359">
        <f t="shared" si="3"/>
        <v>49.682499999999997</v>
      </c>
      <c r="BI18" s="359">
        <f t="shared" si="3"/>
        <v>49.682499999999997</v>
      </c>
      <c r="BJ18" s="359">
        <f t="shared" si="3"/>
        <v>49.682499999999997</v>
      </c>
      <c r="BK18" s="359">
        <f t="shared" si="3"/>
        <v>49.682499999999997</v>
      </c>
      <c r="BL18" s="359">
        <f t="shared" si="3"/>
        <v>49.682499999999997</v>
      </c>
      <c r="BM18" s="359">
        <f t="shared" si="3"/>
        <v>49.682499999999997</v>
      </c>
      <c r="BN18" s="359">
        <f t="shared" si="3"/>
        <v>49.682499999999997</v>
      </c>
      <c r="BO18" s="359">
        <f t="shared" si="3"/>
        <v>49.682499999999997</v>
      </c>
      <c r="BP18" s="359">
        <f t="shared" si="3"/>
        <v>49.682499999999997</v>
      </c>
      <c r="BQ18" s="359">
        <f t="shared" si="3"/>
        <v>49.682499999999997</v>
      </c>
      <c r="BR18" s="359">
        <f t="shared" si="4"/>
        <v>49.682499999999997</v>
      </c>
      <c r="BS18" s="359">
        <f t="shared" si="4"/>
        <v>49.682499999999997</v>
      </c>
      <c r="BT18" s="359">
        <f t="shared" si="4"/>
        <v>49.682499999999997</v>
      </c>
      <c r="BU18" s="359">
        <f t="shared" si="4"/>
        <v>49.682499999999997</v>
      </c>
      <c r="BV18" s="359">
        <f t="shared" si="4"/>
        <v>49.682499999999997</v>
      </c>
      <c r="BW18" s="359">
        <f t="shared" si="4"/>
        <v>49.682499999999997</v>
      </c>
      <c r="BX18" s="359">
        <f t="shared" si="4"/>
        <v>49.682499999999997</v>
      </c>
      <c r="BY18" s="359">
        <f t="shared" si="4"/>
        <v>49.682499999999997</v>
      </c>
      <c r="BZ18" s="359">
        <f t="shared" si="4"/>
        <v>49.682499999999997</v>
      </c>
      <c r="CA18" s="359">
        <f t="shared" si="4"/>
        <v>49.682499999999997</v>
      </c>
      <c r="CB18" s="359">
        <f t="shared" si="4"/>
        <v>49.682499999999997</v>
      </c>
      <c r="CC18" s="359">
        <f t="shared" si="4"/>
        <v>49.682499999999997</v>
      </c>
      <c r="CD18" s="359">
        <f t="shared" si="4"/>
        <v>49.682499999999997</v>
      </c>
      <c r="CE18" s="359">
        <f t="shared" si="4"/>
        <v>49.682499999999997</v>
      </c>
      <c r="CF18" s="359">
        <f t="shared" si="4"/>
        <v>49.682499999999997</v>
      </c>
      <c r="CG18" s="359">
        <f t="shared" si="4"/>
        <v>49.682499999999997</v>
      </c>
      <c r="CH18" s="359">
        <f t="shared" si="5"/>
        <v>49.682499999999997</v>
      </c>
      <c r="CI18" s="359">
        <f t="shared" si="5"/>
        <v>49.682499999999997</v>
      </c>
      <c r="CJ18" s="359">
        <f t="shared" si="5"/>
        <v>49.682499999999997</v>
      </c>
      <c r="CK18" s="359">
        <f t="shared" si="5"/>
        <v>49.682499999999997</v>
      </c>
      <c r="CL18" s="359">
        <f t="shared" si="5"/>
        <v>49.682499999999997</v>
      </c>
      <c r="CM18" s="359">
        <f t="shared" si="5"/>
        <v>49.682499999999997</v>
      </c>
      <c r="CN18" s="359">
        <f t="shared" si="5"/>
        <v>49.682499999999997</v>
      </c>
      <c r="CO18" s="359">
        <f t="shared" si="5"/>
        <v>49.682499999999997</v>
      </c>
      <c r="CP18" s="359">
        <f t="shared" si="5"/>
        <v>49.682499999999997</v>
      </c>
      <c r="CQ18" s="359">
        <f t="shared" si="5"/>
        <v>49.682499999999997</v>
      </c>
      <c r="CR18" s="359">
        <f t="shared" si="8"/>
        <v>9190.6825000000063</v>
      </c>
    </row>
    <row r="19" spans="2:96">
      <c r="B19" s="456"/>
      <c r="C19" s="456"/>
      <c r="D19" s="361">
        <v>181654.54</v>
      </c>
      <c r="E19" s="361">
        <f t="shared" si="6"/>
        <v>605.51513333333332</v>
      </c>
      <c r="F19" s="361">
        <f t="shared" si="7"/>
        <v>25</v>
      </c>
      <c r="G19" s="361">
        <v>300</v>
      </c>
      <c r="H19" s="362">
        <v>41545</v>
      </c>
      <c r="I19" s="363">
        <f t="shared" si="0"/>
        <v>50670</v>
      </c>
      <c r="J19" s="456"/>
      <c r="K19" s="364">
        <v>144857.25</v>
      </c>
      <c r="L19" s="365">
        <v>606.09</v>
      </c>
      <c r="M19" s="365">
        <v>606.09</v>
      </c>
      <c r="N19" s="365">
        <v>606.09</v>
      </c>
      <c r="O19" s="365">
        <v>606.09</v>
      </c>
      <c r="P19" s="365">
        <v>606.09</v>
      </c>
      <c r="Q19" s="365">
        <v>606.09</v>
      </c>
      <c r="R19" s="365">
        <v>606.09</v>
      </c>
      <c r="S19" s="365">
        <v>606.09</v>
      </c>
      <c r="T19" s="365">
        <v>606.09</v>
      </c>
      <c r="U19" s="365">
        <f t="shared" si="9"/>
        <v>605.51513333333332</v>
      </c>
      <c r="V19" s="365">
        <f t="shared" si="1"/>
        <v>605.51513333333332</v>
      </c>
      <c r="W19" s="365">
        <f t="shared" si="1"/>
        <v>605.51513333333332</v>
      </c>
      <c r="X19" s="365">
        <f t="shared" si="1"/>
        <v>605.51513333333332</v>
      </c>
      <c r="Y19" s="365">
        <f t="shared" si="1"/>
        <v>605.51513333333332</v>
      </c>
      <c r="Z19" s="365">
        <f t="shared" si="1"/>
        <v>605.51513333333332</v>
      </c>
      <c r="AA19" s="365">
        <f t="shared" si="1"/>
        <v>605.51513333333332</v>
      </c>
      <c r="AB19" s="365">
        <f t="shared" si="1"/>
        <v>605.51513333333332</v>
      </c>
      <c r="AC19" s="365">
        <f t="shared" si="1"/>
        <v>605.51513333333332</v>
      </c>
      <c r="AD19" s="365">
        <f t="shared" si="1"/>
        <v>605.51513333333332</v>
      </c>
      <c r="AE19" s="365">
        <f t="shared" si="1"/>
        <v>605.51513333333332</v>
      </c>
      <c r="AF19" s="365">
        <f t="shared" si="1"/>
        <v>605.51513333333332</v>
      </c>
      <c r="AG19" s="365">
        <f t="shared" si="1"/>
        <v>605.51513333333332</v>
      </c>
      <c r="AH19" s="365">
        <f t="shared" si="1"/>
        <v>605.51513333333332</v>
      </c>
      <c r="AI19" s="365">
        <f t="shared" si="1"/>
        <v>605.51513333333332</v>
      </c>
      <c r="AJ19" s="365">
        <f t="shared" si="1"/>
        <v>605.51513333333332</v>
      </c>
      <c r="AK19" s="365">
        <f t="shared" si="1"/>
        <v>605.51513333333332</v>
      </c>
      <c r="AL19" s="365">
        <f t="shared" si="2"/>
        <v>605.51513333333332</v>
      </c>
      <c r="AM19" s="365">
        <f t="shared" si="2"/>
        <v>605.51513333333332</v>
      </c>
      <c r="AN19" s="365">
        <f t="shared" si="2"/>
        <v>605.51513333333332</v>
      </c>
      <c r="AO19" s="365">
        <f t="shared" si="2"/>
        <v>605.51513333333332</v>
      </c>
      <c r="AP19" s="365">
        <f t="shared" si="2"/>
        <v>605.51513333333332</v>
      </c>
      <c r="AQ19" s="365">
        <f t="shared" si="2"/>
        <v>605.51513333333332</v>
      </c>
      <c r="AR19" s="365">
        <f t="shared" si="2"/>
        <v>605.51513333333332</v>
      </c>
      <c r="AS19" s="365">
        <f t="shared" si="2"/>
        <v>605.51513333333332</v>
      </c>
      <c r="AT19" s="365">
        <f t="shared" si="2"/>
        <v>605.51513333333332</v>
      </c>
      <c r="AU19" s="365">
        <f t="shared" si="2"/>
        <v>605.51513333333332</v>
      </c>
      <c r="AV19" s="365">
        <f t="shared" si="2"/>
        <v>605.51513333333332</v>
      </c>
      <c r="AW19" s="365">
        <f t="shared" si="2"/>
        <v>605.51513333333332</v>
      </c>
      <c r="AX19" s="365">
        <f t="shared" si="2"/>
        <v>605.51513333333332</v>
      </c>
      <c r="AY19" s="365">
        <f t="shared" si="2"/>
        <v>605.51513333333332</v>
      </c>
      <c r="AZ19" s="365">
        <f t="shared" si="2"/>
        <v>605.51513333333332</v>
      </c>
      <c r="BA19" s="365">
        <f t="shared" si="2"/>
        <v>605.51513333333332</v>
      </c>
      <c r="BB19" s="365">
        <f t="shared" si="3"/>
        <v>605.51513333333332</v>
      </c>
      <c r="BC19" s="365">
        <f t="shared" si="3"/>
        <v>605.51513333333332</v>
      </c>
      <c r="BD19" s="365">
        <f t="shared" si="3"/>
        <v>605.51513333333332</v>
      </c>
      <c r="BE19" s="365">
        <f t="shared" si="3"/>
        <v>605.51513333333332</v>
      </c>
      <c r="BF19" s="365">
        <f t="shared" si="3"/>
        <v>605.51513333333332</v>
      </c>
      <c r="BG19" s="365">
        <f t="shared" si="3"/>
        <v>605.51513333333332</v>
      </c>
      <c r="BH19" s="365">
        <f t="shared" si="3"/>
        <v>605.51513333333332</v>
      </c>
      <c r="BI19" s="365">
        <f t="shared" si="3"/>
        <v>605.51513333333332</v>
      </c>
      <c r="BJ19" s="365">
        <f t="shared" si="3"/>
        <v>605.51513333333332</v>
      </c>
      <c r="BK19" s="365">
        <f t="shared" si="3"/>
        <v>605.51513333333332</v>
      </c>
      <c r="BL19" s="365">
        <f t="shared" si="3"/>
        <v>605.51513333333332</v>
      </c>
      <c r="BM19" s="365">
        <f t="shared" si="3"/>
        <v>605.51513333333332</v>
      </c>
      <c r="BN19" s="365">
        <f t="shared" si="3"/>
        <v>605.51513333333332</v>
      </c>
      <c r="BO19" s="365">
        <f t="shared" si="3"/>
        <v>605.51513333333332</v>
      </c>
      <c r="BP19" s="365">
        <f t="shared" si="3"/>
        <v>605.51513333333332</v>
      </c>
      <c r="BQ19" s="365">
        <f t="shared" si="3"/>
        <v>605.51513333333332</v>
      </c>
      <c r="BR19" s="365">
        <f t="shared" si="4"/>
        <v>605.51513333333332</v>
      </c>
      <c r="BS19" s="365">
        <f t="shared" si="4"/>
        <v>605.51513333333332</v>
      </c>
      <c r="BT19" s="365">
        <f t="shared" si="4"/>
        <v>605.51513333333332</v>
      </c>
      <c r="BU19" s="365">
        <f t="shared" si="4"/>
        <v>605.51513333333332</v>
      </c>
      <c r="BV19" s="365">
        <f t="shared" si="4"/>
        <v>605.51513333333332</v>
      </c>
      <c r="BW19" s="365">
        <f t="shared" si="4"/>
        <v>605.51513333333332</v>
      </c>
      <c r="BX19" s="365">
        <f t="shared" si="4"/>
        <v>605.51513333333332</v>
      </c>
      <c r="BY19" s="365">
        <f t="shared" si="4"/>
        <v>605.51513333333332</v>
      </c>
      <c r="BZ19" s="365">
        <f t="shared" si="4"/>
        <v>605.51513333333332</v>
      </c>
      <c r="CA19" s="365">
        <f t="shared" si="4"/>
        <v>605.51513333333332</v>
      </c>
      <c r="CB19" s="365">
        <f t="shared" si="4"/>
        <v>605.51513333333332</v>
      </c>
      <c r="CC19" s="365">
        <f t="shared" si="4"/>
        <v>605.51513333333332</v>
      </c>
      <c r="CD19" s="365">
        <f t="shared" si="4"/>
        <v>605.51513333333332</v>
      </c>
      <c r="CE19" s="365">
        <f t="shared" si="4"/>
        <v>605.51513333333332</v>
      </c>
      <c r="CF19" s="365">
        <f t="shared" si="4"/>
        <v>605.51513333333332</v>
      </c>
      <c r="CG19" s="365">
        <f t="shared" si="4"/>
        <v>605.51513333333332</v>
      </c>
      <c r="CH19" s="365">
        <f t="shared" si="5"/>
        <v>605.51513333333332</v>
      </c>
      <c r="CI19" s="365">
        <f t="shared" si="5"/>
        <v>605.51513333333332</v>
      </c>
      <c r="CJ19" s="365">
        <f t="shared" si="5"/>
        <v>605.51513333333332</v>
      </c>
      <c r="CK19" s="365">
        <f t="shared" si="5"/>
        <v>605.51513333333332</v>
      </c>
      <c r="CL19" s="365">
        <f t="shared" si="5"/>
        <v>605.51513333333332</v>
      </c>
      <c r="CM19" s="365">
        <f t="shared" si="5"/>
        <v>605.51513333333332</v>
      </c>
      <c r="CN19" s="365">
        <f t="shared" si="5"/>
        <v>605.51513333333332</v>
      </c>
      <c r="CO19" s="365">
        <f t="shared" si="5"/>
        <v>605.51513333333332</v>
      </c>
      <c r="CP19" s="365">
        <f t="shared" si="5"/>
        <v>605.51513333333332</v>
      </c>
      <c r="CQ19" s="365">
        <f t="shared" si="5"/>
        <v>605.51513333333332</v>
      </c>
      <c r="CR19" s="365">
        <f t="shared" si="8"/>
        <v>93988.804999999935</v>
      </c>
    </row>
    <row r="20" spans="2:96">
      <c r="B20" s="456"/>
      <c r="C20" s="456"/>
      <c r="D20" s="361">
        <v>187516.91</v>
      </c>
      <c r="E20" s="361">
        <f t="shared" si="6"/>
        <v>1041.7606111111111</v>
      </c>
      <c r="F20" s="361">
        <f t="shared" si="7"/>
        <v>15</v>
      </c>
      <c r="G20" s="361">
        <v>180</v>
      </c>
      <c r="H20" s="362">
        <v>42547</v>
      </c>
      <c r="I20" s="363">
        <f t="shared" si="0"/>
        <v>48022</v>
      </c>
      <c r="J20" s="456"/>
      <c r="K20" s="364">
        <v>159937.47</v>
      </c>
      <c r="L20" s="365">
        <v>999.6</v>
      </c>
      <c r="M20" s="365">
        <v>999.6</v>
      </c>
      <c r="N20" s="365">
        <v>999.6</v>
      </c>
      <c r="O20" s="365">
        <v>999.6</v>
      </c>
      <c r="P20" s="365">
        <v>999.6</v>
      </c>
      <c r="Q20" s="365">
        <v>999.6</v>
      </c>
      <c r="R20" s="365">
        <v>999.6</v>
      </c>
      <c r="S20" s="365">
        <v>999.6</v>
      </c>
      <c r="T20" s="365">
        <v>999.6</v>
      </c>
      <c r="U20" s="365">
        <f t="shared" si="9"/>
        <v>1041.7606111111111</v>
      </c>
      <c r="V20" s="365">
        <f t="shared" si="1"/>
        <v>1041.7606111111111</v>
      </c>
      <c r="W20" s="365">
        <f t="shared" si="1"/>
        <v>1041.7606111111111</v>
      </c>
      <c r="X20" s="365">
        <f t="shared" si="1"/>
        <v>1041.7606111111111</v>
      </c>
      <c r="Y20" s="365">
        <f t="shared" si="1"/>
        <v>1041.7606111111111</v>
      </c>
      <c r="Z20" s="365">
        <f t="shared" si="1"/>
        <v>1041.7606111111111</v>
      </c>
      <c r="AA20" s="365">
        <f t="shared" si="1"/>
        <v>1041.7606111111111</v>
      </c>
      <c r="AB20" s="365">
        <f t="shared" si="1"/>
        <v>1041.7606111111111</v>
      </c>
      <c r="AC20" s="365">
        <f t="shared" si="1"/>
        <v>1041.7606111111111</v>
      </c>
      <c r="AD20" s="365">
        <f t="shared" si="1"/>
        <v>1041.7606111111111</v>
      </c>
      <c r="AE20" s="365">
        <f t="shared" si="1"/>
        <v>1041.7606111111111</v>
      </c>
      <c r="AF20" s="365">
        <f t="shared" si="1"/>
        <v>1041.7606111111111</v>
      </c>
      <c r="AG20" s="365">
        <f t="shared" si="1"/>
        <v>1041.7606111111111</v>
      </c>
      <c r="AH20" s="365">
        <f t="shared" si="1"/>
        <v>1041.7606111111111</v>
      </c>
      <c r="AI20" s="365">
        <f t="shared" si="1"/>
        <v>1041.7606111111111</v>
      </c>
      <c r="AJ20" s="365">
        <f t="shared" si="1"/>
        <v>1041.7606111111111</v>
      </c>
      <c r="AK20" s="365">
        <f t="shared" si="1"/>
        <v>1041.7606111111111</v>
      </c>
      <c r="AL20" s="365">
        <f t="shared" si="2"/>
        <v>1041.7606111111111</v>
      </c>
      <c r="AM20" s="365">
        <f t="shared" si="2"/>
        <v>1041.7606111111111</v>
      </c>
      <c r="AN20" s="365">
        <f t="shared" si="2"/>
        <v>1041.7606111111111</v>
      </c>
      <c r="AO20" s="365">
        <f t="shared" si="2"/>
        <v>1041.7606111111111</v>
      </c>
      <c r="AP20" s="365">
        <f t="shared" si="2"/>
        <v>1041.7606111111111</v>
      </c>
      <c r="AQ20" s="365">
        <f t="shared" si="2"/>
        <v>1041.7606111111111</v>
      </c>
      <c r="AR20" s="365">
        <f t="shared" si="2"/>
        <v>1041.7606111111111</v>
      </c>
      <c r="AS20" s="365">
        <f t="shared" si="2"/>
        <v>1041.7606111111111</v>
      </c>
      <c r="AT20" s="365">
        <f t="shared" si="2"/>
        <v>1041.7606111111111</v>
      </c>
      <c r="AU20" s="365">
        <f t="shared" si="2"/>
        <v>1041.7606111111111</v>
      </c>
      <c r="AV20" s="365">
        <f t="shared" si="2"/>
        <v>1041.7606111111111</v>
      </c>
      <c r="AW20" s="365">
        <f t="shared" si="2"/>
        <v>1041.7606111111111</v>
      </c>
      <c r="AX20" s="365">
        <f t="shared" si="2"/>
        <v>1041.7606111111111</v>
      </c>
      <c r="AY20" s="365">
        <f t="shared" si="2"/>
        <v>1041.7606111111111</v>
      </c>
      <c r="AZ20" s="365">
        <f t="shared" si="2"/>
        <v>1041.7606111111111</v>
      </c>
      <c r="BA20" s="365">
        <f t="shared" si="2"/>
        <v>1041.7606111111111</v>
      </c>
      <c r="BB20" s="365">
        <f t="shared" si="3"/>
        <v>1041.7606111111111</v>
      </c>
      <c r="BC20" s="365">
        <f t="shared" si="3"/>
        <v>1041.7606111111111</v>
      </c>
      <c r="BD20" s="365">
        <f t="shared" si="3"/>
        <v>1041.7606111111111</v>
      </c>
      <c r="BE20" s="365">
        <f t="shared" si="3"/>
        <v>1041.7606111111111</v>
      </c>
      <c r="BF20" s="365">
        <f t="shared" si="3"/>
        <v>1041.7606111111111</v>
      </c>
      <c r="BG20" s="365">
        <f t="shared" si="3"/>
        <v>1041.7606111111111</v>
      </c>
      <c r="BH20" s="365">
        <f t="shared" si="3"/>
        <v>1041.7606111111111</v>
      </c>
      <c r="BI20" s="365">
        <f t="shared" si="3"/>
        <v>1041.7606111111111</v>
      </c>
      <c r="BJ20" s="365">
        <f t="shared" si="3"/>
        <v>1041.7606111111111</v>
      </c>
      <c r="BK20" s="365">
        <f t="shared" si="3"/>
        <v>1041.7606111111111</v>
      </c>
      <c r="BL20" s="365">
        <f t="shared" si="3"/>
        <v>1041.7606111111111</v>
      </c>
      <c r="BM20" s="365">
        <f t="shared" si="3"/>
        <v>1041.7606111111111</v>
      </c>
      <c r="BN20" s="365">
        <f t="shared" si="3"/>
        <v>1041.7606111111111</v>
      </c>
      <c r="BO20" s="365">
        <f t="shared" si="3"/>
        <v>1041.7606111111111</v>
      </c>
      <c r="BP20" s="365">
        <f t="shared" si="3"/>
        <v>1041.7606111111111</v>
      </c>
      <c r="BQ20" s="365">
        <f t="shared" si="3"/>
        <v>1041.7606111111111</v>
      </c>
      <c r="BR20" s="365">
        <f t="shared" si="4"/>
        <v>1041.7606111111111</v>
      </c>
      <c r="BS20" s="365">
        <f t="shared" si="4"/>
        <v>1041.7606111111111</v>
      </c>
      <c r="BT20" s="365">
        <f t="shared" si="4"/>
        <v>1041.7606111111111</v>
      </c>
      <c r="BU20" s="365">
        <f t="shared" si="4"/>
        <v>1041.7606111111111</v>
      </c>
      <c r="BV20" s="365">
        <f t="shared" si="4"/>
        <v>1041.7606111111111</v>
      </c>
      <c r="BW20" s="365">
        <f t="shared" si="4"/>
        <v>1041.7606111111111</v>
      </c>
      <c r="BX20" s="365">
        <f t="shared" si="4"/>
        <v>1041.7606111111111</v>
      </c>
      <c r="BY20" s="365">
        <f t="shared" si="4"/>
        <v>1041.7606111111111</v>
      </c>
      <c r="BZ20" s="365">
        <f t="shared" si="4"/>
        <v>1041.7606111111111</v>
      </c>
      <c r="CA20" s="365">
        <f t="shared" si="4"/>
        <v>1041.7606111111111</v>
      </c>
      <c r="CB20" s="365">
        <f t="shared" si="4"/>
        <v>1041.7606111111111</v>
      </c>
      <c r="CC20" s="365">
        <f t="shared" si="4"/>
        <v>1041.7606111111111</v>
      </c>
      <c r="CD20" s="365">
        <f t="shared" si="4"/>
        <v>1041.7606111111111</v>
      </c>
      <c r="CE20" s="365">
        <f t="shared" si="4"/>
        <v>1041.7606111111111</v>
      </c>
      <c r="CF20" s="365">
        <f t="shared" si="4"/>
        <v>1041.7606111111111</v>
      </c>
      <c r="CG20" s="365">
        <f t="shared" si="4"/>
        <v>1041.7606111111111</v>
      </c>
      <c r="CH20" s="365">
        <f t="shared" si="5"/>
        <v>1041.7606111111111</v>
      </c>
      <c r="CI20" s="365">
        <f t="shared" si="5"/>
        <v>1041.7606111111111</v>
      </c>
      <c r="CJ20" s="365">
        <f t="shared" si="5"/>
        <v>1041.7606111111111</v>
      </c>
      <c r="CK20" s="365">
        <f t="shared" si="5"/>
        <v>1041.7606111111111</v>
      </c>
      <c r="CL20" s="365">
        <f t="shared" si="5"/>
        <v>1041.7606111111111</v>
      </c>
      <c r="CM20" s="365">
        <f t="shared" si="5"/>
        <v>1041.7606111111111</v>
      </c>
      <c r="CN20" s="365">
        <f t="shared" si="5"/>
        <v>1041.7606111111111</v>
      </c>
      <c r="CO20" s="365">
        <f t="shared" si="5"/>
        <v>1041.7606111111111</v>
      </c>
      <c r="CP20" s="365">
        <f t="shared" si="5"/>
        <v>1041.7606111111111</v>
      </c>
      <c r="CQ20" s="365">
        <f t="shared" si="5"/>
        <v>1041.7606111111111</v>
      </c>
      <c r="CR20" s="365">
        <f t="shared" si="8"/>
        <v>72809.024166666757</v>
      </c>
    </row>
    <row r="21" spans="2:96">
      <c r="B21" s="456"/>
      <c r="C21" s="456"/>
      <c r="D21" s="366">
        <v>2099</v>
      </c>
      <c r="E21" s="366">
        <f t="shared" si="6"/>
        <v>17.491666666666667</v>
      </c>
      <c r="F21" s="366">
        <f t="shared" si="7"/>
        <v>10</v>
      </c>
      <c r="G21" s="366">
        <v>120</v>
      </c>
      <c r="H21" s="367">
        <v>39975</v>
      </c>
      <c r="I21" s="368">
        <f t="shared" si="0"/>
        <v>43625</v>
      </c>
      <c r="J21" s="456"/>
      <c r="K21" s="369">
        <v>164.74</v>
      </c>
      <c r="L21" s="370">
        <v>16.47</v>
      </c>
      <c r="M21" s="370">
        <v>16.47</v>
      </c>
      <c r="N21" s="370">
        <v>16.47</v>
      </c>
      <c r="O21" s="370">
        <v>16.47</v>
      </c>
      <c r="P21" s="370">
        <v>16.47</v>
      </c>
      <c r="Q21" s="370">
        <v>16.47</v>
      </c>
      <c r="R21" s="370">
        <v>16.47</v>
      </c>
      <c r="S21" s="370">
        <v>16.47</v>
      </c>
      <c r="T21" s="370">
        <v>16.47</v>
      </c>
      <c r="U21" s="370">
        <v>16.47</v>
      </c>
      <c r="V21" s="370">
        <f t="shared" si="1"/>
        <v>0</v>
      </c>
      <c r="W21" s="370">
        <f t="shared" si="1"/>
        <v>0</v>
      </c>
      <c r="X21" s="370">
        <f t="shared" si="1"/>
        <v>0</v>
      </c>
      <c r="Y21" s="370">
        <f t="shared" si="1"/>
        <v>0</v>
      </c>
      <c r="Z21" s="370">
        <f t="shared" si="1"/>
        <v>0</v>
      </c>
      <c r="AA21" s="370">
        <f t="shared" si="1"/>
        <v>0</v>
      </c>
      <c r="AB21" s="370">
        <f t="shared" si="1"/>
        <v>0</v>
      </c>
      <c r="AC21" s="370">
        <f t="shared" si="1"/>
        <v>0</v>
      </c>
      <c r="AD21" s="370">
        <f t="shared" si="1"/>
        <v>0</v>
      </c>
      <c r="AE21" s="370">
        <f t="shared" si="1"/>
        <v>0</v>
      </c>
      <c r="AF21" s="370">
        <f t="shared" si="1"/>
        <v>0</v>
      </c>
      <c r="AG21" s="370">
        <f t="shared" si="1"/>
        <v>0</v>
      </c>
      <c r="AH21" s="370">
        <f t="shared" si="1"/>
        <v>0</v>
      </c>
      <c r="AI21" s="370">
        <f t="shared" si="1"/>
        <v>0</v>
      </c>
      <c r="AJ21" s="370">
        <f t="shared" si="1"/>
        <v>0</v>
      </c>
      <c r="AK21" s="370">
        <f t="shared" si="1"/>
        <v>0</v>
      </c>
      <c r="AL21" s="370">
        <f t="shared" si="2"/>
        <v>0</v>
      </c>
      <c r="AM21" s="370">
        <f t="shared" si="2"/>
        <v>0</v>
      </c>
      <c r="AN21" s="370">
        <f t="shared" si="2"/>
        <v>0</v>
      </c>
      <c r="AO21" s="370">
        <f t="shared" si="2"/>
        <v>0</v>
      </c>
      <c r="AP21" s="370">
        <f t="shared" si="2"/>
        <v>0</v>
      </c>
      <c r="AQ21" s="370">
        <f t="shared" si="2"/>
        <v>0</v>
      </c>
      <c r="AR21" s="370">
        <f t="shared" si="2"/>
        <v>0</v>
      </c>
      <c r="AS21" s="370">
        <f t="shared" si="2"/>
        <v>0</v>
      </c>
      <c r="AT21" s="370">
        <f t="shared" si="2"/>
        <v>0</v>
      </c>
      <c r="AU21" s="370">
        <f t="shared" si="2"/>
        <v>0</v>
      </c>
      <c r="AV21" s="370">
        <f t="shared" si="2"/>
        <v>0</v>
      </c>
      <c r="AW21" s="370">
        <f t="shared" si="2"/>
        <v>0</v>
      </c>
      <c r="AX21" s="370">
        <f t="shared" si="2"/>
        <v>0</v>
      </c>
      <c r="AY21" s="370">
        <f t="shared" si="2"/>
        <v>0</v>
      </c>
      <c r="AZ21" s="370">
        <f t="shared" si="2"/>
        <v>0</v>
      </c>
      <c r="BA21" s="370">
        <f t="shared" si="2"/>
        <v>0</v>
      </c>
      <c r="BB21" s="370">
        <f t="shared" si="3"/>
        <v>0</v>
      </c>
      <c r="BC21" s="370">
        <f t="shared" si="3"/>
        <v>0</v>
      </c>
      <c r="BD21" s="370">
        <f t="shared" si="3"/>
        <v>0</v>
      </c>
      <c r="BE21" s="370">
        <f t="shared" si="3"/>
        <v>0</v>
      </c>
      <c r="BF21" s="370">
        <f t="shared" si="3"/>
        <v>0</v>
      </c>
      <c r="BG21" s="370">
        <f t="shared" si="3"/>
        <v>0</v>
      </c>
      <c r="BH21" s="370">
        <f t="shared" si="3"/>
        <v>0</v>
      </c>
      <c r="BI21" s="370">
        <f t="shared" si="3"/>
        <v>0</v>
      </c>
      <c r="BJ21" s="370">
        <f t="shared" si="3"/>
        <v>0</v>
      </c>
      <c r="BK21" s="370">
        <f t="shared" si="3"/>
        <v>0</v>
      </c>
      <c r="BL21" s="370">
        <f t="shared" si="3"/>
        <v>0</v>
      </c>
      <c r="BM21" s="370">
        <f t="shared" si="3"/>
        <v>0</v>
      </c>
      <c r="BN21" s="370">
        <f t="shared" si="3"/>
        <v>0</v>
      </c>
      <c r="BO21" s="370">
        <f t="shared" si="3"/>
        <v>0</v>
      </c>
      <c r="BP21" s="370">
        <f t="shared" si="3"/>
        <v>0</v>
      </c>
      <c r="BQ21" s="370">
        <f t="shared" si="3"/>
        <v>0</v>
      </c>
      <c r="BR21" s="370">
        <f t="shared" si="4"/>
        <v>0</v>
      </c>
      <c r="BS21" s="370">
        <f t="shared" si="4"/>
        <v>0</v>
      </c>
      <c r="BT21" s="370">
        <f t="shared" si="4"/>
        <v>0</v>
      </c>
      <c r="BU21" s="370">
        <f t="shared" si="4"/>
        <v>0</v>
      </c>
      <c r="BV21" s="370">
        <f t="shared" si="4"/>
        <v>0</v>
      </c>
      <c r="BW21" s="370">
        <f t="shared" si="4"/>
        <v>0</v>
      </c>
      <c r="BX21" s="370">
        <f t="shared" si="4"/>
        <v>0</v>
      </c>
      <c r="BY21" s="370">
        <f t="shared" si="4"/>
        <v>0</v>
      </c>
      <c r="BZ21" s="370">
        <f t="shared" si="4"/>
        <v>0</v>
      </c>
      <c r="CA21" s="370">
        <f t="shared" si="4"/>
        <v>0</v>
      </c>
      <c r="CB21" s="370">
        <f t="shared" si="4"/>
        <v>0</v>
      </c>
      <c r="CC21" s="370">
        <f t="shared" si="4"/>
        <v>0</v>
      </c>
      <c r="CD21" s="370">
        <f t="shared" si="4"/>
        <v>0</v>
      </c>
      <c r="CE21" s="370">
        <f t="shared" si="4"/>
        <v>0</v>
      </c>
      <c r="CF21" s="370">
        <f t="shared" si="4"/>
        <v>0</v>
      </c>
      <c r="CG21" s="370">
        <f t="shared" si="4"/>
        <v>0</v>
      </c>
      <c r="CH21" s="370">
        <f t="shared" si="5"/>
        <v>0</v>
      </c>
      <c r="CI21" s="370">
        <f t="shared" si="5"/>
        <v>0</v>
      </c>
      <c r="CJ21" s="370">
        <f t="shared" si="5"/>
        <v>0</v>
      </c>
      <c r="CK21" s="370">
        <f t="shared" si="5"/>
        <v>0</v>
      </c>
      <c r="CL21" s="370">
        <f t="shared" si="5"/>
        <v>0</v>
      </c>
      <c r="CM21" s="370">
        <f t="shared" si="5"/>
        <v>0</v>
      </c>
      <c r="CN21" s="370">
        <f t="shared" si="5"/>
        <v>0</v>
      </c>
      <c r="CO21" s="370">
        <f t="shared" si="5"/>
        <v>0</v>
      </c>
      <c r="CP21" s="370">
        <f t="shared" si="5"/>
        <v>0</v>
      </c>
      <c r="CQ21" s="370">
        <f t="shared" si="5"/>
        <v>0</v>
      </c>
      <c r="CR21" s="370">
        <f t="shared" si="8"/>
        <v>4.0000000000020464E-2</v>
      </c>
    </row>
    <row r="22" spans="2:96">
      <c r="B22" s="456"/>
      <c r="C22" s="456"/>
      <c r="D22" s="366">
        <v>15582.98</v>
      </c>
      <c r="E22" s="366">
        <f t="shared" si="6"/>
        <v>259.71633333333335</v>
      </c>
      <c r="F22" s="366">
        <f t="shared" si="7"/>
        <v>5</v>
      </c>
      <c r="G22" s="366">
        <v>60</v>
      </c>
      <c r="H22" s="367">
        <v>42673</v>
      </c>
      <c r="I22" s="368">
        <f t="shared" si="0"/>
        <v>44498</v>
      </c>
      <c r="J22" s="456"/>
      <c r="K22" s="369">
        <v>9673.1299999999992</v>
      </c>
      <c r="L22" s="370">
        <v>254.82</v>
      </c>
      <c r="M22" s="370">
        <v>254.82</v>
      </c>
      <c r="N22" s="370">
        <v>254.82</v>
      </c>
      <c r="O22" s="370">
        <v>254.82</v>
      </c>
      <c r="P22" s="370">
        <v>254.82</v>
      </c>
      <c r="Q22" s="370">
        <v>254.82</v>
      </c>
      <c r="R22" s="370">
        <v>254.82</v>
      </c>
      <c r="S22" s="370">
        <v>254.82</v>
      </c>
      <c r="T22" s="370">
        <v>254.82</v>
      </c>
      <c r="U22" s="370">
        <f>IF($I22&gt;U$7-30,$E22,0)</f>
        <v>259.71633333333335</v>
      </c>
      <c r="V22" s="370">
        <f t="shared" si="1"/>
        <v>259.71633333333335</v>
      </c>
      <c r="W22" s="370">
        <f t="shared" si="1"/>
        <v>259.71633333333335</v>
      </c>
      <c r="X22" s="370">
        <f t="shared" si="1"/>
        <v>259.71633333333335</v>
      </c>
      <c r="Y22" s="370">
        <f t="shared" si="1"/>
        <v>259.71633333333335</v>
      </c>
      <c r="Z22" s="370">
        <f t="shared" si="1"/>
        <v>259.71633333333335</v>
      </c>
      <c r="AA22" s="370">
        <f t="shared" si="1"/>
        <v>259.71633333333335</v>
      </c>
      <c r="AB22" s="370">
        <f t="shared" si="1"/>
        <v>259.71633333333335</v>
      </c>
      <c r="AC22" s="370">
        <f t="shared" si="1"/>
        <v>259.71633333333335</v>
      </c>
      <c r="AD22" s="370">
        <f t="shared" si="1"/>
        <v>259.71633333333335</v>
      </c>
      <c r="AE22" s="370">
        <f t="shared" si="1"/>
        <v>259.71633333333335</v>
      </c>
      <c r="AF22" s="370">
        <f t="shared" si="1"/>
        <v>259.71633333333335</v>
      </c>
      <c r="AG22" s="370">
        <f t="shared" si="1"/>
        <v>259.71633333333335</v>
      </c>
      <c r="AH22" s="370">
        <f t="shared" si="1"/>
        <v>259.71633333333335</v>
      </c>
      <c r="AI22" s="370">
        <f t="shared" si="1"/>
        <v>259.71633333333335</v>
      </c>
      <c r="AJ22" s="370">
        <f t="shared" si="1"/>
        <v>259.71633333333335</v>
      </c>
      <c r="AK22" s="370">
        <f t="shared" si="1"/>
        <v>259.71633333333335</v>
      </c>
      <c r="AL22" s="370">
        <f t="shared" si="2"/>
        <v>259.71633333333335</v>
      </c>
      <c r="AM22" s="370">
        <f t="shared" si="2"/>
        <v>259.71633333333335</v>
      </c>
      <c r="AN22" s="370">
        <f t="shared" si="2"/>
        <v>259.71633333333335</v>
      </c>
      <c r="AO22" s="370">
        <f t="shared" si="2"/>
        <v>259.71633333333335</v>
      </c>
      <c r="AP22" s="370">
        <f t="shared" si="2"/>
        <v>259.71633333333335</v>
      </c>
      <c r="AQ22" s="370">
        <f t="shared" si="2"/>
        <v>259.71633333333335</v>
      </c>
      <c r="AR22" s="370">
        <f t="shared" si="2"/>
        <v>259.71633333333335</v>
      </c>
      <c r="AS22" s="370">
        <f t="shared" si="2"/>
        <v>259.71633333333335</v>
      </c>
      <c r="AT22" s="370">
        <f t="shared" si="2"/>
        <v>259.71633333333335</v>
      </c>
      <c r="AU22" s="370">
        <f t="shared" si="2"/>
        <v>259.71633333333335</v>
      </c>
      <c r="AV22" s="370">
        <f t="shared" si="2"/>
        <v>259.71633333333335</v>
      </c>
      <c r="AW22" s="370">
        <v>107.69</v>
      </c>
      <c r="AX22" s="370">
        <f t="shared" si="2"/>
        <v>0</v>
      </c>
      <c r="AY22" s="370">
        <f t="shared" si="2"/>
        <v>0</v>
      </c>
      <c r="AZ22" s="370">
        <f t="shared" si="2"/>
        <v>0</v>
      </c>
      <c r="BA22" s="370">
        <f t="shared" si="2"/>
        <v>0</v>
      </c>
      <c r="BB22" s="370">
        <f t="shared" si="3"/>
        <v>0</v>
      </c>
      <c r="BC22" s="370">
        <f t="shared" si="3"/>
        <v>0</v>
      </c>
      <c r="BD22" s="370">
        <f t="shared" si="3"/>
        <v>0</v>
      </c>
      <c r="BE22" s="370">
        <f t="shared" si="3"/>
        <v>0</v>
      </c>
      <c r="BF22" s="370">
        <f t="shared" si="3"/>
        <v>0</v>
      </c>
      <c r="BG22" s="370">
        <f t="shared" si="3"/>
        <v>0</v>
      </c>
      <c r="BH22" s="370">
        <f t="shared" si="3"/>
        <v>0</v>
      </c>
      <c r="BI22" s="370">
        <f t="shared" si="3"/>
        <v>0</v>
      </c>
      <c r="BJ22" s="370">
        <f t="shared" si="3"/>
        <v>0</v>
      </c>
      <c r="BK22" s="370">
        <f t="shared" si="3"/>
        <v>0</v>
      </c>
      <c r="BL22" s="370">
        <f t="shared" si="3"/>
        <v>0</v>
      </c>
      <c r="BM22" s="370">
        <f t="shared" si="3"/>
        <v>0</v>
      </c>
      <c r="BN22" s="370">
        <f t="shared" si="3"/>
        <v>0</v>
      </c>
      <c r="BO22" s="370">
        <f t="shared" si="3"/>
        <v>0</v>
      </c>
      <c r="BP22" s="370">
        <f t="shared" si="3"/>
        <v>0</v>
      </c>
      <c r="BQ22" s="370">
        <f t="shared" si="3"/>
        <v>0</v>
      </c>
      <c r="BR22" s="370">
        <f t="shared" si="4"/>
        <v>0</v>
      </c>
      <c r="BS22" s="370">
        <f t="shared" si="4"/>
        <v>0</v>
      </c>
      <c r="BT22" s="370">
        <f t="shared" si="4"/>
        <v>0</v>
      </c>
      <c r="BU22" s="370">
        <f t="shared" si="4"/>
        <v>0</v>
      </c>
      <c r="BV22" s="370">
        <f t="shared" si="4"/>
        <v>0</v>
      </c>
      <c r="BW22" s="370">
        <f t="shared" si="4"/>
        <v>0</v>
      </c>
      <c r="BX22" s="370">
        <f t="shared" si="4"/>
        <v>0</v>
      </c>
      <c r="BY22" s="370">
        <f t="shared" si="4"/>
        <v>0</v>
      </c>
      <c r="BZ22" s="370">
        <f t="shared" si="4"/>
        <v>0</v>
      </c>
      <c r="CA22" s="370">
        <f t="shared" si="4"/>
        <v>0</v>
      </c>
      <c r="CB22" s="370">
        <f t="shared" si="4"/>
        <v>0</v>
      </c>
      <c r="CC22" s="370">
        <f t="shared" si="4"/>
        <v>0</v>
      </c>
      <c r="CD22" s="370">
        <f t="shared" si="4"/>
        <v>0</v>
      </c>
      <c r="CE22" s="370">
        <f t="shared" si="4"/>
        <v>0</v>
      </c>
      <c r="CF22" s="370">
        <f t="shared" si="4"/>
        <v>0</v>
      </c>
      <c r="CG22" s="370">
        <f t="shared" si="4"/>
        <v>0</v>
      </c>
      <c r="CH22" s="370">
        <f t="shared" si="5"/>
        <v>0</v>
      </c>
      <c r="CI22" s="370">
        <f t="shared" si="5"/>
        <v>0</v>
      </c>
      <c r="CJ22" s="370">
        <f t="shared" si="5"/>
        <v>0</v>
      </c>
      <c r="CK22" s="370">
        <f t="shared" si="5"/>
        <v>0</v>
      </c>
      <c r="CL22" s="370">
        <f t="shared" si="5"/>
        <v>0</v>
      </c>
      <c r="CM22" s="370">
        <f t="shared" si="5"/>
        <v>0</v>
      </c>
      <c r="CN22" s="370">
        <f t="shared" si="5"/>
        <v>0</v>
      </c>
      <c r="CO22" s="370">
        <f t="shared" si="5"/>
        <v>0</v>
      </c>
      <c r="CP22" s="370">
        <f t="shared" si="5"/>
        <v>0</v>
      </c>
      <c r="CQ22" s="370">
        <f t="shared" si="5"/>
        <v>0</v>
      </c>
      <c r="CR22" s="370">
        <f t="shared" si="8"/>
        <v>2.6666666581149912E-3</v>
      </c>
    </row>
    <row r="23" spans="2:96">
      <c r="B23" s="456"/>
      <c r="C23" s="456"/>
      <c r="D23" s="366">
        <v>5421.27</v>
      </c>
      <c r="E23" s="366">
        <f t="shared" si="6"/>
        <v>90.354500000000002</v>
      </c>
      <c r="F23" s="366">
        <f t="shared" si="7"/>
        <v>5</v>
      </c>
      <c r="G23" s="366">
        <v>60</v>
      </c>
      <c r="H23" s="367">
        <v>42856</v>
      </c>
      <c r="I23" s="368">
        <f t="shared" si="0"/>
        <v>44681</v>
      </c>
      <c r="J23" s="456"/>
      <c r="K23" s="369">
        <v>4608.12</v>
      </c>
      <c r="L23" s="370">
        <v>90.35</v>
      </c>
      <c r="M23" s="370">
        <v>90.35</v>
      </c>
      <c r="N23" s="370">
        <v>90.35</v>
      </c>
      <c r="O23" s="370">
        <v>90.35</v>
      </c>
      <c r="P23" s="370">
        <v>90.35</v>
      </c>
      <c r="Q23" s="370">
        <v>90.35</v>
      </c>
      <c r="R23" s="370">
        <v>90.35</v>
      </c>
      <c r="S23" s="370">
        <v>90.35</v>
      </c>
      <c r="T23" s="370">
        <v>90.35</v>
      </c>
      <c r="U23" s="370">
        <f>IF($I23&gt;U$7-30,$E23,0)</f>
        <v>90.354500000000002</v>
      </c>
      <c r="V23" s="370">
        <f t="shared" si="1"/>
        <v>90.354500000000002</v>
      </c>
      <c r="W23" s="370">
        <f t="shared" si="1"/>
        <v>90.354500000000002</v>
      </c>
      <c r="X23" s="370">
        <f t="shared" si="1"/>
        <v>90.354500000000002</v>
      </c>
      <c r="Y23" s="370">
        <f t="shared" si="1"/>
        <v>90.354500000000002</v>
      </c>
      <c r="Z23" s="370">
        <f t="shared" si="1"/>
        <v>90.354500000000002</v>
      </c>
      <c r="AA23" s="370">
        <f t="shared" si="1"/>
        <v>90.354500000000002</v>
      </c>
      <c r="AB23" s="370">
        <f t="shared" si="1"/>
        <v>90.354500000000002</v>
      </c>
      <c r="AC23" s="370">
        <f t="shared" si="1"/>
        <v>90.354500000000002</v>
      </c>
      <c r="AD23" s="370">
        <f t="shared" si="1"/>
        <v>90.354500000000002</v>
      </c>
      <c r="AE23" s="370">
        <f t="shared" si="1"/>
        <v>90.354500000000002</v>
      </c>
      <c r="AF23" s="370">
        <f t="shared" si="1"/>
        <v>90.354500000000002</v>
      </c>
      <c r="AG23" s="370">
        <f t="shared" si="1"/>
        <v>90.354500000000002</v>
      </c>
      <c r="AH23" s="370">
        <f t="shared" si="1"/>
        <v>90.354500000000002</v>
      </c>
      <c r="AI23" s="370">
        <f t="shared" si="1"/>
        <v>90.354500000000002</v>
      </c>
      <c r="AJ23" s="370">
        <f t="shared" si="1"/>
        <v>90.354500000000002</v>
      </c>
      <c r="AK23" s="370">
        <f t="shared" si="1"/>
        <v>90.354500000000002</v>
      </c>
      <c r="AL23" s="370">
        <f t="shared" si="2"/>
        <v>90.354500000000002</v>
      </c>
      <c r="AM23" s="370">
        <f t="shared" si="2"/>
        <v>90.354500000000002</v>
      </c>
      <c r="AN23" s="370">
        <f t="shared" si="2"/>
        <v>90.354500000000002</v>
      </c>
      <c r="AO23" s="370">
        <f t="shared" si="2"/>
        <v>90.354500000000002</v>
      </c>
      <c r="AP23" s="370">
        <f t="shared" si="2"/>
        <v>90.354500000000002</v>
      </c>
      <c r="AQ23" s="370">
        <f t="shared" si="2"/>
        <v>90.354500000000002</v>
      </c>
      <c r="AR23" s="370">
        <f t="shared" si="2"/>
        <v>90.354500000000002</v>
      </c>
      <c r="AS23" s="370">
        <f t="shared" si="2"/>
        <v>90.354500000000002</v>
      </c>
      <c r="AT23" s="370">
        <f t="shared" si="2"/>
        <v>90.354500000000002</v>
      </c>
      <c r="AU23" s="370">
        <f t="shared" si="2"/>
        <v>90.354500000000002</v>
      </c>
      <c r="AV23" s="370">
        <f t="shared" si="2"/>
        <v>90.354500000000002</v>
      </c>
      <c r="AW23" s="370">
        <f t="shared" si="2"/>
        <v>90.354500000000002</v>
      </c>
      <c r="AX23" s="370">
        <f t="shared" si="2"/>
        <v>90.354500000000002</v>
      </c>
      <c r="AY23" s="370">
        <f t="shared" si="2"/>
        <v>90.354500000000002</v>
      </c>
      <c r="AZ23" s="370">
        <f t="shared" si="2"/>
        <v>90.354500000000002</v>
      </c>
      <c r="BA23" s="370">
        <f t="shared" si="2"/>
        <v>90.354500000000002</v>
      </c>
      <c r="BB23" s="370">
        <f t="shared" si="3"/>
        <v>90.354500000000002</v>
      </c>
      <c r="BC23" s="370">
        <v>90.354500000000002</v>
      </c>
      <c r="BD23" s="370">
        <v>90.354500000000002</v>
      </c>
      <c r="BE23" s="370">
        <v>90.354500000000002</v>
      </c>
      <c r="BF23" s="370">
        <v>90.354500000000002</v>
      </c>
      <c r="BG23" s="370">
        <v>90.354500000000002</v>
      </c>
      <c r="BH23" s="370">
        <v>90.354500000000002</v>
      </c>
      <c r="BI23" s="370">
        <v>90.354500000000002</v>
      </c>
      <c r="BJ23" s="370">
        <v>90.354500000000002</v>
      </c>
      <c r="BK23" s="370">
        <f t="shared" si="3"/>
        <v>0</v>
      </c>
      <c r="BL23" s="370">
        <f t="shared" si="3"/>
        <v>0</v>
      </c>
      <c r="BM23" s="370">
        <f t="shared" si="3"/>
        <v>0</v>
      </c>
      <c r="BN23" s="370">
        <f t="shared" si="3"/>
        <v>0</v>
      </c>
      <c r="BO23" s="370">
        <f t="shared" si="3"/>
        <v>0</v>
      </c>
      <c r="BP23" s="370">
        <f t="shared" si="3"/>
        <v>0</v>
      </c>
      <c r="BQ23" s="370">
        <f t="shared" si="3"/>
        <v>0</v>
      </c>
      <c r="BR23" s="370">
        <f t="shared" si="4"/>
        <v>0</v>
      </c>
      <c r="BS23" s="370">
        <f t="shared" si="4"/>
        <v>0</v>
      </c>
      <c r="BT23" s="370">
        <f t="shared" si="4"/>
        <v>0</v>
      </c>
      <c r="BU23" s="370">
        <f t="shared" si="4"/>
        <v>0</v>
      </c>
      <c r="BV23" s="370">
        <f t="shared" si="4"/>
        <v>0</v>
      </c>
      <c r="BW23" s="370">
        <f t="shared" si="4"/>
        <v>0</v>
      </c>
      <c r="BX23" s="370">
        <f t="shared" si="4"/>
        <v>0</v>
      </c>
      <c r="BY23" s="370">
        <f t="shared" si="4"/>
        <v>0</v>
      </c>
      <c r="BZ23" s="370">
        <f t="shared" si="4"/>
        <v>0</v>
      </c>
      <c r="CA23" s="370">
        <f t="shared" si="4"/>
        <v>0</v>
      </c>
      <c r="CB23" s="370">
        <f t="shared" si="4"/>
        <v>0</v>
      </c>
      <c r="CC23" s="370">
        <f t="shared" si="4"/>
        <v>0</v>
      </c>
      <c r="CD23" s="370">
        <f t="shared" si="4"/>
        <v>0</v>
      </c>
      <c r="CE23" s="370">
        <f t="shared" si="4"/>
        <v>0</v>
      </c>
      <c r="CF23" s="370">
        <f t="shared" si="4"/>
        <v>0</v>
      </c>
      <c r="CG23" s="370">
        <f t="shared" si="4"/>
        <v>0</v>
      </c>
      <c r="CH23" s="370">
        <f t="shared" si="5"/>
        <v>0</v>
      </c>
      <c r="CI23" s="370">
        <f t="shared" si="5"/>
        <v>0</v>
      </c>
      <c r="CJ23" s="370">
        <f t="shared" si="5"/>
        <v>0</v>
      </c>
      <c r="CK23" s="370">
        <f t="shared" si="5"/>
        <v>0</v>
      </c>
      <c r="CL23" s="370">
        <f t="shared" si="5"/>
        <v>0</v>
      </c>
      <c r="CM23" s="370">
        <f t="shared" si="5"/>
        <v>0</v>
      </c>
      <c r="CN23" s="370">
        <f t="shared" si="5"/>
        <v>0</v>
      </c>
      <c r="CO23" s="370">
        <f t="shared" si="5"/>
        <v>0</v>
      </c>
      <c r="CP23" s="370">
        <f t="shared" si="5"/>
        <v>0</v>
      </c>
      <c r="CQ23" s="370">
        <f t="shared" si="5"/>
        <v>0</v>
      </c>
      <c r="CR23" s="370">
        <f t="shared" si="8"/>
        <v>8.1000000000130967E-2</v>
      </c>
    </row>
    <row r="24" spans="2:96">
      <c r="B24" s="456"/>
      <c r="C24" s="456"/>
      <c r="D24" s="366">
        <v>9789.4699999999993</v>
      </c>
      <c r="E24" s="366">
        <f t="shared" si="6"/>
        <v>163.15783333333331</v>
      </c>
      <c r="F24" s="366">
        <f t="shared" si="7"/>
        <v>5</v>
      </c>
      <c r="G24" s="366">
        <v>60</v>
      </c>
      <c r="H24" s="367">
        <v>43373</v>
      </c>
      <c r="I24" s="368">
        <f>H24+F24*365</f>
        <v>45198</v>
      </c>
      <c r="J24" s="456"/>
      <c r="K24" s="369">
        <v>9789.4699999999993</v>
      </c>
      <c r="L24" s="370">
        <v>163.15</v>
      </c>
      <c r="M24" s="370">
        <v>163.15</v>
      </c>
      <c r="N24" s="370">
        <v>163.15</v>
      </c>
      <c r="O24" s="370">
        <v>163.15</v>
      </c>
      <c r="P24" s="370">
        <v>163.15</v>
      </c>
      <c r="Q24" s="370">
        <v>163.15</v>
      </c>
      <c r="R24" s="370">
        <v>163.15</v>
      </c>
      <c r="S24" s="370">
        <v>163.15</v>
      </c>
      <c r="T24" s="370">
        <v>163.15</v>
      </c>
      <c r="U24" s="370">
        <f>IF($I24&gt;U$7-30,$E24,0)</f>
        <v>163.15783333333331</v>
      </c>
      <c r="V24" s="370">
        <f t="shared" ref="V24:CG28" si="10">IF($I24&gt;V$7-30,$E24,0)</f>
        <v>163.15783333333331</v>
      </c>
      <c r="W24" s="370">
        <f t="shared" si="10"/>
        <v>163.15783333333331</v>
      </c>
      <c r="X24" s="370">
        <f t="shared" si="10"/>
        <v>163.15783333333331</v>
      </c>
      <c r="Y24" s="370">
        <f t="shared" si="10"/>
        <v>163.15783333333331</v>
      </c>
      <c r="Z24" s="370">
        <f t="shared" si="10"/>
        <v>163.15783333333331</v>
      </c>
      <c r="AA24" s="370">
        <f t="shared" si="10"/>
        <v>163.15783333333331</v>
      </c>
      <c r="AB24" s="370">
        <f t="shared" si="10"/>
        <v>163.15783333333331</v>
      </c>
      <c r="AC24" s="370">
        <f t="shared" si="10"/>
        <v>163.15783333333331</v>
      </c>
      <c r="AD24" s="370">
        <f t="shared" si="10"/>
        <v>163.15783333333331</v>
      </c>
      <c r="AE24" s="370">
        <f t="shared" si="10"/>
        <v>163.15783333333331</v>
      </c>
      <c r="AF24" s="370">
        <f t="shared" si="10"/>
        <v>163.15783333333331</v>
      </c>
      <c r="AG24" s="370">
        <f t="shared" si="10"/>
        <v>163.15783333333331</v>
      </c>
      <c r="AH24" s="370">
        <f t="shared" si="10"/>
        <v>163.15783333333331</v>
      </c>
      <c r="AI24" s="370">
        <f t="shared" si="10"/>
        <v>163.15783333333331</v>
      </c>
      <c r="AJ24" s="370">
        <f t="shared" si="10"/>
        <v>163.15783333333331</v>
      </c>
      <c r="AK24" s="370">
        <f t="shared" si="10"/>
        <v>163.15783333333331</v>
      </c>
      <c r="AL24" s="370">
        <f t="shared" si="10"/>
        <v>163.15783333333331</v>
      </c>
      <c r="AM24" s="370">
        <f t="shared" si="10"/>
        <v>163.15783333333331</v>
      </c>
      <c r="AN24" s="370">
        <f t="shared" si="10"/>
        <v>163.15783333333331</v>
      </c>
      <c r="AO24" s="370">
        <f t="shared" si="10"/>
        <v>163.15783333333331</v>
      </c>
      <c r="AP24" s="370">
        <f t="shared" si="10"/>
        <v>163.15783333333331</v>
      </c>
      <c r="AQ24" s="370">
        <f t="shared" si="10"/>
        <v>163.15783333333331</v>
      </c>
      <c r="AR24" s="370">
        <f t="shared" si="10"/>
        <v>163.15783333333331</v>
      </c>
      <c r="AS24" s="370">
        <f t="shared" si="10"/>
        <v>163.15783333333331</v>
      </c>
      <c r="AT24" s="370">
        <f t="shared" si="10"/>
        <v>163.15783333333331</v>
      </c>
      <c r="AU24" s="370">
        <f t="shared" si="10"/>
        <v>163.15783333333331</v>
      </c>
      <c r="AV24" s="370">
        <f t="shared" si="10"/>
        <v>163.15783333333331</v>
      </c>
      <c r="AW24" s="370">
        <f t="shared" si="10"/>
        <v>163.15783333333331</v>
      </c>
      <c r="AX24" s="370">
        <f t="shared" si="10"/>
        <v>163.15783333333331</v>
      </c>
      <c r="AY24" s="370">
        <f t="shared" si="10"/>
        <v>163.15783333333331</v>
      </c>
      <c r="AZ24" s="370">
        <f t="shared" si="10"/>
        <v>163.15783333333331</v>
      </c>
      <c r="BA24" s="370">
        <f t="shared" si="10"/>
        <v>163.15783333333331</v>
      </c>
      <c r="BB24" s="370">
        <f t="shared" si="10"/>
        <v>163.15783333333331</v>
      </c>
      <c r="BC24" s="370">
        <f t="shared" si="10"/>
        <v>163.15783333333331</v>
      </c>
      <c r="BD24" s="370">
        <f t="shared" si="10"/>
        <v>163.15783333333331</v>
      </c>
      <c r="BE24" s="370">
        <f t="shared" si="10"/>
        <v>163.15783333333331</v>
      </c>
      <c r="BF24" s="370">
        <f t="shared" si="10"/>
        <v>163.15783333333331</v>
      </c>
      <c r="BG24" s="370">
        <f t="shared" si="10"/>
        <v>163.15783333333331</v>
      </c>
      <c r="BH24" s="370">
        <f t="shared" si="10"/>
        <v>163.15783333333331</v>
      </c>
      <c r="BI24" s="370">
        <f t="shared" si="10"/>
        <v>163.15783333333331</v>
      </c>
      <c r="BJ24" s="370">
        <f t="shared" si="10"/>
        <v>163.15783333333331</v>
      </c>
      <c r="BK24" s="370">
        <f t="shared" si="10"/>
        <v>163.15783333333331</v>
      </c>
      <c r="BL24" s="370">
        <f t="shared" si="10"/>
        <v>163.15783333333331</v>
      </c>
      <c r="BM24" s="370">
        <f t="shared" si="10"/>
        <v>163.15783333333331</v>
      </c>
      <c r="BN24" s="370">
        <f t="shared" si="10"/>
        <v>163.15783333333331</v>
      </c>
      <c r="BO24" s="370">
        <f t="shared" si="10"/>
        <v>163.15783333333331</v>
      </c>
      <c r="BP24" s="370">
        <f t="shared" si="10"/>
        <v>163.15783333333331</v>
      </c>
      <c r="BQ24" s="370">
        <f t="shared" si="10"/>
        <v>163.15783333333331</v>
      </c>
      <c r="BR24" s="370">
        <f t="shared" si="10"/>
        <v>163.15783333333331</v>
      </c>
      <c r="BS24" s="370">
        <f t="shared" si="10"/>
        <v>163.15783333333331</v>
      </c>
      <c r="BT24" s="370">
        <f t="shared" si="10"/>
        <v>0</v>
      </c>
      <c r="BU24" s="370">
        <f t="shared" si="10"/>
        <v>0</v>
      </c>
      <c r="BV24" s="370">
        <f t="shared" si="10"/>
        <v>0</v>
      </c>
      <c r="BW24" s="370">
        <f t="shared" si="10"/>
        <v>0</v>
      </c>
      <c r="BX24" s="370">
        <f t="shared" si="10"/>
        <v>0</v>
      </c>
      <c r="BY24" s="370">
        <f t="shared" si="10"/>
        <v>0</v>
      </c>
      <c r="BZ24" s="370">
        <f t="shared" si="10"/>
        <v>0</v>
      </c>
      <c r="CA24" s="370">
        <f t="shared" si="10"/>
        <v>0</v>
      </c>
      <c r="CB24" s="370">
        <f t="shared" si="10"/>
        <v>0</v>
      </c>
      <c r="CC24" s="370">
        <f t="shared" si="10"/>
        <v>0</v>
      </c>
      <c r="CD24" s="370">
        <f t="shared" si="10"/>
        <v>0</v>
      </c>
      <c r="CE24" s="370">
        <f t="shared" si="10"/>
        <v>0</v>
      </c>
      <c r="CF24" s="370">
        <f t="shared" si="10"/>
        <v>0</v>
      </c>
      <c r="CG24" s="370">
        <f t="shared" si="10"/>
        <v>0</v>
      </c>
      <c r="CH24" s="370">
        <f t="shared" ref="CG24:CQ39" si="11">IF($I24&gt;CH$7-30,$E24,0)</f>
        <v>0</v>
      </c>
      <c r="CI24" s="370">
        <f t="shared" si="11"/>
        <v>0</v>
      </c>
      <c r="CJ24" s="370">
        <f t="shared" si="11"/>
        <v>0</v>
      </c>
      <c r="CK24" s="370">
        <f t="shared" si="11"/>
        <v>0</v>
      </c>
      <c r="CL24" s="370">
        <f t="shared" si="11"/>
        <v>0</v>
      </c>
      <c r="CM24" s="370">
        <f t="shared" si="11"/>
        <v>0</v>
      </c>
      <c r="CN24" s="370">
        <f t="shared" si="11"/>
        <v>0</v>
      </c>
      <c r="CO24" s="370">
        <f t="shared" si="11"/>
        <v>0</v>
      </c>
      <c r="CP24" s="370">
        <f t="shared" si="11"/>
        <v>0</v>
      </c>
      <c r="CQ24" s="370">
        <f t="shared" si="11"/>
        <v>0</v>
      </c>
      <c r="CR24" s="370">
        <f t="shared" si="8"/>
        <v>7.0499999997991836E-2</v>
      </c>
    </row>
    <row r="25" spans="2:96">
      <c r="B25" s="456"/>
      <c r="C25" s="456"/>
      <c r="D25" s="371">
        <v>604553.39</v>
      </c>
      <c r="E25" s="371">
        <f t="shared" si="6"/>
        <v>6297.4311458333332</v>
      </c>
      <c r="F25" s="371">
        <f t="shared" si="7"/>
        <v>8</v>
      </c>
      <c r="G25" s="371">
        <v>96</v>
      </c>
      <c r="H25" s="372">
        <v>40684</v>
      </c>
      <c r="I25" s="373">
        <f t="shared" ref="I25:I83" si="12">H25+F25*365</f>
        <v>43604</v>
      </c>
      <c r="J25" s="456"/>
      <c r="K25" s="374">
        <v>25189.81</v>
      </c>
      <c r="L25" s="375">
        <v>6297.43</v>
      </c>
      <c r="M25" s="375">
        <v>6297.43</v>
      </c>
      <c r="N25" s="375">
        <v>6297.43</v>
      </c>
      <c r="O25" s="375">
        <v>6297.43</v>
      </c>
      <c r="P25" s="376"/>
      <c r="Q25" s="376"/>
      <c r="R25" s="376"/>
      <c r="S25" s="376"/>
      <c r="T25" s="376"/>
      <c r="U25" s="376">
        <f t="shared" ref="U25:AJ40" si="13">IF($I25&gt;U$7-30,$E25,0)</f>
        <v>0</v>
      </c>
      <c r="V25" s="376">
        <f t="shared" si="13"/>
        <v>0</v>
      </c>
      <c r="W25" s="376">
        <f t="shared" si="13"/>
        <v>0</v>
      </c>
      <c r="X25" s="376">
        <f t="shared" si="13"/>
        <v>0</v>
      </c>
      <c r="Y25" s="376">
        <f t="shared" si="13"/>
        <v>0</v>
      </c>
      <c r="Z25" s="376">
        <f t="shared" si="13"/>
        <v>0</v>
      </c>
      <c r="AA25" s="376">
        <f t="shared" si="13"/>
        <v>0</v>
      </c>
      <c r="AB25" s="376">
        <f t="shared" si="13"/>
        <v>0</v>
      </c>
      <c r="AC25" s="376">
        <f t="shared" si="13"/>
        <v>0</v>
      </c>
      <c r="AD25" s="376">
        <f t="shared" si="13"/>
        <v>0</v>
      </c>
      <c r="AE25" s="376">
        <f t="shared" si="13"/>
        <v>0</v>
      </c>
      <c r="AF25" s="376">
        <f t="shared" si="13"/>
        <v>0</v>
      </c>
      <c r="AG25" s="376">
        <f t="shared" si="13"/>
        <v>0</v>
      </c>
      <c r="AH25" s="376">
        <f t="shared" si="13"/>
        <v>0</v>
      </c>
      <c r="AI25" s="376">
        <f t="shared" si="13"/>
        <v>0</v>
      </c>
      <c r="AJ25" s="376">
        <f t="shared" si="13"/>
        <v>0</v>
      </c>
      <c r="AK25" s="376">
        <f t="shared" si="10"/>
        <v>0</v>
      </c>
      <c r="AL25" s="376">
        <f t="shared" si="10"/>
        <v>0</v>
      </c>
      <c r="AM25" s="376">
        <f t="shared" si="10"/>
        <v>0</v>
      </c>
      <c r="AN25" s="376">
        <f t="shared" si="10"/>
        <v>0</v>
      </c>
      <c r="AO25" s="376">
        <f t="shared" si="10"/>
        <v>0</v>
      </c>
      <c r="AP25" s="376">
        <f t="shared" si="10"/>
        <v>0</v>
      </c>
      <c r="AQ25" s="376">
        <f t="shared" si="10"/>
        <v>0</v>
      </c>
      <c r="AR25" s="376">
        <f t="shared" si="10"/>
        <v>0</v>
      </c>
      <c r="AS25" s="376">
        <f t="shared" si="10"/>
        <v>0</v>
      </c>
      <c r="AT25" s="376">
        <f t="shared" si="10"/>
        <v>0</v>
      </c>
      <c r="AU25" s="376">
        <f t="shared" si="10"/>
        <v>0</v>
      </c>
      <c r="AV25" s="376">
        <f t="shared" si="10"/>
        <v>0</v>
      </c>
      <c r="AW25" s="376">
        <f t="shared" si="10"/>
        <v>0</v>
      </c>
      <c r="AX25" s="376">
        <f t="shared" si="10"/>
        <v>0</v>
      </c>
      <c r="AY25" s="376">
        <f t="shared" si="10"/>
        <v>0</v>
      </c>
      <c r="AZ25" s="376">
        <f t="shared" si="10"/>
        <v>0</v>
      </c>
      <c r="BA25" s="376">
        <f t="shared" si="10"/>
        <v>0</v>
      </c>
      <c r="BB25" s="376">
        <f t="shared" si="10"/>
        <v>0</v>
      </c>
      <c r="BC25" s="376">
        <f t="shared" si="10"/>
        <v>0</v>
      </c>
      <c r="BD25" s="376">
        <f t="shared" si="10"/>
        <v>0</v>
      </c>
      <c r="BE25" s="376">
        <f t="shared" si="10"/>
        <v>0</v>
      </c>
      <c r="BF25" s="376">
        <f t="shared" si="10"/>
        <v>0</v>
      </c>
      <c r="BG25" s="376">
        <f t="shared" si="10"/>
        <v>0</v>
      </c>
      <c r="BH25" s="376">
        <f t="shared" si="10"/>
        <v>0</v>
      </c>
      <c r="BI25" s="376">
        <f t="shared" si="10"/>
        <v>0</v>
      </c>
      <c r="BJ25" s="376">
        <f t="shared" si="10"/>
        <v>0</v>
      </c>
      <c r="BK25" s="376">
        <f t="shared" si="10"/>
        <v>0</v>
      </c>
      <c r="BL25" s="376">
        <f t="shared" si="10"/>
        <v>0</v>
      </c>
      <c r="BM25" s="376">
        <f t="shared" si="10"/>
        <v>0</v>
      </c>
      <c r="BN25" s="376">
        <f t="shared" si="10"/>
        <v>0</v>
      </c>
      <c r="BO25" s="376">
        <f t="shared" si="10"/>
        <v>0</v>
      </c>
      <c r="BP25" s="376">
        <f t="shared" si="10"/>
        <v>0</v>
      </c>
      <c r="BQ25" s="376">
        <f t="shared" si="10"/>
        <v>0</v>
      </c>
      <c r="BR25" s="376">
        <f t="shared" si="10"/>
        <v>0</v>
      </c>
      <c r="BS25" s="376">
        <f t="shared" si="10"/>
        <v>0</v>
      </c>
      <c r="BT25" s="376">
        <f t="shared" si="10"/>
        <v>0</v>
      </c>
      <c r="BU25" s="376">
        <f t="shared" si="10"/>
        <v>0</v>
      </c>
      <c r="BV25" s="376">
        <f t="shared" si="10"/>
        <v>0</v>
      </c>
      <c r="BW25" s="376">
        <f t="shared" si="10"/>
        <v>0</v>
      </c>
      <c r="BX25" s="376">
        <f t="shared" si="10"/>
        <v>0</v>
      </c>
      <c r="BY25" s="376">
        <f t="shared" si="10"/>
        <v>0</v>
      </c>
      <c r="BZ25" s="376">
        <f t="shared" si="10"/>
        <v>0</v>
      </c>
      <c r="CA25" s="376">
        <f t="shared" si="10"/>
        <v>0</v>
      </c>
      <c r="CB25" s="376">
        <f t="shared" si="10"/>
        <v>0</v>
      </c>
      <c r="CC25" s="376">
        <f t="shared" si="10"/>
        <v>0</v>
      </c>
      <c r="CD25" s="376">
        <f t="shared" si="10"/>
        <v>0</v>
      </c>
      <c r="CE25" s="376">
        <f t="shared" si="10"/>
        <v>0</v>
      </c>
      <c r="CF25" s="376">
        <f t="shared" si="10"/>
        <v>0</v>
      </c>
      <c r="CG25" s="376">
        <f t="shared" si="11"/>
        <v>0</v>
      </c>
      <c r="CH25" s="376">
        <f t="shared" si="11"/>
        <v>0</v>
      </c>
      <c r="CI25" s="376">
        <f t="shared" si="11"/>
        <v>0</v>
      </c>
      <c r="CJ25" s="376">
        <f t="shared" si="11"/>
        <v>0</v>
      </c>
      <c r="CK25" s="376">
        <f t="shared" si="11"/>
        <v>0</v>
      </c>
      <c r="CL25" s="376">
        <f t="shared" si="11"/>
        <v>0</v>
      </c>
      <c r="CM25" s="376">
        <f t="shared" si="11"/>
        <v>0</v>
      </c>
      <c r="CN25" s="376">
        <f t="shared" si="11"/>
        <v>0</v>
      </c>
      <c r="CO25" s="376">
        <f t="shared" si="11"/>
        <v>0</v>
      </c>
      <c r="CP25" s="376">
        <f t="shared" si="11"/>
        <v>0</v>
      </c>
      <c r="CQ25" s="376">
        <f t="shared" si="11"/>
        <v>0</v>
      </c>
      <c r="CR25" s="376">
        <f t="shared" si="8"/>
        <v>9.0000000000145519E-2</v>
      </c>
    </row>
    <row r="26" spans="2:96">
      <c r="B26" s="456"/>
      <c r="C26" s="456"/>
      <c r="D26" s="377">
        <v>90390.62</v>
      </c>
      <c r="E26" s="377">
        <f t="shared" si="6"/>
        <v>1506.5103333333332</v>
      </c>
      <c r="F26" s="377">
        <f t="shared" si="7"/>
        <v>5</v>
      </c>
      <c r="G26" s="377">
        <v>60</v>
      </c>
      <c r="H26" s="378">
        <v>41909</v>
      </c>
      <c r="I26" s="379">
        <f t="shared" si="12"/>
        <v>43734</v>
      </c>
      <c r="J26" s="456"/>
      <c r="K26" s="374">
        <v>15065.12</v>
      </c>
      <c r="L26" s="375">
        <v>1506.51</v>
      </c>
      <c r="M26" s="375">
        <v>1506.51</v>
      </c>
      <c r="N26" s="375">
        <v>1506.51</v>
      </c>
      <c r="O26" s="375">
        <v>1506.51</v>
      </c>
      <c r="P26" s="375">
        <v>1506.51</v>
      </c>
      <c r="Q26" s="375">
        <v>1506.51</v>
      </c>
      <c r="R26" s="375">
        <v>1506.51</v>
      </c>
      <c r="S26" s="375">
        <v>1506.51</v>
      </c>
      <c r="T26" s="375">
        <v>1506.51</v>
      </c>
      <c r="U26" s="375">
        <f t="shared" si="13"/>
        <v>1506.5103333333332</v>
      </c>
      <c r="V26" s="375">
        <v>0</v>
      </c>
      <c r="W26" s="375">
        <v>0</v>
      </c>
      <c r="X26" s="375">
        <f t="shared" si="13"/>
        <v>0</v>
      </c>
      <c r="Y26" s="375">
        <f t="shared" si="13"/>
        <v>0</v>
      </c>
      <c r="Z26" s="375">
        <f t="shared" si="13"/>
        <v>0</v>
      </c>
      <c r="AA26" s="375">
        <f t="shared" si="13"/>
        <v>0</v>
      </c>
      <c r="AB26" s="375">
        <f t="shared" si="13"/>
        <v>0</v>
      </c>
      <c r="AC26" s="375">
        <f t="shared" si="13"/>
        <v>0</v>
      </c>
      <c r="AD26" s="375">
        <f t="shared" si="13"/>
        <v>0</v>
      </c>
      <c r="AE26" s="375">
        <f t="shared" si="13"/>
        <v>0</v>
      </c>
      <c r="AF26" s="375">
        <f t="shared" si="13"/>
        <v>0</v>
      </c>
      <c r="AG26" s="375">
        <f t="shared" si="13"/>
        <v>0</v>
      </c>
      <c r="AH26" s="375">
        <f t="shared" si="13"/>
        <v>0</v>
      </c>
      <c r="AI26" s="375">
        <f t="shared" si="13"/>
        <v>0</v>
      </c>
      <c r="AJ26" s="375">
        <f t="shared" si="13"/>
        <v>0</v>
      </c>
      <c r="AK26" s="375">
        <f t="shared" si="10"/>
        <v>0</v>
      </c>
      <c r="AL26" s="375">
        <f t="shared" si="10"/>
        <v>0</v>
      </c>
      <c r="AM26" s="375">
        <f t="shared" si="10"/>
        <v>0</v>
      </c>
      <c r="AN26" s="375">
        <f t="shared" si="10"/>
        <v>0</v>
      </c>
      <c r="AO26" s="375">
        <f t="shared" si="10"/>
        <v>0</v>
      </c>
      <c r="AP26" s="375">
        <f t="shared" si="10"/>
        <v>0</v>
      </c>
      <c r="AQ26" s="375">
        <f t="shared" si="10"/>
        <v>0</v>
      </c>
      <c r="AR26" s="375">
        <f t="shared" si="10"/>
        <v>0</v>
      </c>
      <c r="AS26" s="375">
        <f t="shared" si="10"/>
        <v>0</v>
      </c>
      <c r="AT26" s="375">
        <f t="shared" si="10"/>
        <v>0</v>
      </c>
      <c r="AU26" s="375">
        <f t="shared" si="10"/>
        <v>0</v>
      </c>
      <c r="AV26" s="375">
        <f t="shared" si="10"/>
        <v>0</v>
      </c>
      <c r="AW26" s="375">
        <f t="shared" si="10"/>
        <v>0</v>
      </c>
      <c r="AX26" s="375">
        <f t="shared" si="10"/>
        <v>0</v>
      </c>
      <c r="AY26" s="375">
        <f t="shared" si="10"/>
        <v>0</v>
      </c>
      <c r="AZ26" s="375">
        <f t="shared" si="10"/>
        <v>0</v>
      </c>
      <c r="BA26" s="375">
        <f t="shared" si="10"/>
        <v>0</v>
      </c>
      <c r="BB26" s="375">
        <f t="shared" si="10"/>
        <v>0</v>
      </c>
      <c r="BC26" s="375">
        <f t="shared" si="10"/>
        <v>0</v>
      </c>
      <c r="BD26" s="375">
        <f t="shared" si="10"/>
        <v>0</v>
      </c>
      <c r="BE26" s="375">
        <f t="shared" si="10"/>
        <v>0</v>
      </c>
      <c r="BF26" s="375">
        <f t="shared" si="10"/>
        <v>0</v>
      </c>
      <c r="BG26" s="375">
        <f t="shared" si="10"/>
        <v>0</v>
      </c>
      <c r="BH26" s="375">
        <f t="shared" si="10"/>
        <v>0</v>
      </c>
      <c r="BI26" s="375">
        <f t="shared" si="10"/>
        <v>0</v>
      </c>
      <c r="BJ26" s="375">
        <f t="shared" si="10"/>
        <v>0</v>
      </c>
      <c r="BK26" s="375">
        <f t="shared" si="10"/>
        <v>0</v>
      </c>
      <c r="BL26" s="375">
        <f t="shared" si="10"/>
        <v>0</v>
      </c>
      <c r="BM26" s="375">
        <f t="shared" si="10"/>
        <v>0</v>
      </c>
      <c r="BN26" s="375">
        <f t="shared" si="10"/>
        <v>0</v>
      </c>
      <c r="BO26" s="375">
        <f t="shared" si="10"/>
        <v>0</v>
      </c>
      <c r="BP26" s="375">
        <f t="shared" si="10"/>
        <v>0</v>
      </c>
      <c r="BQ26" s="375">
        <f t="shared" si="10"/>
        <v>0</v>
      </c>
      <c r="BR26" s="375">
        <f t="shared" si="10"/>
        <v>0</v>
      </c>
      <c r="BS26" s="375">
        <f t="shared" si="10"/>
        <v>0</v>
      </c>
      <c r="BT26" s="375">
        <f t="shared" si="10"/>
        <v>0</v>
      </c>
      <c r="BU26" s="375">
        <f t="shared" si="10"/>
        <v>0</v>
      </c>
      <c r="BV26" s="375">
        <f t="shared" si="10"/>
        <v>0</v>
      </c>
      <c r="BW26" s="375">
        <f t="shared" si="10"/>
        <v>0</v>
      </c>
      <c r="BX26" s="375">
        <f t="shared" si="10"/>
        <v>0</v>
      </c>
      <c r="BY26" s="375">
        <f t="shared" si="10"/>
        <v>0</v>
      </c>
      <c r="BZ26" s="375">
        <f t="shared" si="10"/>
        <v>0</v>
      </c>
      <c r="CA26" s="375">
        <f t="shared" si="10"/>
        <v>0</v>
      </c>
      <c r="CB26" s="375">
        <f t="shared" si="10"/>
        <v>0</v>
      </c>
      <c r="CC26" s="375">
        <f t="shared" si="10"/>
        <v>0</v>
      </c>
      <c r="CD26" s="375">
        <f t="shared" si="10"/>
        <v>0</v>
      </c>
      <c r="CE26" s="375">
        <f t="shared" si="10"/>
        <v>0</v>
      </c>
      <c r="CF26" s="375">
        <f t="shared" si="10"/>
        <v>0</v>
      </c>
      <c r="CG26" s="375">
        <f t="shared" si="11"/>
        <v>0</v>
      </c>
      <c r="CH26" s="375">
        <f t="shared" si="11"/>
        <v>0</v>
      </c>
      <c r="CI26" s="375">
        <f t="shared" si="11"/>
        <v>0</v>
      </c>
      <c r="CJ26" s="375">
        <f t="shared" si="11"/>
        <v>0</v>
      </c>
      <c r="CK26" s="375">
        <f t="shared" si="11"/>
        <v>0</v>
      </c>
      <c r="CL26" s="375">
        <f t="shared" si="11"/>
        <v>0</v>
      </c>
      <c r="CM26" s="375">
        <f t="shared" si="11"/>
        <v>0</v>
      </c>
      <c r="CN26" s="375">
        <f t="shared" si="11"/>
        <v>0</v>
      </c>
      <c r="CO26" s="375">
        <f t="shared" si="11"/>
        <v>0</v>
      </c>
      <c r="CP26" s="375">
        <f t="shared" si="11"/>
        <v>0</v>
      </c>
      <c r="CQ26" s="375">
        <f t="shared" si="11"/>
        <v>0</v>
      </c>
      <c r="CR26" s="375">
        <f t="shared" si="8"/>
        <v>1.9666666667035315E-2</v>
      </c>
    </row>
    <row r="27" spans="2:96">
      <c r="B27" s="456"/>
      <c r="C27" s="456"/>
      <c r="D27" s="371">
        <v>3073</v>
      </c>
      <c r="E27" s="371">
        <f t="shared" si="6"/>
        <v>51.216666666666669</v>
      </c>
      <c r="F27" s="371">
        <f t="shared" si="7"/>
        <v>5</v>
      </c>
      <c r="G27" s="371">
        <v>60</v>
      </c>
      <c r="H27" s="372">
        <v>42056</v>
      </c>
      <c r="I27" s="373">
        <f t="shared" si="12"/>
        <v>43881</v>
      </c>
      <c r="J27" s="456"/>
      <c r="K27" s="374">
        <v>665.94</v>
      </c>
      <c r="L27" s="375">
        <v>51.21</v>
      </c>
      <c r="M27" s="375">
        <v>51.21</v>
      </c>
      <c r="N27" s="375">
        <v>51.21</v>
      </c>
      <c r="O27" s="375">
        <v>51.21</v>
      </c>
      <c r="P27" s="375">
        <v>51.21</v>
      </c>
      <c r="Q27" s="375">
        <v>51.21</v>
      </c>
      <c r="R27" s="375">
        <v>51.21</v>
      </c>
      <c r="S27" s="375">
        <v>51.21</v>
      </c>
      <c r="T27" s="375">
        <v>51.21</v>
      </c>
      <c r="U27" s="375">
        <f t="shared" si="13"/>
        <v>51.216666666666669</v>
      </c>
      <c r="V27" s="375">
        <f t="shared" si="13"/>
        <v>51.216666666666669</v>
      </c>
      <c r="W27" s="375">
        <f t="shared" si="13"/>
        <v>51.216666666666669</v>
      </c>
      <c r="X27" s="375">
        <f t="shared" si="13"/>
        <v>51.216666666666669</v>
      </c>
      <c r="Y27" s="375">
        <v>0</v>
      </c>
      <c r="Z27" s="375">
        <v>0</v>
      </c>
      <c r="AA27" s="375">
        <v>0</v>
      </c>
      <c r="AB27" s="375">
        <v>0</v>
      </c>
      <c r="AC27" s="375">
        <f t="shared" si="13"/>
        <v>0</v>
      </c>
      <c r="AD27" s="375">
        <f t="shared" si="13"/>
        <v>0</v>
      </c>
      <c r="AE27" s="375">
        <f t="shared" si="13"/>
        <v>0</v>
      </c>
      <c r="AF27" s="375">
        <f t="shared" si="13"/>
        <v>0</v>
      </c>
      <c r="AG27" s="375">
        <f t="shared" si="13"/>
        <v>0</v>
      </c>
      <c r="AH27" s="375">
        <f t="shared" si="13"/>
        <v>0</v>
      </c>
      <c r="AI27" s="375">
        <f t="shared" si="13"/>
        <v>0</v>
      </c>
      <c r="AJ27" s="375">
        <f t="shared" si="13"/>
        <v>0</v>
      </c>
      <c r="AK27" s="375">
        <f t="shared" si="10"/>
        <v>0</v>
      </c>
      <c r="AL27" s="375">
        <f t="shared" si="10"/>
        <v>0</v>
      </c>
      <c r="AM27" s="375">
        <f t="shared" si="10"/>
        <v>0</v>
      </c>
      <c r="AN27" s="375">
        <f t="shared" si="10"/>
        <v>0</v>
      </c>
      <c r="AO27" s="375">
        <f t="shared" si="10"/>
        <v>0</v>
      </c>
      <c r="AP27" s="375">
        <f t="shared" si="10"/>
        <v>0</v>
      </c>
      <c r="AQ27" s="375">
        <f t="shared" si="10"/>
        <v>0</v>
      </c>
      <c r="AR27" s="375">
        <f t="shared" si="10"/>
        <v>0</v>
      </c>
      <c r="AS27" s="375">
        <f t="shared" si="10"/>
        <v>0</v>
      </c>
      <c r="AT27" s="375">
        <f t="shared" si="10"/>
        <v>0</v>
      </c>
      <c r="AU27" s="375">
        <f t="shared" si="10"/>
        <v>0</v>
      </c>
      <c r="AV27" s="375">
        <f t="shared" si="10"/>
        <v>0</v>
      </c>
      <c r="AW27" s="375">
        <f t="shared" si="10"/>
        <v>0</v>
      </c>
      <c r="AX27" s="375">
        <f t="shared" si="10"/>
        <v>0</v>
      </c>
      <c r="AY27" s="375">
        <f t="shared" si="10"/>
        <v>0</v>
      </c>
      <c r="AZ27" s="375">
        <f t="shared" si="10"/>
        <v>0</v>
      </c>
      <c r="BA27" s="375">
        <f t="shared" si="10"/>
        <v>0</v>
      </c>
      <c r="BB27" s="375">
        <f t="shared" si="10"/>
        <v>0</v>
      </c>
      <c r="BC27" s="375">
        <f t="shared" si="10"/>
        <v>0</v>
      </c>
      <c r="BD27" s="375">
        <f t="shared" si="10"/>
        <v>0</v>
      </c>
      <c r="BE27" s="375">
        <f t="shared" si="10"/>
        <v>0</v>
      </c>
      <c r="BF27" s="375">
        <f t="shared" si="10"/>
        <v>0</v>
      </c>
      <c r="BG27" s="375">
        <f t="shared" si="10"/>
        <v>0</v>
      </c>
      <c r="BH27" s="375">
        <f t="shared" si="10"/>
        <v>0</v>
      </c>
      <c r="BI27" s="375">
        <f t="shared" si="10"/>
        <v>0</v>
      </c>
      <c r="BJ27" s="375">
        <f t="shared" si="10"/>
        <v>0</v>
      </c>
      <c r="BK27" s="375">
        <f t="shared" si="10"/>
        <v>0</v>
      </c>
      <c r="BL27" s="375">
        <f t="shared" si="10"/>
        <v>0</v>
      </c>
      <c r="BM27" s="375">
        <f t="shared" si="10"/>
        <v>0</v>
      </c>
      <c r="BN27" s="375">
        <f t="shared" si="10"/>
        <v>0</v>
      </c>
      <c r="BO27" s="375">
        <f t="shared" si="10"/>
        <v>0</v>
      </c>
      <c r="BP27" s="375">
        <f t="shared" si="10"/>
        <v>0</v>
      </c>
      <c r="BQ27" s="375">
        <f t="shared" si="10"/>
        <v>0</v>
      </c>
      <c r="BR27" s="375">
        <f t="shared" si="10"/>
        <v>0</v>
      </c>
      <c r="BS27" s="375">
        <f t="shared" si="10"/>
        <v>0</v>
      </c>
      <c r="BT27" s="375">
        <f t="shared" si="10"/>
        <v>0</v>
      </c>
      <c r="BU27" s="375">
        <f t="shared" si="10"/>
        <v>0</v>
      </c>
      <c r="BV27" s="375">
        <f t="shared" si="10"/>
        <v>0</v>
      </c>
      <c r="BW27" s="375">
        <f t="shared" si="10"/>
        <v>0</v>
      </c>
      <c r="BX27" s="375">
        <f t="shared" si="10"/>
        <v>0</v>
      </c>
      <c r="BY27" s="375">
        <f t="shared" si="10"/>
        <v>0</v>
      </c>
      <c r="BZ27" s="375">
        <f t="shared" si="10"/>
        <v>0</v>
      </c>
      <c r="CA27" s="375">
        <f t="shared" si="10"/>
        <v>0</v>
      </c>
      <c r="CB27" s="375">
        <f t="shared" si="10"/>
        <v>0</v>
      </c>
      <c r="CC27" s="375">
        <f t="shared" si="10"/>
        <v>0</v>
      </c>
      <c r="CD27" s="375">
        <f t="shared" si="10"/>
        <v>0</v>
      </c>
      <c r="CE27" s="375">
        <f t="shared" si="10"/>
        <v>0</v>
      </c>
      <c r="CF27" s="375">
        <f t="shared" si="10"/>
        <v>0</v>
      </c>
      <c r="CG27" s="375">
        <f t="shared" si="11"/>
        <v>0</v>
      </c>
      <c r="CH27" s="375">
        <f t="shared" si="11"/>
        <v>0</v>
      </c>
      <c r="CI27" s="375">
        <f t="shared" si="11"/>
        <v>0</v>
      </c>
      <c r="CJ27" s="375">
        <f t="shared" si="11"/>
        <v>0</v>
      </c>
      <c r="CK27" s="375">
        <f t="shared" si="11"/>
        <v>0</v>
      </c>
      <c r="CL27" s="375">
        <f t="shared" si="11"/>
        <v>0</v>
      </c>
      <c r="CM27" s="375">
        <f t="shared" si="11"/>
        <v>0</v>
      </c>
      <c r="CN27" s="375">
        <f t="shared" si="11"/>
        <v>0</v>
      </c>
      <c r="CO27" s="375">
        <f t="shared" si="11"/>
        <v>0</v>
      </c>
      <c r="CP27" s="375">
        <f t="shared" si="11"/>
        <v>0</v>
      </c>
      <c r="CQ27" s="375">
        <f t="shared" si="11"/>
        <v>0</v>
      </c>
      <c r="CR27" s="375">
        <f t="shared" si="8"/>
        <v>0.18333333333339397</v>
      </c>
    </row>
    <row r="28" spans="2:96">
      <c r="B28" s="456"/>
      <c r="C28" s="456"/>
      <c r="D28" s="371">
        <v>3233537.77</v>
      </c>
      <c r="E28" s="371">
        <f t="shared" si="6"/>
        <v>33682.685104166667</v>
      </c>
      <c r="F28" s="371">
        <f t="shared" si="7"/>
        <v>8</v>
      </c>
      <c r="G28" s="371">
        <v>96</v>
      </c>
      <c r="H28" s="372">
        <v>42449</v>
      </c>
      <c r="I28" s="373">
        <f t="shared" si="12"/>
        <v>45369</v>
      </c>
      <c r="J28" s="456"/>
      <c r="K28" s="374">
        <v>2220979.1800000002</v>
      </c>
      <c r="L28" s="375">
        <v>33769.269999999997</v>
      </c>
      <c r="M28" s="375">
        <v>33769.269999999997</v>
      </c>
      <c r="N28" s="375">
        <v>33769.269999999997</v>
      </c>
      <c r="O28" s="375">
        <v>33769.269999999997</v>
      </c>
      <c r="P28" s="375">
        <v>33769.269999999997</v>
      </c>
      <c r="Q28" s="375">
        <v>33769.269999999997</v>
      </c>
      <c r="R28" s="375">
        <v>33769.269999999997</v>
      </c>
      <c r="S28" s="375">
        <v>33769.269999999997</v>
      </c>
      <c r="T28" s="375">
        <v>33769.269999999997</v>
      </c>
      <c r="U28" s="375">
        <f t="shared" si="13"/>
        <v>33682.685104166667</v>
      </c>
      <c r="V28" s="375">
        <f t="shared" si="13"/>
        <v>33682.685104166667</v>
      </c>
      <c r="W28" s="375">
        <f t="shared" si="13"/>
        <v>33682.685104166667</v>
      </c>
      <c r="X28" s="375">
        <f t="shared" si="13"/>
        <v>33682.685104166667</v>
      </c>
      <c r="Y28" s="375">
        <f t="shared" si="13"/>
        <v>33682.685104166667</v>
      </c>
      <c r="Z28" s="375">
        <f t="shared" si="13"/>
        <v>33682.685104166667</v>
      </c>
      <c r="AA28" s="375">
        <f t="shared" si="13"/>
        <v>33682.685104166667</v>
      </c>
      <c r="AB28" s="375">
        <f t="shared" si="13"/>
        <v>33682.685104166667</v>
      </c>
      <c r="AC28" s="375">
        <f t="shared" si="13"/>
        <v>33682.685104166667</v>
      </c>
      <c r="AD28" s="375">
        <f t="shared" si="13"/>
        <v>33682.685104166667</v>
      </c>
      <c r="AE28" s="375">
        <f t="shared" si="13"/>
        <v>33682.685104166667</v>
      </c>
      <c r="AF28" s="375">
        <f t="shared" si="13"/>
        <v>33682.685104166667</v>
      </c>
      <c r="AG28" s="375">
        <f t="shared" si="13"/>
        <v>33682.685104166667</v>
      </c>
      <c r="AH28" s="375">
        <f t="shared" si="13"/>
        <v>33682.685104166667</v>
      </c>
      <c r="AI28" s="375">
        <f t="shared" si="13"/>
        <v>33682.685104166667</v>
      </c>
      <c r="AJ28" s="375">
        <f t="shared" si="13"/>
        <v>33682.685104166667</v>
      </c>
      <c r="AK28" s="375">
        <f t="shared" si="10"/>
        <v>33682.685104166667</v>
      </c>
      <c r="AL28" s="375">
        <f t="shared" si="10"/>
        <v>33682.685104166667</v>
      </c>
      <c r="AM28" s="375">
        <f t="shared" si="10"/>
        <v>33682.685104166667</v>
      </c>
      <c r="AN28" s="375">
        <f t="shared" si="10"/>
        <v>33682.685104166667</v>
      </c>
      <c r="AO28" s="375">
        <f t="shared" si="10"/>
        <v>33682.685104166667</v>
      </c>
      <c r="AP28" s="375">
        <f t="shared" si="10"/>
        <v>33682.685104166667</v>
      </c>
      <c r="AQ28" s="375">
        <f t="shared" si="10"/>
        <v>33682.685104166667</v>
      </c>
      <c r="AR28" s="375">
        <f t="shared" si="10"/>
        <v>33682.685104166667</v>
      </c>
      <c r="AS28" s="375">
        <f t="shared" si="10"/>
        <v>33682.685104166667</v>
      </c>
      <c r="AT28" s="375">
        <f t="shared" si="10"/>
        <v>33682.685104166667</v>
      </c>
      <c r="AU28" s="375">
        <f t="shared" si="10"/>
        <v>33682.685104166667</v>
      </c>
      <c r="AV28" s="375">
        <f t="shared" si="10"/>
        <v>33682.685104166667</v>
      </c>
      <c r="AW28" s="375">
        <f t="shared" si="10"/>
        <v>33682.685104166667</v>
      </c>
      <c r="AX28" s="375">
        <f t="shared" si="10"/>
        <v>33682.685104166667</v>
      </c>
      <c r="AY28" s="375">
        <f t="shared" si="10"/>
        <v>33682.685104166667</v>
      </c>
      <c r="AZ28" s="375">
        <f t="shared" si="10"/>
        <v>33682.685104166667</v>
      </c>
      <c r="BA28" s="375">
        <f t="shared" si="10"/>
        <v>33682.685104166667</v>
      </c>
      <c r="BB28" s="375">
        <f t="shared" si="10"/>
        <v>33682.685104166667</v>
      </c>
      <c r="BC28" s="375">
        <f t="shared" si="10"/>
        <v>33682.685104166667</v>
      </c>
      <c r="BD28" s="375">
        <f t="shared" si="10"/>
        <v>33682.685104166667</v>
      </c>
      <c r="BE28" s="375">
        <f t="shared" si="10"/>
        <v>33682.685104166667</v>
      </c>
      <c r="BF28" s="375">
        <f t="shared" si="10"/>
        <v>33682.685104166667</v>
      </c>
      <c r="BG28" s="375">
        <f t="shared" si="10"/>
        <v>33682.685104166667</v>
      </c>
      <c r="BH28" s="375">
        <f t="shared" si="10"/>
        <v>33682.685104166667</v>
      </c>
      <c r="BI28" s="375">
        <f t="shared" si="10"/>
        <v>33682.685104166667</v>
      </c>
      <c r="BJ28" s="375">
        <f t="shared" si="10"/>
        <v>33682.685104166667</v>
      </c>
      <c r="BK28" s="375">
        <f t="shared" si="10"/>
        <v>33682.685104166667</v>
      </c>
      <c r="BL28" s="375">
        <f t="shared" si="10"/>
        <v>33682.685104166667</v>
      </c>
      <c r="BM28" s="375">
        <f t="shared" si="10"/>
        <v>33682.685104166667</v>
      </c>
      <c r="BN28" s="375">
        <f t="shared" si="10"/>
        <v>33682.685104166667</v>
      </c>
      <c r="BO28" s="375">
        <f t="shared" si="10"/>
        <v>33682.685104166667</v>
      </c>
      <c r="BP28" s="375">
        <f t="shared" si="10"/>
        <v>33682.685104166667</v>
      </c>
      <c r="BQ28" s="375">
        <f t="shared" si="10"/>
        <v>33682.685104166667</v>
      </c>
      <c r="BR28" s="375">
        <f t="shared" si="10"/>
        <v>33682.685104166667</v>
      </c>
      <c r="BS28" s="375">
        <f t="shared" si="10"/>
        <v>33682.685104166667</v>
      </c>
      <c r="BT28" s="375">
        <f t="shared" si="10"/>
        <v>33682.685104166667</v>
      </c>
      <c r="BU28" s="375">
        <f t="shared" si="10"/>
        <v>33682.685104166667</v>
      </c>
      <c r="BV28" s="375">
        <f t="shared" si="10"/>
        <v>33682.685104166667</v>
      </c>
      <c r="BW28" s="375">
        <f t="shared" si="10"/>
        <v>33682.685104166667</v>
      </c>
      <c r="BX28" s="375">
        <f t="shared" si="10"/>
        <v>33682.685104166667</v>
      </c>
      <c r="BY28" s="375">
        <f>IF($I28&gt;BY$7-30,$E28,0)-2857.3</f>
        <v>30825.385104166668</v>
      </c>
      <c r="BZ28" s="375">
        <f t="shared" si="10"/>
        <v>0</v>
      </c>
      <c r="CA28" s="375">
        <f t="shared" si="10"/>
        <v>0</v>
      </c>
      <c r="CB28" s="375">
        <f t="shared" si="10"/>
        <v>0</v>
      </c>
      <c r="CC28" s="375">
        <f t="shared" si="10"/>
        <v>0</v>
      </c>
      <c r="CD28" s="375">
        <f t="shared" si="10"/>
        <v>0</v>
      </c>
      <c r="CE28" s="375">
        <f t="shared" si="10"/>
        <v>0</v>
      </c>
      <c r="CF28" s="375">
        <f t="shared" si="10"/>
        <v>0</v>
      </c>
      <c r="CG28" s="375">
        <f t="shared" si="11"/>
        <v>0</v>
      </c>
      <c r="CH28" s="375">
        <f t="shared" si="11"/>
        <v>0</v>
      </c>
      <c r="CI28" s="375">
        <f t="shared" si="11"/>
        <v>0</v>
      </c>
      <c r="CJ28" s="375">
        <f t="shared" si="11"/>
        <v>0</v>
      </c>
      <c r="CK28" s="375">
        <f t="shared" si="11"/>
        <v>0</v>
      </c>
      <c r="CL28" s="375">
        <f t="shared" si="11"/>
        <v>0</v>
      </c>
      <c r="CM28" s="375">
        <f t="shared" si="11"/>
        <v>0</v>
      </c>
      <c r="CN28" s="375">
        <f t="shared" si="11"/>
        <v>0</v>
      </c>
      <c r="CO28" s="375">
        <f t="shared" si="11"/>
        <v>0</v>
      </c>
      <c r="CP28" s="375">
        <f t="shared" si="11"/>
        <v>0</v>
      </c>
      <c r="CQ28" s="375">
        <f t="shared" si="11"/>
        <v>0</v>
      </c>
      <c r="CR28" s="375">
        <f t="shared" si="8"/>
        <v>-9.3749817460775375E-4</v>
      </c>
    </row>
    <row r="29" spans="2:96">
      <c r="B29" s="456"/>
      <c r="C29" s="456"/>
      <c r="D29" s="371">
        <v>37869.32</v>
      </c>
      <c r="E29" s="371">
        <f t="shared" si="6"/>
        <v>394.47208333333333</v>
      </c>
      <c r="F29" s="371">
        <f t="shared" si="7"/>
        <v>8</v>
      </c>
      <c r="G29" s="371">
        <v>96</v>
      </c>
      <c r="H29" s="372">
        <v>42653</v>
      </c>
      <c r="I29" s="373">
        <f t="shared" si="12"/>
        <v>45573</v>
      </c>
      <c r="J29" s="456"/>
      <c r="K29" s="374">
        <v>30099.06</v>
      </c>
      <c r="L29" s="375">
        <v>387.03</v>
      </c>
      <c r="M29" s="375">
        <v>387.03</v>
      </c>
      <c r="N29" s="375">
        <v>387.03</v>
      </c>
      <c r="O29" s="375">
        <v>387.03</v>
      </c>
      <c r="P29" s="375">
        <v>387.03</v>
      </c>
      <c r="Q29" s="375">
        <v>387.03</v>
      </c>
      <c r="R29" s="375">
        <v>387.03</v>
      </c>
      <c r="S29" s="375">
        <v>387.03</v>
      </c>
      <c r="T29" s="375">
        <v>387.03</v>
      </c>
      <c r="U29" s="375">
        <f t="shared" si="13"/>
        <v>394.47208333333333</v>
      </c>
      <c r="V29" s="375">
        <f t="shared" si="13"/>
        <v>394.47208333333333</v>
      </c>
      <c r="W29" s="375">
        <f t="shared" si="13"/>
        <v>394.47208333333333</v>
      </c>
      <c r="X29" s="375">
        <f t="shared" si="13"/>
        <v>394.47208333333333</v>
      </c>
      <c r="Y29" s="375">
        <f t="shared" si="13"/>
        <v>394.47208333333333</v>
      </c>
      <c r="Z29" s="375">
        <f t="shared" si="13"/>
        <v>394.47208333333333</v>
      </c>
      <c r="AA29" s="375">
        <f t="shared" si="13"/>
        <v>394.47208333333333</v>
      </c>
      <c r="AB29" s="375">
        <f t="shared" si="13"/>
        <v>394.47208333333333</v>
      </c>
      <c r="AC29" s="375">
        <f t="shared" si="13"/>
        <v>394.47208333333333</v>
      </c>
      <c r="AD29" s="375">
        <f t="shared" si="13"/>
        <v>394.47208333333333</v>
      </c>
      <c r="AE29" s="375">
        <f t="shared" si="13"/>
        <v>394.47208333333333</v>
      </c>
      <c r="AF29" s="375">
        <f t="shared" si="13"/>
        <v>394.47208333333333</v>
      </c>
      <c r="AG29" s="375">
        <f t="shared" si="13"/>
        <v>394.47208333333333</v>
      </c>
      <c r="AH29" s="375">
        <f t="shared" si="13"/>
        <v>394.47208333333333</v>
      </c>
      <c r="AI29" s="375">
        <f t="shared" si="13"/>
        <v>394.47208333333333</v>
      </c>
      <c r="AJ29" s="375">
        <f t="shared" si="13"/>
        <v>394.47208333333333</v>
      </c>
      <c r="AK29" s="375">
        <f t="shared" ref="AK29:AZ44" si="14">IF($I29&gt;AK$7-30,$E29,0)</f>
        <v>394.47208333333333</v>
      </c>
      <c r="AL29" s="375">
        <f t="shared" si="14"/>
        <v>394.47208333333333</v>
      </c>
      <c r="AM29" s="375">
        <f t="shared" si="14"/>
        <v>394.47208333333333</v>
      </c>
      <c r="AN29" s="375">
        <f t="shared" si="14"/>
        <v>394.47208333333333</v>
      </c>
      <c r="AO29" s="375">
        <f t="shared" si="14"/>
        <v>394.47208333333333</v>
      </c>
      <c r="AP29" s="375">
        <f t="shared" si="14"/>
        <v>394.47208333333333</v>
      </c>
      <c r="AQ29" s="375">
        <f t="shared" si="14"/>
        <v>394.47208333333333</v>
      </c>
      <c r="AR29" s="375">
        <f t="shared" si="14"/>
        <v>394.47208333333333</v>
      </c>
      <c r="AS29" s="375">
        <f t="shared" si="14"/>
        <v>394.47208333333333</v>
      </c>
      <c r="AT29" s="375">
        <f t="shared" si="14"/>
        <v>394.47208333333333</v>
      </c>
      <c r="AU29" s="375">
        <f t="shared" si="14"/>
        <v>394.47208333333333</v>
      </c>
      <c r="AV29" s="375">
        <f t="shared" si="14"/>
        <v>394.47208333333333</v>
      </c>
      <c r="AW29" s="375">
        <f t="shared" si="14"/>
        <v>394.47208333333333</v>
      </c>
      <c r="AX29" s="375">
        <f t="shared" si="14"/>
        <v>394.47208333333333</v>
      </c>
      <c r="AY29" s="375">
        <f t="shared" si="14"/>
        <v>394.47208333333333</v>
      </c>
      <c r="AZ29" s="375">
        <f t="shared" si="14"/>
        <v>394.47208333333333</v>
      </c>
      <c r="BA29" s="375">
        <f t="shared" ref="BA29:BP44" si="15">IF($I29&gt;BA$7-30,$E29,0)</f>
        <v>394.47208333333333</v>
      </c>
      <c r="BB29" s="375">
        <f t="shared" si="15"/>
        <v>394.47208333333333</v>
      </c>
      <c r="BC29" s="375">
        <f t="shared" si="15"/>
        <v>394.47208333333333</v>
      </c>
      <c r="BD29" s="375">
        <f t="shared" si="15"/>
        <v>394.47208333333333</v>
      </c>
      <c r="BE29" s="375">
        <f t="shared" si="15"/>
        <v>394.47208333333333</v>
      </c>
      <c r="BF29" s="375">
        <f t="shared" si="15"/>
        <v>394.47208333333333</v>
      </c>
      <c r="BG29" s="375">
        <f t="shared" si="15"/>
        <v>394.47208333333333</v>
      </c>
      <c r="BH29" s="375">
        <f t="shared" si="15"/>
        <v>394.47208333333333</v>
      </c>
      <c r="BI29" s="375">
        <f t="shared" si="15"/>
        <v>394.47208333333333</v>
      </c>
      <c r="BJ29" s="375">
        <f t="shared" si="15"/>
        <v>394.47208333333333</v>
      </c>
      <c r="BK29" s="375">
        <f t="shared" si="15"/>
        <v>394.47208333333333</v>
      </c>
      <c r="BL29" s="375">
        <f t="shared" si="15"/>
        <v>394.47208333333333</v>
      </c>
      <c r="BM29" s="375">
        <f t="shared" si="15"/>
        <v>394.47208333333333</v>
      </c>
      <c r="BN29" s="375">
        <f t="shared" si="15"/>
        <v>394.47208333333333</v>
      </c>
      <c r="BO29" s="375">
        <f t="shared" si="15"/>
        <v>394.47208333333333</v>
      </c>
      <c r="BP29" s="375">
        <f t="shared" si="15"/>
        <v>394.47208333333333</v>
      </c>
      <c r="BQ29" s="375">
        <f t="shared" ref="BQ29:CF44" si="16">IF($I29&gt;BQ$7-30,$E29,0)</f>
        <v>394.47208333333333</v>
      </c>
      <c r="BR29" s="375">
        <f t="shared" si="16"/>
        <v>394.47208333333333</v>
      </c>
      <c r="BS29" s="375">
        <f t="shared" si="16"/>
        <v>394.47208333333333</v>
      </c>
      <c r="BT29" s="375">
        <f t="shared" si="16"/>
        <v>394.47208333333333</v>
      </c>
      <c r="BU29" s="375">
        <f t="shared" si="16"/>
        <v>394.47208333333333</v>
      </c>
      <c r="BV29" s="375">
        <f t="shared" si="16"/>
        <v>394.47208333333333</v>
      </c>
      <c r="BW29" s="375">
        <f t="shared" si="16"/>
        <v>394.47208333333333</v>
      </c>
      <c r="BX29" s="375">
        <f t="shared" si="16"/>
        <v>394.47208333333333</v>
      </c>
      <c r="BY29" s="375">
        <f t="shared" si="16"/>
        <v>394.47208333333333</v>
      </c>
      <c r="BZ29" s="375">
        <f t="shared" si="16"/>
        <v>394.47208333333333</v>
      </c>
      <c r="CA29" s="375">
        <f t="shared" si="16"/>
        <v>394.47208333333333</v>
      </c>
      <c r="CB29" s="375">
        <f t="shared" si="16"/>
        <v>394.47208333333333</v>
      </c>
      <c r="CC29" s="375">
        <f t="shared" si="16"/>
        <v>394.47208333333333</v>
      </c>
      <c r="CD29" s="375">
        <f t="shared" si="16"/>
        <v>394.47208333333333</v>
      </c>
      <c r="CE29" s="375">
        <f t="shared" si="16"/>
        <v>394.47208333333333</v>
      </c>
      <c r="CF29" s="375">
        <f t="shared" si="16"/>
        <v>394.47208333333333</v>
      </c>
      <c r="CG29" s="375">
        <v>394.47208333333333</v>
      </c>
      <c r="CH29" s="375">
        <v>394.47208333333333</v>
      </c>
      <c r="CI29" s="375">
        <v>394.47208333333333</v>
      </c>
      <c r="CJ29" s="375">
        <v>186.16</v>
      </c>
      <c r="CK29" s="375">
        <f t="shared" si="11"/>
        <v>0</v>
      </c>
      <c r="CL29" s="375">
        <f t="shared" si="11"/>
        <v>0</v>
      </c>
      <c r="CM29" s="375">
        <f t="shared" si="11"/>
        <v>0</v>
      </c>
      <c r="CN29" s="375">
        <f t="shared" si="11"/>
        <v>0</v>
      </c>
      <c r="CO29" s="375">
        <f t="shared" si="11"/>
        <v>0</v>
      </c>
      <c r="CP29" s="375">
        <f t="shared" si="11"/>
        <v>0</v>
      </c>
      <c r="CQ29" s="375">
        <f t="shared" si="11"/>
        <v>0</v>
      </c>
      <c r="CR29" s="375">
        <f t="shared" si="8"/>
        <v>4.1666663310024887E-4</v>
      </c>
    </row>
    <row r="30" spans="2:96">
      <c r="B30" s="456"/>
      <c r="C30" s="456"/>
      <c r="D30" s="371">
        <v>130236.29</v>
      </c>
      <c r="E30" s="371">
        <f t="shared" si="6"/>
        <v>1356.6280208333333</v>
      </c>
      <c r="F30" s="371">
        <f t="shared" si="7"/>
        <v>8</v>
      </c>
      <c r="G30" s="371">
        <v>96</v>
      </c>
      <c r="H30" s="372">
        <v>42484</v>
      </c>
      <c r="I30" s="373">
        <f t="shared" si="12"/>
        <v>45404</v>
      </c>
      <c r="J30" s="456"/>
      <c r="K30" s="374">
        <v>91844.86</v>
      </c>
      <c r="L30" s="375">
        <v>1283.49</v>
      </c>
      <c r="M30" s="375">
        <v>1283.49</v>
      </c>
      <c r="N30" s="375">
        <v>1283.49</v>
      </c>
      <c r="O30" s="375">
        <v>1283.49</v>
      </c>
      <c r="P30" s="375">
        <v>1283.49</v>
      </c>
      <c r="Q30" s="375">
        <v>1283.49</v>
      </c>
      <c r="R30" s="375">
        <v>1283.49</v>
      </c>
      <c r="S30" s="375">
        <v>1283.49</v>
      </c>
      <c r="T30" s="375">
        <v>1283.49</v>
      </c>
      <c r="U30" s="375">
        <f t="shared" si="13"/>
        <v>1356.6280208333333</v>
      </c>
      <c r="V30" s="375">
        <f t="shared" si="13"/>
        <v>1356.6280208333333</v>
      </c>
      <c r="W30" s="375">
        <f t="shared" si="13"/>
        <v>1356.6280208333333</v>
      </c>
      <c r="X30" s="375">
        <f t="shared" si="13"/>
        <v>1356.6280208333333</v>
      </c>
      <c r="Y30" s="375">
        <f t="shared" si="13"/>
        <v>1356.6280208333333</v>
      </c>
      <c r="Z30" s="375">
        <f t="shared" si="13"/>
        <v>1356.6280208333333</v>
      </c>
      <c r="AA30" s="375">
        <f t="shared" si="13"/>
        <v>1356.6280208333333</v>
      </c>
      <c r="AB30" s="375">
        <f t="shared" si="13"/>
        <v>1356.6280208333333</v>
      </c>
      <c r="AC30" s="375">
        <f t="shared" si="13"/>
        <v>1356.6280208333333</v>
      </c>
      <c r="AD30" s="375">
        <f t="shared" si="13"/>
        <v>1356.6280208333333</v>
      </c>
      <c r="AE30" s="375">
        <f t="shared" si="13"/>
        <v>1356.6280208333333</v>
      </c>
      <c r="AF30" s="375">
        <f t="shared" si="13"/>
        <v>1356.6280208333333</v>
      </c>
      <c r="AG30" s="375">
        <f t="shared" si="13"/>
        <v>1356.6280208333333</v>
      </c>
      <c r="AH30" s="375">
        <f t="shared" si="13"/>
        <v>1356.6280208333333</v>
      </c>
      <c r="AI30" s="375">
        <f t="shared" si="13"/>
        <v>1356.6280208333333</v>
      </c>
      <c r="AJ30" s="375">
        <f t="shared" si="13"/>
        <v>1356.6280208333333</v>
      </c>
      <c r="AK30" s="375">
        <f t="shared" si="14"/>
        <v>1356.6280208333333</v>
      </c>
      <c r="AL30" s="375">
        <f t="shared" si="14"/>
        <v>1356.6280208333333</v>
      </c>
      <c r="AM30" s="375">
        <f t="shared" si="14"/>
        <v>1356.6280208333333</v>
      </c>
      <c r="AN30" s="375">
        <f t="shared" si="14"/>
        <v>1356.6280208333333</v>
      </c>
      <c r="AO30" s="375">
        <f t="shared" si="14"/>
        <v>1356.6280208333333</v>
      </c>
      <c r="AP30" s="375">
        <f t="shared" si="14"/>
        <v>1356.6280208333333</v>
      </c>
      <c r="AQ30" s="375">
        <f t="shared" si="14"/>
        <v>1356.6280208333333</v>
      </c>
      <c r="AR30" s="375">
        <f t="shared" si="14"/>
        <v>1356.6280208333333</v>
      </c>
      <c r="AS30" s="375">
        <f t="shared" si="14"/>
        <v>1356.6280208333333</v>
      </c>
      <c r="AT30" s="375">
        <f t="shared" si="14"/>
        <v>1356.6280208333333</v>
      </c>
      <c r="AU30" s="375">
        <f t="shared" si="14"/>
        <v>1356.6280208333333</v>
      </c>
      <c r="AV30" s="375">
        <f t="shared" si="14"/>
        <v>1356.6280208333333</v>
      </c>
      <c r="AW30" s="375">
        <f t="shared" si="14"/>
        <v>1356.6280208333333</v>
      </c>
      <c r="AX30" s="375">
        <f t="shared" si="14"/>
        <v>1356.6280208333333</v>
      </c>
      <c r="AY30" s="375">
        <f t="shared" si="14"/>
        <v>1356.6280208333333</v>
      </c>
      <c r="AZ30" s="375">
        <f t="shared" si="14"/>
        <v>1356.6280208333333</v>
      </c>
      <c r="BA30" s="375">
        <f t="shared" si="15"/>
        <v>1356.6280208333333</v>
      </c>
      <c r="BB30" s="375">
        <f t="shared" si="15"/>
        <v>1356.6280208333333</v>
      </c>
      <c r="BC30" s="375">
        <f t="shared" si="15"/>
        <v>1356.6280208333333</v>
      </c>
      <c r="BD30" s="375">
        <f t="shared" si="15"/>
        <v>1356.6280208333333</v>
      </c>
      <c r="BE30" s="375">
        <f t="shared" si="15"/>
        <v>1356.6280208333333</v>
      </c>
      <c r="BF30" s="375">
        <f t="shared" si="15"/>
        <v>1356.6280208333333</v>
      </c>
      <c r="BG30" s="375">
        <f t="shared" si="15"/>
        <v>1356.6280208333333</v>
      </c>
      <c r="BH30" s="375">
        <f t="shared" si="15"/>
        <v>1356.6280208333333</v>
      </c>
      <c r="BI30" s="375">
        <f t="shared" si="15"/>
        <v>1356.6280208333333</v>
      </c>
      <c r="BJ30" s="375">
        <f t="shared" si="15"/>
        <v>1356.6280208333333</v>
      </c>
      <c r="BK30" s="375">
        <f t="shared" si="15"/>
        <v>1356.6280208333333</v>
      </c>
      <c r="BL30" s="375">
        <f t="shared" si="15"/>
        <v>1356.6280208333333</v>
      </c>
      <c r="BM30" s="375">
        <f t="shared" si="15"/>
        <v>1356.6280208333333</v>
      </c>
      <c r="BN30" s="375">
        <f t="shared" si="15"/>
        <v>1356.6280208333333</v>
      </c>
      <c r="BO30" s="375">
        <f t="shared" si="15"/>
        <v>1356.6280208333333</v>
      </c>
      <c r="BP30" s="375">
        <f t="shared" si="15"/>
        <v>1356.6280208333333</v>
      </c>
      <c r="BQ30" s="375">
        <f t="shared" si="16"/>
        <v>1356.6280208333333</v>
      </c>
      <c r="BR30" s="375">
        <f t="shared" si="16"/>
        <v>1356.6280208333333</v>
      </c>
      <c r="BS30" s="375">
        <f t="shared" si="16"/>
        <v>1356.6280208333333</v>
      </c>
      <c r="BT30" s="375">
        <f t="shared" si="16"/>
        <v>1356.6280208333333</v>
      </c>
      <c r="BU30" s="375">
        <f t="shared" si="16"/>
        <v>1356.6280208333333</v>
      </c>
      <c r="BV30" s="375">
        <f t="shared" si="16"/>
        <v>1356.6280208333333</v>
      </c>
      <c r="BW30" s="375">
        <f t="shared" si="16"/>
        <v>1356.6280208333333</v>
      </c>
      <c r="BX30" s="375">
        <f t="shared" si="16"/>
        <v>1356.6280208333333</v>
      </c>
      <c r="BY30" s="375">
        <f t="shared" si="16"/>
        <v>1356.6280208333333</v>
      </c>
      <c r="BZ30" s="375">
        <f t="shared" si="16"/>
        <v>1356.6280208333333</v>
      </c>
      <c r="CA30" s="375">
        <v>1356.6280208333333</v>
      </c>
      <c r="CB30" s="375">
        <v>252.4</v>
      </c>
      <c r="CC30" s="375">
        <f t="shared" si="16"/>
        <v>0</v>
      </c>
      <c r="CD30" s="375">
        <f t="shared" si="16"/>
        <v>0</v>
      </c>
      <c r="CE30" s="375">
        <f t="shared" si="16"/>
        <v>0</v>
      </c>
      <c r="CF30" s="375">
        <f t="shared" si="16"/>
        <v>0</v>
      </c>
      <c r="CG30" s="375">
        <f t="shared" si="11"/>
        <v>0</v>
      </c>
      <c r="CH30" s="375">
        <f t="shared" si="11"/>
        <v>0</v>
      </c>
      <c r="CI30" s="375">
        <f t="shared" si="11"/>
        <v>0</v>
      </c>
      <c r="CJ30" s="375">
        <f t="shared" si="11"/>
        <v>0</v>
      </c>
      <c r="CK30" s="375">
        <f t="shared" si="11"/>
        <v>0</v>
      </c>
      <c r="CL30" s="375">
        <f t="shared" si="11"/>
        <v>0</v>
      </c>
      <c r="CM30" s="375">
        <f t="shared" si="11"/>
        <v>0</v>
      </c>
      <c r="CN30" s="375">
        <f t="shared" si="11"/>
        <v>0</v>
      </c>
      <c r="CO30" s="375">
        <f t="shared" si="11"/>
        <v>0</v>
      </c>
      <c r="CP30" s="375">
        <f t="shared" si="11"/>
        <v>0</v>
      </c>
      <c r="CQ30" s="375">
        <f t="shared" si="11"/>
        <v>0</v>
      </c>
      <c r="CR30" s="375">
        <f t="shared" si="8"/>
        <v>-3.2291666720993817E-3</v>
      </c>
    </row>
    <row r="31" spans="2:96">
      <c r="B31" s="456"/>
      <c r="C31" s="456"/>
      <c r="D31" s="371">
        <v>75682.289999999994</v>
      </c>
      <c r="E31" s="371">
        <f t="shared" si="6"/>
        <v>788.3571874999999</v>
      </c>
      <c r="F31" s="371">
        <f t="shared" si="7"/>
        <v>8</v>
      </c>
      <c r="G31" s="371">
        <v>96</v>
      </c>
      <c r="H31" s="372">
        <v>42547</v>
      </c>
      <c r="I31" s="373">
        <f t="shared" si="12"/>
        <v>45467</v>
      </c>
      <c r="J31" s="456"/>
      <c r="K31" s="374">
        <v>54396.73</v>
      </c>
      <c r="L31" s="375">
        <v>788.35</v>
      </c>
      <c r="M31" s="375">
        <v>788.35</v>
      </c>
      <c r="N31" s="375">
        <v>788.35</v>
      </c>
      <c r="O31" s="375">
        <v>788.35</v>
      </c>
      <c r="P31" s="375">
        <v>788.35</v>
      </c>
      <c r="Q31" s="375">
        <v>788.35</v>
      </c>
      <c r="R31" s="375">
        <v>788.35</v>
      </c>
      <c r="S31" s="375">
        <v>788.35</v>
      </c>
      <c r="T31" s="375">
        <v>788.35</v>
      </c>
      <c r="U31" s="375">
        <f t="shared" si="13"/>
        <v>788.3571874999999</v>
      </c>
      <c r="V31" s="375">
        <f t="shared" si="13"/>
        <v>788.3571874999999</v>
      </c>
      <c r="W31" s="375">
        <f t="shared" si="13"/>
        <v>788.3571874999999</v>
      </c>
      <c r="X31" s="375">
        <f t="shared" si="13"/>
        <v>788.3571874999999</v>
      </c>
      <c r="Y31" s="375">
        <f t="shared" si="13"/>
        <v>788.3571874999999</v>
      </c>
      <c r="Z31" s="375">
        <f t="shared" si="13"/>
        <v>788.3571874999999</v>
      </c>
      <c r="AA31" s="375">
        <f t="shared" si="13"/>
        <v>788.3571874999999</v>
      </c>
      <c r="AB31" s="375">
        <f t="shared" si="13"/>
        <v>788.3571874999999</v>
      </c>
      <c r="AC31" s="375">
        <f t="shared" si="13"/>
        <v>788.3571874999999</v>
      </c>
      <c r="AD31" s="375">
        <f t="shared" si="13"/>
        <v>788.3571874999999</v>
      </c>
      <c r="AE31" s="375">
        <f t="shared" si="13"/>
        <v>788.3571874999999</v>
      </c>
      <c r="AF31" s="375">
        <f t="shared" si="13"/>
        <v>788.3571874999999</v>
      </c>
      <c r="AG31" s="375">
        <f t="shared" si="13"/>
        <v>788.3571874999999</v>
      </c>
      <c r="AH31" s="375">
        <f t="shared" si="13"/>
        <v>788.3571874999999</v>
      </c>
      <c r="AI31" s="375">
        <f t="shared" si="13"/>
        <v>788.3571874999999</v>
      </c>
      <c r="AJ31" s="375">
        <f t="shared" si="13"/>
        <v>788.3571874999999</v>
      </c>
      <c r="AK31" s="375">
        <f t="shared" si="14"/>
        <v>788.3571874999999</v>
      </c>
      <c r="AL31" s="375">
        <f t="shared" si="14"/>
        <v>788.3571874999999</v>
      </c>
      <c r="AM31" s="375">
        <f t="shared" si="14"/>
        <v>788.3571874999999</v>
      </c>
      <c r="AN31" s="375">
        <f t="shared" si="14"/>
        <v>788.3571874999999</v>
      </c>
      <c r="AO31" s="375">
        <f t="shared" si="14"/>
        <v>788.3571874999999</v>
      </c>
      <c r="AP31" s="375">
        <f t="shared" si="14"/>
        <v>788.3571874999999</v>
      </c>
      <c r="AQ31" s="375">
        <f t="shared" si="14"/>
        <v>788.3571874999999</v>
      </c>
      <c r="AR31" s="375">
        <f t="shared" si="14"/>
        <v>788.3571874999999</v>
      </c>
      <c r="AS31" s="375">
        <f t="shared" si="14"/>
        <v>788.3571874999999</v>
      </c>
      <c r="AT31" s="375">
        <f t="shared" si="14"/>
        <v>788.3571874999999</v>
      </c>
      <c r="AU31" s="375">
        <f t="shared" si="14"/>
        <v>788.3571874999999</v>
      </c>
      <c r="AV31" s="375">
        <f t="shared" si="14"/>
        <v>788.3571874999999</v>
      </c>
      <c r="AW31" s="375">
        <f t="shared" si="14"/>
        <v>788.3571874999999</v>
      </c>
      <c r="AX31" s="375">
        <f t="shared" si="14"/>
        <v>788.3571874999999</v>
      </c>
      <c r="AY31" s="375">
        <f t="shared" si="14"/>
        <v>788.3571874999999</v>
      </c>
      <c r="AZ31" s="375">
        <f t="shared" si="14"/>
        <v>788.3571874999999</v>
      </c>
      <c r="BA31" s="375">
        <f t="shared" si="15"/>
        <v>788.3571874999999</v>
      </c>
      <c r="BB31" s="375">
        <f t="shared" si="15"/>
        <v>788.3571874999999</v>
      </c>
      <c r="BC31" s="375">
        <f t="shared" si="15"/>
        <v>788.3571874999999</v>
      </c>
      <c r="BD31" s="375">
        <f t="shared" si="15"/>
        <v>788.3571874999999</v>
      </c>
      <c r="BE31" s="375">
        <f t="shared" si="15"/>
        <v>788.3571874999999</v>
      </c>
      <c r="BF31" s="375">
        <f t="shared" si="15"/>
        <v>788.3571874999999</v>
      </c>
      <c r="BG31" s="375">
        <f t="shared" si="15"/>
        <v>788.3571874999999</v>
      </c>
      <c r="BH31" s="375">
        <f t="shared" si="15"/>
        <v>788.3571874999999</v>
      </c>
      <c r="BI31" s="375">
        <f t="shared" si="15"/>
        <v>788.3571874999999</v>
      </c>
      <c r="BJ31" s="375">
        <f t="shared" si="15"/>
        <v>788.3571874999999</v>
      </c>
      <c r="BK31" s="375">
        <f t="shared" si="15"/>
        <v>788.3571874999999</v>
      </c>
      <c r="BL31" s="375">
        <f t="shared" si="15"/>
        <v>788.3571874999999</v>
      </c>
      <c r="BM31" s="375">
        <f t="shared" si="15"/>
        <v>788.3571874999999</v>
      </c>
      <c r="BN31" s="375">
        <f t="shared" si="15"/>
        <v>788.3571874999999</v>
      </c>
      <c r="BO31" s="375">
        <f t="shared" si="15"/>
        <v>788.3571874999999</v>
      </c>
      <c r="BP31" s="375">
        <f t="shared" si="15"/>
        <v>788.3571874999999</v>
      </c>
      <c r="BQ31" s="375">
        <f t="shared" si="16"/>
        <v>788.3571874999999</v>
      </c>
      <c r="BR31" s="375">
        <f t="shared" si="16"/>
        <v>788.3571874999999</v>
      </c>
      <c r="BS31" s="375">
        <f t="shared" si="16"/>
        <v>788.3571874999999</v>
      </c>
      <c r="BT31" s="375">
        <f t="shared" si="16"/>
        <v>788.3571874999999</v>
      </c>
      <c r="BU31" s="375">
        <f t="shared" si="16"/>
        <v>788.3571874999999</v>
      </c>
      <c r="BV31" s="375">
        <f t="shared" si="16"/>
        <v>788.3571874999999</v>
      </c>
      <c r="BW31" s="375">
        <f t="shared" si="16"/>
        <v>788.3571874999999</v>
      </c>
      <c r="BX31" s="375">
        <f t="shared" si="16"/>
        <v>788.3571874999999</v>
      </c>
      <c r="BY31" s="375">
        <f t="shared" si="16"/>
        <v>788.3571874999999</v>
      </c>
      <c r="BZ31" s="375">
        <f t="shared" si="16"/>
        <v>788.3571874999999</v>
      </c>
      <c r="CA31" s="375">
        <f t="shared" si="16"/>
        <v>788.3571874999999</v>
      </c>
      <c r="CB31" s="375">
        <f t="shared" si="16"/>
        <v>788.3571874999999</v>
      </c>
      <c r="CC31" s="375">
        <f t="shared" si="16"/>
        <v>0</v>
      </c>
      <c r="CD31" s="375">
        <f t="shared" si="16"/>
        <v>0</v>
      </c>
      <c r="CE31" s="375">
        <f t="shared" si="16"/>
        <v>0</v>
      </c>
      <c r="CF31" s="375">
        <f t="shared" si="16"/>
        <v>0</v>
      </c>
      <c r="CG31" s="375">
        <f t="shared" si="11"/>
        <v>0</v>
      </c>
      <c r="CH31" s="375">
        <f t="shared" si="11"/>
        <v>0</v>
      </c>
      <c r="CI31" s="375">
        <f t="shared" si="11"/>
        <v>0</v>
      </c>
      <c r="CJ31" s="375">
        <f t="shared" si="11"/>
        <v>0</v>
      </c>
      <c r="CK31" s="375">
        <f t="shared" si="11"/>
        <v>0</v>
      </c>
      <c r="CL31" s="375">
        <f t="shared" si="11"/>
        <v>0</v>
      </c>
      <c r="CM31" s="375">
        <f t="shared" si="11"/>
        <v>0</v>
      </c>
      <c r="CN31" s="375">
        <f t="shared" si="11"/>
        <v>0</v>
      </c>
      <c r="CO31" s="375">
        <f t="shared" si="11"/>
        <v>0</v>
      </c>
      <c r="CP31" s="375">
        <f t="shared" si="11"/>
        <v>0</v>
      </c>
      <c r="CQ31" s="375">
        <f t="shared" si="11"/>
        <v>0</v>
      </c>
      <c r="CR31" s="375">
        <f t="shared" si="8"/>
        <v>0.14875000002939487</v>
      </c>
    </row>
    <row r="32" spans="2:96">
      <c r="B32" s="456"/>
      <c r="C32" s="456"/>
      <c r="D32" s="371">
        <v>35586.92</v>
      </c>
      <c r="E32" s="371">
        <f t="shared" si="6"/>
        <v>370.6970833333333</v>
      </c>
      <c r="F32" s="371">
        <f t="shared" si="7"/>
        <v>8</v>
      </c>
      <c r="G32" s="371">
        <v>96</v>
      </c>
      <c r="H32" s="372">
        <v>43063</v>
      </c>
      <c r="I32" s="373">
        <f t="shared" si="12"/>
        <v>45983</v>
      </c>
      <c r="J32" s="456"/>
      <c r="K32" s="374">
        <v>32250.62</v>
      </c>
      <c r="L32" s="375">
        <v>370.7</v>
      </c>
      <c r="M32" s="375">
        <v>370.7</v>
      </c>
      <c r="N32" s="375">
        <v>370.7</v>
      </c>
      <c r="O32" s="375">
        <v>370.7</v>
      </c>
      <c r="P32" s="375">
        <v>370.7</v>
      </c>
      <c r="Q32" s="375">
        <v>370.7</v>
      </c>
      <c r="R32" s="375">
        <v>370.7</v>
      </c>
      <c r="S32" s="375">
        <v>370.7</v>
      </c>
      <c r="T32" s="375">
        <v>370.7</v>
      </c>
      <c r="U32" s="375">
        <f t="shared" si="13"/>
        <v>370.6970833333333</v>
      </c>
      <c r="V32" s="375">
        <f t="shared" si="13"/>
        <v>370.6970833333333</v>
      </c>
      <c r="W32" s="375">
        <f t="shared" si="13"/>
        <v>370.6970833333333</v>
      </c>
      <c r="X32" s="375">
        <f t="shared" si="13"/>
        <v>370.6970833333333</v>
      </c>
      <c r="Y32" s="375">
        <f t="shared" si="13"/>
        <v>370.6970833333333</v>
      </c>
      <c r="Z32" s="375">
        <f t="shared" si="13"/>
        <v>370.6970833333333</v>
      </c>
      <c r="AA32" s="375">
        <f t="shared" si="13"/>
        <v>370.6970833333333</v>
      </c>
      <c r="AB32" s="375">
        <f t="shared" si="13"/>
        <v>370.6970833333333</v>
      </c>
      <c r="AC32" s="375">
        <f t="shared" si="13"/>
        <v>370.6970833333333</v>
      </c>
      <c r="AD32" s="375">
        <f t="shared" si="13"/>
        <v>370.6970833333333</v>
      </c>
      <c r="AE32" s="375">
        <f t="shared" si="13"/>
        <v>370.6970833333333</v>
      </c>
      <c r="AF32" s="375">
        <f t="shared" si="13"/>
        <v>370.6970833333333</v>
      </c>
      <c r="AG32" s="375">
        <f t="shared" si="13"/>
        <v>370.6970833333333</v>
      </c>
      <c r="AH32" s="375">
        <f t="shared" si="13"/>
        <v>370.6970833333333</v>
      </c>
      <c r="AI32" s="375">
        <f t="shared" si="13"/>
        <v>370.6970833333333</v>
      </c>
      <c r="AJ32" s="375">
        <f t="shared" si="13"/>
        <v>370.6970833333333</v>
      </c>
      <c r="AK32" s="375">
        <f t="shared" si="14"/>
        <v>370.6970833333333</v>
      </c>
      <c r="AL32" s="375">
        <f t="shared" si="14"/>
        <v>370.6970833333333</v>
      </c>
      <c r="AM32" s="375">
        <f t="shared" si="14"/>
        <v>370.6970833333333</v>
      </c>
      <c r="AN32" s="375">
        <f t="shared" si="14"/>
        <v>370.6970833333333</v>
      </c>
      <c r="AO32" s="375">
        <f t="shared" si="14"/>
        <v>370.6970833333333</v>
      </c>
      <c r="AP32" s="375">
        <f t="shared" si="14"/>
        <v>370.6970833333333</v>
      </c>
      <c r="AQ32" s="375">
        <f t="shared" si="14"/>
        <v>370.6970833333333</v>
      </c>
      <c r="AR32" s="375">
        <f t="shared" si="14"/>
        <v>370.6970833333333</v>
      </c>
      <c r="AS32" s="375">
        <f t="shared" si="14"/>
        <v>370.6970833333333</v>
      </c>
      <c r="AT32" s="375">
        <f t="shared" si="14"/>
        <v>370.6970833333333</v>
      </c>
      <c r="AU32" s="375">
        <f t="shared" si="14"/>
        <v>370.6970833333333</v>
      </c>
      <c r="AV32" s="375">
        <f t="shared" si="14"/>
        <v>370.6970833333333</v>
      </c>
      <c r="AW32" s="375">
        <f t="shared" si="14"/>
        <v>370.6970833333333</v>
      </c>
      <c r="AX32" s="375">
        <f t="shared" si="14"/>
        <v>370.6970833333333</v>
      </c>
      <c r="AY32" s="375">
        <f t="shared" si="14"/>
        <v>370.6970833333333</v>
      </c>
      <c r="AZ32" s="375">
        <f t="shared" si="14"/>
        <v>370.6970833333333</v>
      </c>
      <c r="BA32" s="375">
        <f t="shared" si="15"/>
        <v>370.6970833333333</v>
      </c>
      <c r="BB32" s="375">
        <f t="shared" si="15"/>
        <v>370.6970833333333</v>
      </c>
      <c r="BC32" s="375">
        <f t="shared" si="15"/>
        <v>370.6970833333333</v>
      </c>
      <c r="BD32" s="375">
        <f t="shared" si="15"/>
        <v>370.6970833333333</v>
      </c>
      <c r="BE32" s="375">
        <f t="shared" si="15"/>
        <v>370.6970833333333</v>
      </c>
      <c r="BF32" s="375">
        <f t="shared" si="15"/>
        <v>370.6970833333333</v>
      </c>
      <c r="BG32" s="375">
        <f t="shared" si="15"/>
        <v>370.6970833333333</v>
      </c>
      <c r="BH32" s="375">
        <f t="shared" si="15"/>
        <v>370.6970833333333</v>
      </c>
      <c r="BI32" s="375">
        <f t="shared" si="15"/>
        <v>370.6970833333333</v>
      </c>
      <c r="BJ32" s="375">
        <f t="shared" si="15"/>
        <v>370.6970833333333</v>
      </c>
      <c r="BK32" s="375">
        <f t="shared" si="15"/>
        <v>370.6970833333333</v>
      </c>
      <c r="BL32" s="375">
        <f t="shared" si="15"/>
        <v>370.6970833333333</v>
      </c>
      <c r="BM32" s="375">
        <f t="shared" si="15"/>
        <v>370.6970833333333</v>
      </c>
      <c r="BN32" s="375">
        <f t="shared" si="15"/>
        <v>370.6970833333333</v>
      </c>
      <c r="BO32" s="375">
        <f t="shared" si="15"/>
        <v>370.6970833333333</v>
      </c>
      <c r="BP32" s="375">
        <f t="shared" si="15"/>
        <v>370.6970833333333</v>
      </c>
      <c r="BQ32" s="375">
        <f t="shared" si="16"/>
        <v>370.6970833333333</v>
      </c>
      <c r="BR32" s="375">
        <f t="shared" si="16"/>
        <v>370.6970833333333</v>
      </c>
      <c r="BS32" s="375">
        <f t="shared" si="16"/>
        <v>370.6970833333333</v>
      </c>
      <c r="BT32" s="375">
        <f t="shared" si="16"/>
        <v>370.6970833333333</v>
      </c>
      <c r="BU32" s="375">
        <f t="shared" si="16"/>
        <v>370.6970833333333</v>
      </c>
      <c r="BV32" s="375">
        <f t="shared" si="16"/>
        <v>370.6970833333333</v>
      </c>
      <c r="BW32" s="375">
        <f t="shared" si="16"/>
        <v>370.6970833333333</v>
      </c>
      <c r="BX32" s="375">
        <f t="shared" si="16"/>
        <v>370.6970833333333</v>
      </c>
      <c r="BY32" s="375">
        <f t="shared" si="16"/>
        <v>370.6970833333333</v>
      </c>
      <c r="BZ32" s="375">
        <f t="shared" si="16"/>
        <v>370.6970833333333</v>
      </c>
      <c r="CA32" s="375">
        <f t="shared" si="16"/>
        <v>370.6970833333333</v>
      </c>
      <c r="CB32" s="375">
        <f t="shared" si="16"/>
        <v>370.6970833333333</v>
      </c>
      <c r="CC32" s="375">
        <f t="shared" si="16"/>
        <v>370.6970833333333</v>
      </c>
      <c r="CD32" s="375">
        <f t="shared" si="16"/>
        <v>370.6970833333333</v>
      </c>
      <c r="CE32" s="375">
        <f t="shared" si="16"/>
        <v>370.6970833333333</v>
      </c>
      <c r="CF32" s="375">
        <f t="shared" si="16"/>
        <v>370.6970833333333</v>
      </c>
      <c r="CG32" s="375">
        <f t="shared" si="11"/>
        <v>370.6970833333333</v>
      </c>
      <c r="CH32" s="375">
        <f t="shared" si="11"/>
        <v>370.6970833333333</v>
      </c>
      <c r="CI32" s="375">
        <f t="shared" si="11"/>
        <v>370.6970833333333</v>
      </c>
      <c r="CJ32" s="375">
        <f t="shared" si="11"/>
        <v>370.6970833333333</v>
      </c>
      <c r="CK32" s="375">
        <f t="shared" si="11"/>
        <v>370.6970833333333</v>
      </c>
      <c r="CL32" s="375">
        <f t="shared" si="11"/>
        <v>370.6970833333333</v>
      </c>
      <c r="CM32" s="375">
        <f t="shared" si="11"/>
        <v>370.6970833333333</v>
      </c>
      <c r="CN32" s="375">
        <f t="shared" si="11"/>
        <v>370.6970833333333</v>
      </c>
      <c r="CO32" s="375">
        <f t="shared" si="11"/>
        <v>370.6970833333333</v>
      </c>
      <c r="CP32" s="375">
        <f t="shared" si="11"/>
        <v>370.6970833333333</v>
      </c>
      <c r="CQ32" s="375">
        <f t="shared" si="11"/>
        <v>370.6970833333333</v>
      </c>
      <c r="CR32" s="375">
        <f t="shared" si="8"/>
        <v>1112.0387500000434</v>
      </c>
    </row>
    <row r="33" spans="2:96">
      <c r="B33" s="456"/>
      <c r="C33" s="456"/>
      <c r="D33" s="380">
        <v>13429</v>
      </c>
      <c r="E33" s="380">
        <f t="shared" si="6"/>
        <v>139.88541666666666</v>
      </c>
      <c r="F33" s="380">
        <f t="shared" si="7"/>
        <v>8</v>
      </c>
      <c r="G33" s="380">
        <v>96</v>
      </c>
      <c r="H33" s="381">
        <v>40500</v>
      </c>
      <c r="I33" s="382">
        <f t="shared" si="12"/>
        <v>43420</v>
      </c>
      <c r="J33" s="456"/>
      <c r="K33" s="383">
        <v>279.77999999999997</v>
      </c>
      <c r="L33" s="384">
        <v>139.88999999999999</v>
      </c>
      <c r="M33" s="384">
        <v>139.88999999999999</v>
      </c>
      <c r="N33" s="376">
        <v>0</v>
      </c>
      <c r="O33" s="376">
        <v>0</v>
      </c>
      <c r="P33" s="376">
        <v>0</v>
      </c>
      <c r="Q33" s="376">
        <v>0</v>
      </c>
      <c r="R33" s="376">
        <v>0</v>
      </c>
      <c r="S33" s="376">
        <v>0</v>
      </c>
      <c r="T33" s="376">
        <v>0</v>
      </c>
      <c r="U33" s="376">
        <f t="shared" si="13"/>
        <v>0</v>
      </c>
      <c r="V33" s="376">
        <f t="shared" si="13"/>
        <v>0</v>
      </c>
      <c r="W33" s="376">
        <f t="shared" si="13"/>
        <v>0</v>
      </c>
      <c r="X33" s="376">
        <f t="shared" si="13"/>
        <v>0</v>
      </c>
      <c r="Y33" s="376">
        <f t="shared" si="13"/>
        <v>0</v>
      </c>
      <c r="Z33" s="376">
        <f t="shared" si="13"/>
        <v>0</v>
      </c>
      <c r="AA33" s="376">
        <f t="shared" si="13"/>
        <v>0</v>
      </c>
      <c r="AB33" s="376">
        <f t="shared" si="13"/>
        <v>0</v>
      </c>
      <c r="AC33" s="376">
        <f t="shared" si="13"/>
        <v>0</v>
      </c>
      <c r="AD33" s="376">
        <f t="shared" si="13"/>
        <v>0</v>
      </c>
      <c r="AE33" s="376">
        <f t="shared" si="13"/>
        <v>0</v>
      </c>
      <c r="AF33" s="376">
        <f t="shared" si="13"/>
        <v>0</v>
      </c>
      <c r="AG33" s="376">
        <f t="shared" si="13"/>
        <v>0</v>
      </c>
      <c r="AH33" s="376">
        <f t="shared" si="13"/>
        <v>0</v>
      </c>
      <c r="AI33" s="376">
        <f t="shared" si="13"/>
        <v>0</v>
      </c>
      <c r="AJ33" s="376">
        <f t="shared" si="13"/>
        <v>0</v>
      </c>
      <c r="AK33" s="376">
        <f t="shared" si="14"/>
        <v>0</v>
      </c>
      <c r="AL33" s="376">
        <f t="shared" si="14"/>
        <v>0</v>
      </c>
      <c r="AM33" s="376">
        <f t="shared" si="14"/>
        <v>0</v>
      </c>
      <c r="AN33" s="376">
        <f t="shared" si="14"/>
        <v>0</v>
      </c>
      <c r="AO33" s="376">
        <f t="shared" si="14"/>
        <v>0</v>
      </c>
      <c r="AP33" s="376">
        <f t="shared" si="14"/>
        <v>0</v>
      </c>
      <c r="AQ33" s="376">
        <f t="shared" si="14"/>
        <v>0</v>
      </c>
      <c r="AR33" s="376">
        <f t="shared" si="14"/>
        <v>0</v>
      </c>
      <c r="AS33" s="376">
        <f t="shared" si="14"/>
        <v>0</v>
      </c>
      <c r="AT33" s="376">
        <f t="shared" si="14"/>
        <v>0</v>
      </c>
      <c r="AU33" s="376">
        <f t="shared" si="14"/>
        <v>0</v>
      </c>
      <c r="AV33" s="376">
        <f t="shared" si="14"/>
        <v>0</v>
      </c>
      <c r="AW33" s="376">
        <f t="shared" si="14"/>
        <v>0</v>
      </c>
      <c r="AX33" s="376">
        <f t="shared" si="14"/>
        <v>0</v>
      </c>
      <c r="AY33" s="376">
        <f t="shared" si="14"/>
        <v>0</v>
      </c>
      <c r="AZ33" s="376">
        <f t="shared" si="14"/>
        <v>0</v>
      </c>
      <c r="BA33" s="376">
        <f t="shared" si="15"/>
        <v>0</v>
      </c>
      <c r="BB33" s="376">
        <f t="shared" si="15"/>
        <v>0</v>
      </c>
      <c r="BC33" s="376">
        <f t="shared" si="15"/>
        <v>0</v>
      </c>
      <c r="BD33" s="376">
        <f t="shared" si="15"/>
        <v>0</v>
      </c>
      <c r="BE33" s="376">
        <f t="shared" si="15"/>
        <v>0</v>
      </c>
      <c r="BF33" s="376">
        <f t="shared" si="15"/>
        <v>0</v>
      </c>
      <c r="BG33" s="376">
        <f t="shared" si="15"/>
        <v>0</v>
      </c>
      <c r="BH33" s="376">
        <f t="shared" si="15"/>
        <v>0</v>
      </c>
      <c r="BI33" s="376">
        <f t="shared" si="15"/>
        <v>0</v>
      </c>
      <c r="BJ33" s="376">
        <f t="shared" si="15"/>
        <v>0</v>
      </c>
      <c r="BK33" s="376">
        <f t="shared" si="15"/>
        <v>0</v>
      </c>
      <c r="BL33" s="376">
        <f t="shared" si="15"/>
        <v>0</v>
      </c>
      <c r="BM33" s="376">
        <f t="shared" si="15"/>
        <v>0</v>
      </c>
      <c r="BN33" s="376">
        <f t="shared" si="15"/>
        <v>0</v>
      </c>
      <c r="BO33" s="376">
        <f t="shared" si="15"/>
        <v>0</v>
      </c>
      <c r="BP33" s="376">
        <f t="shared" si="15"/>
        <v>0</v>
      </c>
      <c r="BQ33" s="376">
        <f t="shared" si="16"/>
        <v>0</v>
      </c>
      <c r="BR33" s="376">
        <f t="shared" si="16"/>
        <v>0</v>
      </c>
      <c r="BS33" s="376">
        <f t="shared" si="16"/>
        <v>0</v>
      </c>
      <c r="BT33" s="376">
        <f t="shared" si="16"/>
        <v>0</v>
      </c>
      <c r="BU33" s="376">
        <f t="shared" si="16"/>
        <v>0</v>
      </c>
      <c r="BV33" s="376">
        <f t="shared" si="16"/>
        <v>0</v>
      </c>
      <c r="BW33" s="376">
        <f t="shared" si="16"/>
        <v>0</v>
      </c>
      <c r="BX33" s="376">
        <f t="shared" si="16"/>
        <v>0</v>
      </c>
      <c r="BY33" s="376">
        <f t="shared" si="16"/>
        <v>0</v>
      </c>
      <c r="BZ33" s="376">
        <f t="shared" si="16"/>
        <v>0</v>
      </c>
      <c r="CA33" s="376">
        <f t="shared" si="16"/>
        <v>0</v>
      </c>
      <c r="CB33" s="376">
        <f t="shared" si="16"/>
        <v>0</v>
      </c>
      <c r="CC33" s="376">
        <f t="shared" si="16"/>
        <v>0</v>
      </c>
      <c r="CD33" s="376">
        <f t="shared" si="16"/>
        <v>0</v>
      </c>
      <c r="CE33" s="376">
        <f t="shared" si="16"/>
        <v>0</v>
      </c>
      <c r="CF33" s="376">
        <f t="shared" si="16"/>
        <v>0</v>
      </c>
      <c r="CG33" s="376">
        <f t="shared" si="11"/>
        <v>0</v>
      </c>
      <c r="CH33" s="376">
        <f t="shared" si="11"/>
        <v>0</v>
      </c>
      <c r="CI33" s="376">
        <f t="shared" si="11"/>
        <v>0</v>
      </c>
      <c r="CJ33" s="376">
        <f t="shared" si="11"/>
        <v>0</v>
      </c>
      <c r="CK33" s="376">
        <f t="shared" si="11"/>
        <v>0</v>
      </c>
      <c r="CL33" s="376">
        <f t="shared" si="11"/>
        <v>0</v>
      </c>
      <c r="CM33" s="376">
        <f t="shared" si="11"/>
        <v>0</v>
      </c>
      <c r="CN33" s="376">
        <f t="shared" si="11"/>
        <v>0</v>
      </c>
      <c r="CO33" s="376">
        <f t="shared" si="11"/>
        <v>0</v>
      </c>
      <c r="CP33" s="376">
        <f t="shared" si="11"/>
        <v>0</v>
      </c>
      <c r="CQ33" s="376">
        <f t="shared" si="11"/>
        <v>0</v>
      </c>
      <c r="CR33" s="376">
        <f t="shared" si="8"/>
        <v>0</v>
      </c>
    </row>
    <row r="34" spans="2:96">
      <c r="B34" s="456"/>
      <c r="C34" s="456"/>
      <c r="D34" s="380">
        <v>5478.66</v>
      </c>
      <c r="E34" s="380">
        <f t="shared" si="6"/>
        <v>57.069375000000001</v>
      </c>
      <c r="F34" s="380">
        <f t="shared" si="7"/>
        <v>8</v>
      </c>
      <c r="G34" s="380">
        <v>96</v>
      </c>
      <c r="H34" s="381">
        <v>40817</v>
      </c>
      <c r="I34" s="382">
        <f t="shared" si="12"/>
        <v>43737</v>
      </c>
      <c r="J34" s="456"/>
      <c r="K34" s="383">
        <v>627.77</v>
      </c>
      <c r="L34" s="384">
        <v>57.07</v>
      </c>
      <c r="M34" s="384">
        <v>57.07</v>
      </c>
      <c r="N34" s="384">
        <v>57.07</v>
      </c>
      <c r="O34" s="384">
        <v>57.07</v>
      </c>
      <c r="P34" s="384">
        <v>57.07</v>
      </c>
      <c r="Q34" s="384">
        <v>57.07</v>
      </c>
      <c r="R34" s="384">
        <v>57.07</v>
      </c>
      <c r="S34" s="384">
        <v>57.07</v>
      </c>
      <c r="T34" s="384">
        <v>57.07</v>
      </c>
      <c r="U34" s="384">
        <f t="shared" si="13"/>
        <v>57.069375000000001</v>
      </c>
      <c r="V34" s="384">
        <f t="shared" si="13"/>
        <v>57.069375000000001</v>
      </c>
      <c r="W34" s="384">
        <v>0</v>
      </c>
      <c r="X34" s="384">
        <f t="shared" si="13"/>
        <v>0</v>
      </c>
      <c r="Y34" s="384">
        <f t="shared" si="13"/>
        <v>0</v>
      </c>
      <c r="Z34" s="384">
        <f t="shared" si="13"/>
        <v>0</v>
      </c>
      <c r="AA34" s="384">
        <f t="shared" si="13"/>
        <v>0</v>
      </c>
      <c r="AB34" s="384">
        <f t="shared" si="13"/>
        <v>0</v>
      </c>
      <c r="AC34" s="384">
        <f t="shared" si="13"/>
        <v>0</v>
      </c>
      <c r="AD34" s="384">
        <f t="shared" si="13"/>
        <v>0</v>
      </c>
      <c r="AE34" s="384">
        <f t="shared" si="13"/>
        <v>0</v>
      </c>
      <c r="AF34" s="384">
        <f t="shared" si="13"/>
        <v>0</v>
      </c>
      <c r="AG34" s="384">
        <f t="shared" si="13"/>
        <v>0</v>
      </c>
      <c r="AH34" s="384">
        <f t="shared" si="13"/>
        <v>0</v>
      </c>
      <c r="AI34" s="384">
        <f t="shared" si="13"/>
        <v>0</v>
      </c>
      <c r="AJ34" s="384">
        <f t="shared" si="13"/>
        <v>0</v>
      </c>
      <c r="AK34" s="384">
        <f t="shared" si="14"/>
        <v>0</v>
      </c>
      <c r="AL34" s="384">
        <f t="shared" si="14"/>
        <v>0</v>
      </c>
      <c r="AM34" s="384">
        <f t="shared" si="14"/>
        <v>0</v>
      </c>
      <c r="AN34" s="384">
        <f t="shared" si="14"/>
        <v>0</v>
      </c>
      <c r="AO34" s="384">
        <f t="shared" si="14"/>
        <v>0</v>
      </c>
      <c r="AP34" s="384">
        <f t="shared" si="14"/>
        <v>0</v>
      </c>
      <c r="AQ34" s="384">
        <f t="shared" si="14"/>
        <v>0</v>
      </c>
      <c r="AR34" s="384">
        <f t="shared" si="14"/>
        <v>0</v>
      </c>
      <c r="AS34" s="384">
        <f t="shared" si="14"/>
        <v>0</v>
      </c>
      <c r="AT34" s="384">
        <f t="shared" si="14"/>
        <v>0</v>
      </c>
      <c r="AU34" s="384">
        <f t="shared" si="14"/>
        <v>0</v>
      </c>
      <c r="AV34" s="384">
        <f t="shared" si="14"/>
        <v>0</v>
      </c>
      <c r="AW34" s="384">
        <f t="shared" si="14"/>
        <v>0</v>
      </c>
      <c r="AX34" s="384">
        <f t="shared" si="14"/>
        <v>0</v>
      </c>
      <c r="AY34" s="384">
        <f t="shared" si="14"/>
        <v>0</v>
      </c>
      <c r="AZ34" s="384">
        <f t="shared" si="14"/>
        <v>0</v>
      </c>
      <c r="BA34" s="384">
        <f t="shared" si="15"/>
        <v>0</v>
      </c>
      <c r="BB34" s="384">
        <f t="shared" si="15"/>
        <v>0</v>
      </c>
      <c r="BC34" s="384">
        <f t="shared" si="15"/>
        <v>0</v>
      </c>
      <c r="BD34" s="384">
        <f t="shared" si="15"/>
        <v>0</v>
      </c>
      <c r="BE34" s="384">
        <f t="shared" si="15"/>
        <v>0</v>
      </c>
      <c r="BF34" s="384">
        <f t="shared" si="15"/>
        <v>0</v>
      </c>
      <c r="BG34" s="384">
        <f t="shared" si="15"/>
        <v>0</v>
      </c>
      <c r="BH34" s="384">
        <f t="shared" si="15"/>
        <v>0</v>
      </c>
      <c r="BI34" s="384">
        <f t="shared" si="15"/>
        <v>0</v>
      </c>
      <c r="BJ34" s="384">
        <f t="shared" si="15"/>
        <v>0</v>
      </c>
      <c r="BK34" s="384">
        <f t="shared" si="15"/>
        <v>0</v>
      </c>
      <c r="BL34" s="384">
        <f t="shared" si="15"/>
        <v>0</v>
      </c>
      <c r="BM34" s="384">
        <f t="shared" si="15"/>
        <v>0</v>
      </c>
      <c r="BN34" s="384">
        <f t="shared" si="15"/>
        <v>0</v>
      </c>
      <c r="BO34" s="384">
        <f t="shared" si="15"/>
        <v>0</v>
      </c>
      <c r="BP34" s="384">
        <f t="shared" si="15"/>
        <v>0</v>
      </c>
      <c r="BQ34" s="384">
        <f t="shared" si="16"/>
        <v>0</v>
      </c>
      <c r="BR34" s="384">
        <f t="shared" si="16"/>
        <v>0</v>
      </c>
      <c r="BS34" s="384">
        <f t="shared" si="16"/>
        <v>0</v>
      </c>
      <c r="BT34" s="384">
        <f t="shared" si="16"/>
        <v>0</v>
      </c>
      <c r="BU34" s="384">
        <f t="shared" si="16"/>
        <v>0</v>
      </c>
      <c r="BV34" s="384">
        <f t="shared" si="16"/>
        <v>0</v>
      </c>
      <c r="BW34" s="384">
        <f t="shared" si="16"/>
        <v>0</v>
      </c>
      <c r="BX34" s="384">
        <f t="shared" si="16"/>
        <v>0</v>
      </c>
      <c r="BY34" s="384">
        <f t="shared" si="16"/>
        <v>0</v>
      </c>
      <c r="BZ34" s="384">
        <f t="shared" si="16"/>
        <v>0</v>
      </c>
      <c r="CA34" s="384">
        <f t="shared" si="16"/>
        <v>0</v>
      </c>
      <c r="CB34" s="384">
        <f t="shared" si="16"/>
        <v>0</v>
      </c>
      <c r="CC34" s="384">
        <f t="shared" si="16"/>
        <v>0</v>
      </c>
      <c r="CD34" s="384">
        <f t="shared" si="16"/>
        <v>0</v>
      </c>
      <c r="CE34" s="384">
        <f t="shared" si="16"/>
        <v>0</v>
      </c>
      <c r="CF34" s="384">
        <f t="shared" si="16"/>
        <v>0</v>
      </c>
      <c r="CG34" s="384">
        <f t="shared" si="11"/>
        <v>0</v>
      </c>
      <c r="CH34" s="384">
        <f t="shared" si="11"/>
        <v>0</v>
      </c>
      <c r="CI34" s="384">
        <f t="shared" si="11"/>
        <v>0</v>
      </c>
      <c r="CJ34" s="384">
        <f t="shared" si="11"/>
        <v>0</v>
      </c>
      <c r="CK34" s="384">
        <f t="shared" si="11"/>
        <v>0</v>
      </c>
      <c r="CL34" s="384">
        <f t="shared" si="11"/>
        <v>0</v>
      </c>
      <c r="CM34" s="384">
        <f t="shared" si="11"/>
        <v>0</v>
      </c>
      <c r="CN34" s="384">
        <f t="shared" si="11"/>
        <v>0</v>
      </c>
      <c r="CO34" s="384">
        <f t="shared" si="11"/>
        <v>0</v>
      </c>
      <c r="CP34" s="384">
        <f t="shared" si="11"/>
        <v>0</v>
      </c>
      <c r="CQ34" s="384">
        <f t="shared" si="11"/>
        <v>0</v>
      </c>
      <c r="CR34" s="384">
        <f t="shared" si="8"/>
        <v>1.249999999913598E-3</v>
      </c>
    </row>
    <row r="35" spans="2:96">
      <c r="B35" s="456"/>
      <c r="C35" s="456"/>
      <c r="D35" s="380">
        <v>25103</v>
      </c>
      <c r="E35" s="380">
        <f t="shared" si="6"/>
        <v>261.48958333333331</v>
      </c>
      <c r="F35" s="380">
        <f t="shared" si="7"/>
        <v>8</v>
      </c>
      <c r="G35" s="380">
        <v>96</v>
      </c>
      <c r="H35" s="381">
        <v>41771</v>
      </c>
      <c r="I35" s="382">
        <f t="shared" si="12"/>
        <v>44691</v>
      </c>
      <c r="J35" s="456"/>
      <c r="K35" s="383">
        <v>11475.13</v>
      </c>
      <c r="L35" s="384">
        <v>261.51</v>
      </c>
      <c r="M35" s="384">
        <v>261.51</v>
      </c>
      <c r="N35" s="384">
        <v>261.51</v>
      </c>
      <c r="O35" s="384">
        <v>261.51</v>
      </c>
      <c r="P35" s="384">
        <v>261.51</v>
      </c>
      <c r="Q35" s="384">
        <v>261.51</v>
      </c>
      <c r="R35" s="384">
        <v>261.51</v>
      </c>
      <c r="S35" s="384">
        <v>261.51</v>
      </c>
      <c r="T35" s="384">
        <v>261.51</v>
      </c>
      <c r="U35" s="384">
        <f t="shared" si="13"/>
        <v>261.48958333333331</v>
      </c>
      <c r="V35" s="384">
        <f t="shared" si="13"/>
        <v>261.48958333333331</v>
      </c>
      <c r="W35" s="384">
        <f t="shared" si="13"/>
        <v>261.48958333333331</v>
      </c>
      <c r="X35" s="384">
        <f t="shared" si="13"/>
        <v>261.48958333333331</v>
      </c>
      <c r="Y35" s="384">
        <f t="shared" si="13"/>
        <v>261.48958333333331</v>
      </c>
      <c r="Z35" s="384">
        <f t="shared" si="13"/>
        <v>261.48958333333331</v>
      </c>
      <c r="AA35" s="384">
        <f t="shared" si="13"/>
        <v>261.48958333333331</v>
      </c>
      <c r="AB35" s="384">
        <f t="shared" si="13"/>
        <v>261.48958333333331</v>
      </c>
      <c r="AC35" s="384">
        <f t="shared" si="13"/>
        <v>261.48958333333331</v>
      </c>
      <c r="AD35" s="384">
        <f t="shared" si="13"/>
        <v>261.48958333333331</v>
      </c>
      <c r="AE35" s="384">
        <f t="shared" si="13"/>
        <v>261.48958333333331</v>
      </c>
      <c r="AF35" s="384">
        <f t="shared" si="13"/>
        <v>261.48958333333331</v>
      </c>
      <c r="AG35" s="384">
        <f t="shared" si="13"/>
        <v>261.48958333333331</v>
      </c>
      <c r="AH35" s="384">
        <f t="shared" si="13"/>
        <v>261.48958333333331</v>
      </c>
      <c r="AI35" s="384">
        <f t="shared" si="13"/>
        <v>261.48958333333331</v>
      </c>
      <c r="AJ35" s="384">
        <f t="shared" si="13"/>
        <v>261.48958333333331</v>
      </c>
      <c r="AK35" s="384">
        <f t="shared" si="14"/>
        <v>261.48958333333331</v>
      </c>
      <c r="AL35" s="384">
        <f t="shared" si="14"/>
        <v>261.48958333333331</v>
      </c>
      <c r="AM35" s="384">
        <f t="shared" si="14"/>
        <v>261.48958333333331</v>
      </c>
      <c r="AN35" s="384">
        <f t="shared" si="14"/>
        <v>261.48958333333331</v>
      </c>
      <c r="AO35" s="384">
        <f t="shared" si="14"/>
        <v>261.48958333333331</v>
      </c>
      <c r="AP35" s="384">
        <f t="shared" si="14"/>
        <v>261.48958333333331</v>
      </c>
      <c r="AQ35" s="384">
        <f t="shared" si="14"/>
        <v>261.48958333333331</v>
      </c>
      <c r="AR35" s="384">
        <f t="shared" si="14"/>
        <v>261.48958333333331</v>
      </c>
      <c r="AS35" s="384">
        <f t="shared" si="14"/>
        <v>261.48958333333331</v>
      </c>
      <c r="AT35" s="384">
        <f t="shared" si="14"/>
        <v>261.48958333333331</v>
      </c>
      <c r="AU35" s="384">
        <f t="shared" si="14"/>
        <v>261.48958333333331</v>
      </c>
      <c r="AV35" s="384">
        <f t="shared" si="14"/>
        <v>261.48958333333331</v>
      </c>
      <c r="AW35" s="384">
        <f t="shared" si="14"/>
        <v>261.48958333333331</v>
      </c>
      <c r="AX35" s="384">
        <f t="shared" si="14"/>
        <v>261.48958333333331</v>
      </c>
      <c r="AY35" s="384">
        <f t="shared" si="14"/>
        <v>261.48958333333331</v>
      </c>
      <c r="AZ35" s="384">
        <f t="shared" si="14"/>
        <v>261.48958333333331</v>
      </c>
      <c r="BA35" s="384">
        <f t="shared" si="15"/>
        <v>261.48958333333331</v>
      </c>
      <c r="BB35" s="384">
        <f t="shared" si="15"/>
        <v>261.48958333333331</v>
      </c>
      <c r="BC35" s="384">
        <f>IF($I35&gt;BC$7-30,$E35,0)-30.6</f>
        <v>230.88958333333332</v>
      </c>
      <c r="BD35" s="384">
        <f t="shared" si="15"/>
        <v>0</v>
      </c>
      <c r="BE35" s="384">
        <f t="shared" si="15"/>
        <v>0</v>
      </c>
      <c r="BF35" s="384">
        <f t="shared" si="15"/>
        <v>0</v>
      </c>
      <c r="BG35" s="384">
        <f t="shared" si="15"/>
        <v>0</v>
      </c>
      <c r="BH35" s="384">
        <f t="shared" si="15"/>
        <v>0</v>
      </c>
      <c r="BI35" s="384">
        <f t="shared" si="15"/>
        <v>0</v>
      </c>
      <c r="BJ35" s="384">
        <f t="shared" si="15"/>
        <v>0</v>
      </c>
      <c r="BK35" s="384">
        <f t="shared" si="15"/>
        <v>0</v>
      </c>
      <c r="BL35" s="384">
        <f t="shared" si="15"/>
        <v>0</v>
      </c>
      <c r="BM35" s="384">
        <f t="shared" si="15"/>
        <v>0</v>
      </c>
      <c r="BN35" s="384">
        <f t="shared" si="15"/>
        <v>0</v>
      </c>
      <c r="BO35" s="384">
        <f t="shared" si="15"/>
        <v>0</v>
      </c>
      <c r="BP35" s="384">
        <f t="shared" si="15"/>
        <v>0</v>
      </c>
      <c r="BQ35" s="384">
        <f t="shared" si="16"/>
        <v>0</v>
      </c>
      <c r="BR35" s="384">
        <f t="shared" si="16"/>
        <v>0</v>
      </c>
      <c r="BS35" s="384">
        <f t="shared" si="16"/>
        <v>0</v>
      </c>
      <c r="BT35" s="384">
        <f t="shared" si="16"/>
        <v>0</v>
      </c>
      <c r="BU35" s="384">
        <f t="shared" si="16"/>
        <v>0</v>
      </c>
      <c r="BV35" s="384">
        <f t="shared" si="16"/>
        <v>0</v>
      </c>
      <c r="BW35" s="384">
        <f t="shared" si="16"/>
        <v>0</v>
      </c>
      <c r="BX35" s="384">
        <f t="shared" si="16"/>
        <v>0</v>
      </c>
      <c r="BY35" s="384">
        <f t="shared" si="16"/>
        <v>0</v>
      </c>
      <c r="BZ35" s="384">
        <f t="shared" si="16"/>
        <v>0</v>
      </c>
      <c r="CA35" s="384">
        <f t="shared" si="16"/>
        <v>0</v>
      </c>
      <c r="CB35" s="384">
        <f t="shared" si="16"/>
        <v>0</v>
      </c>
      <c r="CC35" s="384">
        <f t="shared" si="16"/>
        <v>0</v>
      </c>
      <c r="CD35" s="384">
        <f t="shared" si="16"/>
        <v>0</v>
      </c>
      <c r="CE35" s="384">
        <f t="shared" si="16"/>
        <v>0</v>
      </c>
      <c r="CF35" s="384">
        <f t="shared" si="16"/>
        <v>0</v>
      </c>
      <c r="CG35" s="384">
        <f t="shared" si="11"/>
        <v>0</v>
      </c>
      <c r="CH35" s="384">
        <f t="shared" si="11"/>
        <v>0</v>
      </c>
      <c r="CI35" s="384">
        <f t="shared" si="11"/>
        <v>0</v>
      </c>
      <c r="CJ35" s="384">
        <f t="shared" si="11"/>
        <v>0</v>
      </c>
      <c r="CK35" s="384">
        <f t="shared" si="11"/>
        <v>0</v>
      </c>
      <c r="CL35" s="384">
        <f t="shared" si="11"/>
        <v>0</v>
      </c>
      <c r="CM35" s="384">
        <f t="shared" si="11"/>
        <v>0</v>
      </c>
      <c r="CN35" s="384">
        <f t="shared" si="11"/>
        <v>0</v>
      </c>
      <c r="CO35" s="384">
        <f t="shared" si="11"/>
        <v>0</v>
      </c>
      <c r="CP35" s="384">
        <f t="shared" si="11"/>
        <v>0</v>
      </c>
      <c r="CQ35" s="384">
        <f t="shared" si="11"/>
        <v>0</v>
      </c>
      <c r="CR35" s="384">
        <f t="shared" si="8"/>
        <v>4.5833333297196077E-3</v>
      </c>
    </row>
    <row r="36" spans="2:96">
      <c r="B36" s="456"/>
      <c r="C36" s="456"/>
      <c r="D36" s="380">
        <v>298859.15000000002</v>
      </c>
      <c r="E36" s="380">
        <f t="shared" si="6"/>
        <v>4980.9858333333341</v>
      </c>
      <c r="F36" s="380">
        <f t="shared" si="7"/>
        <v>5</v>
      </c>
      <c r="G36" s="380">
        <v>60</v>
      </c>
      <c r="H36" s="381">
        <v>41946</v>
      </c>
      <c r="I36" s="382">
        <f t="shared" si="12"/>
        <v>43771</v>
      </c>
      <c r="J36" s="456"/>
      <c r="K36" s="383">
        <v>69733.86</v>
      </c>
      <c r="L36" s="384">
        <v>4980.9799999999996</v>
      </c>
      <c r="M36" s="384">
        <v>4980.9799999999996</v>
      </c>
      <c r="N36" s="384">
        <v>4980.9799999999996</v>
      </c>
      <c r="O36" s="384">
        <v>4980.9799999999996</v>
      </c>
      <c r="P36" s="384">
        <v>4980.9799999999996</v>
      </c>
      <c r="Q36" s="384">
        <v>4980.9799999999996</v>
      </c>
      <c r="R36" s="384">
        <v>4980.9799999999996</v>
      </c>
      <c r="S36" s="384">
        <v>4980.9799999999996</v>
      </c>
      <c r="T36" s="384">
        <v>4980.9799999999996</v>
      </c>
      <c r="U36" s="384">
        <f t="shared" si="13"/>
        <v>4980.9858333333341</v>
      </c>
      <c r="V36" s="384">
        <f t="shared" si="13"/>
        <v>4980.9858333333341</v>
      </c>
      <c r="W36" s="384">
        <f t="shared" si="13"/>
        <v>4980.9858333333341</v>
      </c>
      <c r="X36" s="384">
        <f t="shared" si="13"/>
        <v>4980.9858333333341</v>
      </c>
      <c r="Y36" s="384">
        <f t="shared" si="13"/>
        <v>4980.9858333333341</v>
      </c>
      <c r="Z36" s="384">
        <f t="shared" si="13"/>
        <v>0</v>
      </c>
      <c r="AA36" s="384">
        <f t="shared" si="13"/>
        <v>0</v>
      </c>
      <c r="AB36" s="384">
        <f t="shared" si="13"/>
        <v>0</v>
      </c>
      <c r="AC36" s="384">
        <f t="shared" si="13"/>
        <v>0</v>
      </c>
      <c r="AD36" s="384">
        <f t="shared" si="13"/>
        <v>0</v>
      </c>
      <c r="AE36" s="384">
        <f t="shared" si="13"/>
        <v>0</v>
      </c>
      <c r="AF36" s="384">
        <f t="shared" si="13"/>
        <v>0</v>
      </c>
      <c r="AG36" s="384">
        <f t="shared" si="13"/>
        <v>0</v>
      </c>
      <c r="AH36" s="384">
        <f t="shared" si="13"/>
        <v>0</v>
      </c>
      <c r="AI36" s="384">
        <f t="shared" si="13"/>
        <v>0</v>
      </c>
      <c r="AJ36" s="384">
        <f t="shared" si="13"/>
        <v>0</v>
      </c>
      <c r="AK36" s="384">
        <f t="shared" si="14"/>
        <v>0</v>
      </c>
      <c r="AL36" s="384">
        <f t="shared" si="14"/>
        <v>0</v>
      </c>
      <c r="AM36" s="384">
        <f t="shared" si="14"/>
        <v>0</v>
      </c>
      <c r="AN36" s="384">
        <f t="shared" si="14"/>
        <v>0</v>
      </c>
      <c r="AO36" s="384">
        <f t="shared" si="14"/>
        <v>0</v>
      </c>
      <c r="AP36" s="384">
        <f t="shared" si="14"/>
        <v>0</v>
      </c>
      <c r="AQ36" s="384">
        <f t="shared" si="14"/>
        <v>0</v>
      </c>
      <c r="AR36" s="384">
        <f t="shared" si="14"/>
        <v>0</v>
      </c>
      <c r="AS36" s="384">
        <f t="shared" si="14"/>
        <v>0</v>
      </c>
      <c r="AT36" s="384">
        <f t="shared" si="14"/>
        <v>0</v>
      </c>
      <c r="AU36" s="384">
        <f t="shared" si="14"/>
        <v>0</v>
      </c>
      <c r="AV36" s="384">
        <f t="shared" si="14"/>
        <v>0</v>
      </c>
      <c r="AW36" s="384">
        <f t="shared" si="14"/>
        <v>0</v>
      </c>
      <c r="AX36" s="384">
        <f t="shared" si="14"/>
        <v>0</v>
      </c>
      <c r="AY36" s="384">
        <f t="shared" si="14"/>
        <v>0</v>
      </c>
      <c r="AZ36" s="384">
        <f t="shared" si="14"/>
        <v>0</v>
      </c>
      <c r="BA36" s="384">
        <f t="shared" si="15"/>
        <v>0</v>
      </c>
      <c r="BB36" s="384">
        <f t="shared" si="15"/>
        <v>0</v>
      </c>
      <c r="BC36" s="384">
        <f t="shared" si="15"/>
        <v>0</v>
      </c>
      <c r="BD36" s="384">
        <f t="shared" si="15"/>
        <v>0</v>
      </c>
      <c r="BE36" s="384">
        <f t="shared" si="15"/>
        <v>0</v>
      </c>
      <c r="BF36" s="384">
        <f t="shared" si="15"/>
        <v>0</v>
      </c>
      <c r="BG36" s="384">
        <f t="shared" si="15"/>
        <v>0</v>
      </c>
      <c r="BH36" s="384">
        <f t="shared" si="15"/>
        <v>0</v>
      </c>
      <c r="BI36" s="384">
        <f t="shared" si="15"/>
        <v>0</v>
      </c>
      <c r="BJ36" s="384">
        <f t="shared" si="15"/>
        <v>0</v>
      </c>
      <c r="BK36" s="384">
        <f t="shared" si="15"/>
        <v>0</v>
      </c>
      <c r="BL36" s="384">
        <f t="shared" si="15"/>
        <v>0</v>
      </c>
      <c r="BM36" s="384">
        <f t="shared" si="15"/>
        <v>0</v>
      </c>
      <c r="BN36" s="384">
        <f t="shared" si="15"/>
        <v>0</v>
      </c>
      <c r="BO36" s="384">
        <f t="shared" si="15"/>
        <v>0</v>
      </c>
      <c r="BP36" s="384">
        <f t="shared" si="15"/>
        <v>0</v>
      </c>
      <c r="BQ36" s="384">
        <f t="shared" si="16"/>
        <v>0</v>
      </c>
      <c r="BR36" s="384">
        <f t="shared" si="16"/>
        <v>0</v>
      </c>
      <c r="BS36" s="384">
        <f t="shared" si="16"/>
        <v>0</v>
      </c>
      <c r="BT36" s="384">
        <f t="shared" si="16"/>
        <v>0</v>
      </c>
      <c r="BU36" s="384">
        <f t="shared" si="16"/>
        <v>0</v>
      </c>
      <c r="BV36" s="384">
        <f t="shared" si="16"/>
        <v>0</v>
      </c>
      <c r="BW36" s="384">
        <f t="shared" si="16"/>
        <v>0</v>
      </c>
      <c r="BX36" s="384">
        <f t="shared" si="16"/>
        <v>0</v>
      </c>
      <c r="BY36" s="384">
        <f t="shared" si="16"/>
        <v>0</v>
      </c>
      <c r="BZ36" s="384">
        <f t="shared" si="16"/>
        <v>0</v>
      </c>
      <c r="CA36" s="384">
        <f t="shared" si="16"/>
        <v>0</v>
      </c>
      <c r="CB36" s="384">
        <f t="shared" si="16"/>
        <v>0</v>
      </c>
      <c r="CC36" s="384">
        <f t="shared" si="16"/>
        <v>0</v>
      </c>
      <c r="CD36" s="384">
        <f t="shared" si="16"/>
        <v>0</v>
      </c>
      <c r="CE36" s="384">
        <f t="shared" si="16"/>
        <v>0</v>
      </c>
      <c r="CF36" s="384">
        <f t="shared" si="16"/>
        <v>0</v>
      </c>
      <c r="CG36" s="384">
        <f t="shared" si="11"/>
        <v>0</v>
      </c>
      <c r="CH36" s="384">
        <f t="shared" si="11"/>
        <v>0</v>
      </c>
      <c r="CI36" s="384">
        <f t="shared" si="11"/>
        <v>0</v>
      </c>
      <c r="CJ36" s="384">
        <f t="shared" si="11"/>
        <v>0</v>
      </c>
      <c r="CK36" s="384">
        <f t="shared" si="11"/>
        <v>0</v>
      </c>
      <c r="CL36" s="384">
        <f t="shared" si="11"/>
        <v>0</v>
      </c>
      <c r="CM36" s="384">
        <f t="shared" si="11"/>
        <v>0</v>
      </c>
      <c r="CN36" s="384">
        <f t="shared" si="11"/>
        <v>0</v>
      </c>
      <c r="CO36" s="384">
        <f t="shared" si="11"/>
        <v>0</v>
      </c>
      <c r="CP36" s="384">
        <f t="shared" si="11"/>
        <v>0</v>
      </c>
      <c r="CQ36" s="384">
        <f t="shared" si="11"/>
        <v>0</v>
      </c>
      <c r="CR36" s="384">
        <f t="shared" si="8"/>
        <v>0.11083333333954215</v>
      </c>
    </row>
    <row r="37" spans="2:96">
      <c r="B37" s="456"/>
      <c r="C37" s="456"/>
      <c r="D37" s="380">
        <v>5941</v>
      </c>
      <c r="E37" s="380">
        <f t="shared" si="6"/>
        <v>61.885416666666664</v>
      </c>
      <c r="F37" s="380">
        <f t="shared" si="7"/>
        <v>8</v>
      </c>
      <c r="G37" s="380">
        <v>96</v>
      </c>
      <c r="H37" s="381">
        <v>42735</v>
      </c>
      <c r="I37" s="382">
        <f t="shared" si="12"/>
        <v>45655</v>
      </c>
      <c r="J37" s="456"/>
      <c r="K37" s="383">
        <v>5383.99</v>
      </c>
      <c r="L37" s="384">
        <v>61.89</v>
      </c>
      <c r="M37" s="384">
        <v>61.89</v>
      </c>
      <c r="N37" s="384">
        <v>61.89</v>
      </c>
      <c r="O37" s="384">
        <v>61.89</v>
      </c>
      <c r="P37" s="384">
        <v>61.89</v>
      </c>
      <c r="Q37" s="384">
        <v>61.89</v>
      </c>
      <c r="R37" s="384">
        <v>61.89</v>
      </c>
      <c r="S37" s="384">
        <v>61.89</v>
      </c>
      <c r="T37" s="384">
        <v>61.89</v>
      </c>
      <c r="U37" s="384">
        <f t="shared" si="13"/>
        <v>61.885416666666664</v>
      </c>
      <c r="V37" s="384">
        <f t="shared" si="13"/>
        <v>61.885416666666664</v>
      </c>
      <c r="W37" s="384">
        <f t="shared" si="13"/>
        <v>61.885416666666664</v>
      </c>
      <c r="X37" s="384">
        <f t="shared" si="13"/>
        <v>61.885416666666664</v>
      </c>
      <c r="Y37" s="384">
        <f t="shared" si="13"/>
        <v>61.885416666666664</v>
      </c>
      <c r="Z37" s="384">
        <f t="shared" si="13"/>
        <v>61.885416666666664</v>
      </c>
      <c r="AA37" s="384">
        <f t="shared" si="13"/>
        <v>61.885416666666664</v>
      </c>
      <c r="AB37" s="384">
        <f t="shared" si="13"/>
        <v>61.885416666666664</v>
      </c>
      <c r="AC37" s="384">
        <f t="shared" si="13"/>
        <v>61.885416666666664</v>
      </c>
      <c r="AD37" s="384">
        <f t="shared" si="13"/>
        <v>61.885416666666664</v>
      </c>
      <c r="AE37" s="384">
        <f t="shared" si="13"/>
        <v>61.885416666666664</v>
      </c>
      <c r="AF37" s="384">
        <f t="shared" si="13"/>
        <v>61.885416666666664</v>
      </c>
      <c r="AG37" s="384">
        <f t="shared" si="13"/>
        <v>61.885416666666664</v>
      </c>
      <c r="AH37" s="384">
        <f t="shared" si="13"/>
        <v>61.885416666666664</v>
      </c>
      <c r="AI37" s="384">
        <f t="shared" si="13"/>
        <v>61.885416666666664</v>
      </c>
      <c r="AJ37" s="384">
        <f t="shared" si="13"/>
        <v>61.885416666666664</v>
      </c>
      <c r="AK37" s="384">
        <f t="shared" si="14"/>
        <v>61.885416666666664</v>
      </c>
      <c r="AL37" s="384">
        <f t="shared" si="14"/>
        <v>61.885416666666664</v>
      </c>
      <c r="AM37" s="384">
        <f t="shared" si="14"/>
        <v>61.885416666666664</v>
      </c>
      <c r="AN37" s="384">
        <f t="shared" si="14"/>
        <v>61.885416666666664</v>
      </c>
      <c r="AO37" s="384">
        <f t="shared" si="14"/>
        <v>61.885416666666664</v>
      </c>
      <c r="AP37" s="384">
        <f t="shared" si="14"/>
        <v>61.885416666666664</v>
      </c>
      <c r="AQ37" s="384">
        <f t="shared" si="14"/>
        <v>61.885416666666664</v>
      </c>
      <c r="AR37" s="384">
        <f t="shared" si="14"/>
        <v>61.885416666666664</v>
      </c>
      <c r="AS37" s="384">
        <f t="shared" si="14"/>
        <v>61.885416666666664</v>
      </c>
      <c r="AT37" s="384">
        <f t="shared" si="14"/>
        <v>61.885416666666664</v>
      </c>
      <c r="AU37" s="384">
        <f t="shared" si="14"/>
        <v>61.885416666666664</v>
      </c>
      <c r="AV37" s="384">
        <f t="shared" si="14"/>
        <v>61.885416666666664</v>
      </c>
      <c r="AW37" s="384">
        <f t="shared" si="14"/>
        <v>61.885416666666664</v>
      </c>
      <c r="AX37" s="384">
        <f t="shared" si="14"/>
        <v>61.885416666666664</v>
      </c>
      <c r="AY37" s="384">
        <f t="shared" si="14"/>
        <v>61.885416666666664</v>
      </c>
      <c r="AZ37" s="384">
        <f t="shared" si="14"/>
        <v>61.885416666666664</v>
      </c>
      <c r="BA37" s="384">
        <f t="shared" si="15"/>
        <v>61.885416666666664</v>
      </c>
      <c r="BB37" s="384">
        <f t="shared" si="15"/>
        <v>61.885416666666664</v>
      </c>
      <c r="BC37" s="384">
        <f t="shared" si="15"/>
        <v>61.885416666666664</v>
      </c>
      <c r="BD37" s="384">
        <f t="shared" si="15"/>
        <v>61.885416666666664</v>
      </c>
      <c r="BE37" s="384">
        <f t="shared" si="15"/>
        <v>61.885416666666664</v>
      </c>
      <c r="BF37" s="384">
        <f t="shared" si="15"/>
        <v>61.885416666666664</v>
      </c>
      <c r="BG37" s="384">
        <f t="shared" si="15"/>
        <v>61.885416666666664</v>
      </c>
      <c r="BH37" s="384">
        <f t="shared" si="15"/>
        <v>61.885416666666664</v>
      </c>
      <c r="BI37" s="384">
        <f t="shared" si="15"/>
        <v>61.885416666666664</v>
      </c>
      <c r="BJ37" s="384">
        <f t="shared" si="15"/>
        <v>61.885416666666664</v>
      </c>
      <c r="BK37" s="384">
        <f t="shared" si="15"/>
        <v>61.885416666666664</v>
      </c>
      <c r="BL37" s="384">
        <f t="shared" si="15"/>
        <v>61.885416666666664</v>
      </c>
      <c r="BM37" s="384">
        <f t="shared" si="15"/>
        <v>61.885416666666664</v>
      </c>
      <c r="BN37" s="384">
        <f t="shared" si="15"/>
        <v>61.885416666666664</v>
      </c>
      <c r="BO37" s="384">
        <f t="shared" si="15"/>
        <v>61.885416666666664</v>
      </c>
      <c r="BP37" s="384">
        <f t="shared" si="15"/>
        <v>61.885416666666664</v>
      </c>
      <c r="BQ37" s="384">
        <f t="shared" si="16"/>
        <v>61.885416666666664</v>
      </c>
      <c r="BR37" s="384">
        <f t="shared" si="16"/>
        <v>61.885416666666664</v>
      </c>
      <c r="BS37" s="384">
        <f t="shared" si="16"/>
        <v>61.885416666666664</v>
      </c>
      <c r="BT37" s="384">
        <f t="shared" si="16"/>
        <v>61.885416666666664</v>
      </c>
      <c r="BU37" s="384">
        <f t="shared" si="16"/>
        <v>61.885416666666664</v>
      </c>
      <c r="BV37" s="384">
        <f t="shared" si="16"/>
        <v>61.885416666666664</v>
      </c>
      <c r="BW37" s="384">
        <f t="shared" si="16"/>
        <v>61.885416666666664</v>
      </c>
      <c r="BX37" s="384">
        <f t="shared" si="16"/>
        <v>61.885416666666664</v>
      </c>
      <c r="BY37" s="384">
        <f t="shared" si="16"/>
        <v>61.885416666666664</v>
      </c>
      <c r="BZ37" s="384">
        <f t="shared" si="16"/>
        <v>61.885416666666664</v>
      </c>
      <c r="CA37" s="384">
        <f t="shared" si="16"/>
        <v>61.885416666666664</v>
      </c>
      <c r="CB37" s="384">
        <f t="shared" si="16"/>
        <v>61.885416666666664</v>
      </c>
      <c r="CC37" s="384">
        <f t="shared" si="16"/>
        <v>61.885416666666664</v>
      </c>
      <c r="CD37" s="384">
        <f t="shared" si="16"/>
        <v>61.885416666666664</v>
      </c>
      <c r="CE37" s="384">
        <f t="shared" si="16"/>
        <v>61.885416666666664</v>
      </c>
      <c r="CF37" s="384">
        <f t="shared" si="16"/>
        <v>61.885416666666664</v>
      </c>
      <c r="CG37" s="384">
        <f t="shared" si="11"/>
        <v>61.885416666666664</v>
      </c>
      <c r="CH37" s="384">
        <f t="shared" si="11"/>
        <v>61.885416666666664</v>
      </c>
      <c r="CI37" s="384">
        <v>742</v>
      </c>
      <c r="CJ37" s="384">
        <f t="shared" si="11"/>
        <v>0</v>
      </c>
      <c r="CK37" s="384">
        <f t="shared" si="11"/>
        <v>0</v>
      </c>
      <c r="CL37" s="384">
        <f t="shared" si="11"/>
        <v>0</v>
      </c>
      <c r="CM37" s="384">
        <f t="shared" si="11"/>
        <v>0</v>
      </c>
      <c r="CN37" s="384">
        <f t="shared" si="11"/>
        <v>0</v>
      </c>
      <c r="CO37" s="384">
        <f t="shared" si="11"/>
        <v>0</v>
      </c>
      <c r="CP37" s="384">
        <f t="shared" si="11"/>
        <v>0</v>
      </c>
      <c r="CQ37" s="384">
        <f t="shared" si="11"/>
        <v>0</v>
      </c>
      <c r="CR37" s="384">
        <f t="shared" si="8"/>
        <v>0.54250000000138243</v>
      </c>
    </row>
    <row r="38" spans="2:96">
      <c r="B38" s="456"/>
      <c r="C38" s="456"/>
      <c r="D38" s="385">
        <v>7267.89</v>
      </c>
      <c r="E38" s="385">
        <f t="shared" si="6"/>
        <v>75.707187500000003</v>
      </c>
      <c r="F38" s="385">
        <f t="shared" si="7"/>
        <v>8</v>
      </c>
      <c r="G38" s="385">
        <v>96</v>
      </c>
      <c r="H38" s="386">
        <v>41038</v>
      </c>
      <c r="I38" s="387">
        <f t="shared" si="12"/>
        <v>43958</v>
      </c>
      <c r="J38" s="456"/>
      <c r="K38" s="388">
        <v>1514.2</v>
      </c>
      <c r="L38" s="389">
        <v>75.709999999999994</v>
      </c>
      <c r="M38" s="389">
        <v>75.709999999999994</v>
      </c>
      <c r="N38" s="389">
        <v>75.709999999999994</v>
      </c>
      <c r="O38" s="389">
        <v>75.709999999999994</v>
      </c>
      <c r="P38" s="389">
        <v>75.709999999999994</v>
      </c>
      <c r="Q38" s="389">
        <v>75.709999999999994</v>
      </c>
      <c r="R38" s="389">
        <v>75.709999999999994</v>
      </c>
      <c r="S38" s="389">
        <v>75.709999999999994</v>
      </c>
      <c r="T38" s="389">
        <v>75.709999999999994</v>
      </c>
      <c r="U38" s="389">
        <f t="shared" si="13"/>
        <v>75.707187500000003</v>
      </c>
      <c r="V38" s="389">
        <f t="shared" si="13"/>
        <v>75.707187500000003</v>
      </c>
      <c r="W38" s="389">
        <f t="shared" si="13"/>
        <v>75.707187500000003</v>
      </c>
      <c r="X38" s="389">
        <f t="shared" si="13"/>
        <v>75.707187500000003</v>
      </c>
      <c r="Y38" s="389">
        <f t="shared" si="13"/>
        <v>75.707187500000003</v>
      </c>
      <c r="Z38" s="389">
        <f t="shared" si="13"/>
        <v>75.707187500000003</v>
      </c>
      <c r="AA38" s="389">
        <f t="shared" si="13"/>
        <v>75.707187500000003</v>
      </c>
      <c r="AB38" s="389">
        <f t="shared" si="13"/>
        <v>75.707187500000003</v>
      </c>
      <c r="AC38" s="389">
        <f t="shared" si="13"/>
        <v>75.707187500000003</v>
      </c>
      <c r="AD38" s="389">
        <f t="shared" si="13"/>
        <v>75.707187500000003</v>
      </c>
      <c r="AE38" s="389">
        <f t="shared" si="13"/>
        <v>75.707187500000003</v>
      </c>
      <c r="AF38" s="389">
        <f t="shared" si="13"/>
        <v>0</v>
      </c>
      <c r="AG38" s="389">
        <f t="shared" si="13"/>
        <v>0</v>
      </c>
      <c r="AH38" s="389">
        <f t="shared" si="13"/>
        <v>0</v>
      </c>
      <c r="AI38" s="389">
        <f t="shared" si="13"/>
        <v>0</v>
      </c>
      <c r="AJ38" s="389">
        <f t="shared" si="13"/>
        <v>0</v>
      </c>
      <c r="AK38" s="389">
        <f t="shared" si="14"/>
        <v>0</v>
      </c>
      <c r="AL38" s="389">
        <f t="shared" si="14"/>
        <v>0</v>
      </c>
      <c r="AM38" s="389">
        <f t="shared" si="14"/>
        <v>0</v>
      </c>
      <c r="AN38" s="389">
        <f t="shared" si="14"/>
        <v>0</v>
      </c>
      <c r="AO38" s="389">
        <f t="shared" si="14"/>
        <v>0</v>
      </c>
      <c r="AP38" s="389">
        <f t="shared" si="14"/>
        <v>0</v>
      </c>
      <c r="AQ38" s="389">
        <f t="shared" si="14"/>
        <v>0</v>
      </c>
      <c r="AR38" s="389">
        <f t="shared" si="14"/>
        <v>0</v>
      </c>
      <c r="AS38" s="389">
        <f t="shared" si="14"/>
        <v>0</v>
      </c>
      <c r="AT38" s="389">
        <f t="shared" si="14"/>
        <v>0</v>
      </c>
      <c r="AU38" s="389">
        <f t="shared" si="14"/>
        <v>0</v>
      </c>
      <c r="AV38" s="389">
        <f t="shared" si="14"/>
        <v>0</v>
      </c>
      <c r="AW38" s="389">
        <f t="shared" si="14"/>
        <v>0</v>
      </c>
      <c r="AX38" s="389">
        <f t="shared" si="14"/>
        <v>0</v>
      </c>
      <c r="AY38" s="389">
        <f t="shared" si="14"/>
        <v>0</v>
      </c>
      <c r="AZ38" s="389">
        <f t="shared" si="14"/>
        <v>0</v>
      </c>
      <c r="BA38" s="389">
        <f t="shared" si="15"/>
        <v>0</v>
      </c>
      <c r="BB38" s="389">
        <f t="shared" si="15"/>
        <v>0</v>
      </c>
      <c r="BC38" s="389">
        <f t="shared" si="15"/>
        <v>0</v>
      </c>
      <c r="BD38" s="389">
        <f t="shared" si="15"/>
        <v>0</v>
      </c>
      <c r="BE38" s="389">
        <f t="shared" si="15"/>
        <v>0</v>
      </c>
      <c r="BF38" s="389">
        <f t="shared" si="15"/>
        <v>0</v>
      </c>
      <c r="BG38" s="389">
        <f t="shared" si="15"/>
        <v>0</v>
      </c>
      <c r="BH38" s="389">
        <f t="shared" si="15"/>
        <v>0</v>
      </c>
      <c r="BI38" s="389">
        <f t="shared" si="15"/>
        <v>0</v>
      </c>
      <c r="BJ38" s="389">
        <f t="shared" si="15"/>
        <v>0</v>
      </c>
      <c r="BK38" s="389">
        <f t="shared" si="15"/>
        <v>0</v>
      </c>
      <c r="BL38" s="389">
        <f t="shared" si="15"/>
        <v>0</v>
      </c>
      <c r="BM38" s="389">
        <f t="shared" si="15"/>
        <v>0</v>
      </c>
      <c r="BN38" s="389">
        <f t="shared" si="15"/>
        <v>0</v>
      </c>
      <c r="BO38" s="389">
        <f t="shared" si="15"/>
        <v>0</v>
      </c>
      <c r="BP38" s="389">
        <f t="shared" si="15"/>
        <v>0</v>
      </c>
      <c r="BQ38" s="389">
        <f t="shared" si="16"/>
        <v>0</v>
      </c>
      <c r="BR38" s="389">
        <f t="shared" si="16"/>
        <v>0</v>
      </c>
      <c r="BS38" s="389">
        <f t="shared" si="16"/>
        <v>0</v>
      </c>
      <c r="BT38" s="389">
        <f t="shared" si="16"/>
        <v>0</v>
      </c>
      <c r="BU38" s="389">
        <f t="shared" si="16"/>
        <v>0</v>
      </c>
      <c r="BV38" s="389">
        <f t="shared" si="16"/>
        <v>0</v>
      </c>
      <c r="BW38" s="389">
        <f t="shared" si="16"/>
        <v>0</v>
      </c>
      <c r="BX38" s="389">
        <f t="shared" si="16"/>
        <v>0</v>
      </c>
      <c r="BY38" s="389">
        <f t="shared" si="16"/>
        <v>0</v>
      </c>
      <c r="BZ38" s="389">
        <f t="shared" si="16"/>
        <v>0</v>
      </c>
      <c r="CA38" s="389">
        <f t="shared" si="16"/>
        <v>0</v>
      </c>
      <c r="CB38" s="389">
        <f t="shared" si="16"/>
        <v>0</v>
      </c>
      <c r="CC38" s="389">
        <f t="shared" si="16"/>
        <v>0</v>
      </c>
      <c r="CD38" s="389">
        <f t="shared" si="16"/>
        <v>0</v>
      </c>
      <c r="CE38" s="389">
        <f t="shared" si="16"/>
        <v>0</v>
      </c>
      <c r="CF38" s="389">
        <f t="shared" si="16"/>
        <v>0</v>
      </c>
      <c r="CG38" s="389">
        <f t="shared" si="11"/>
        <v>0</v>
      </c>
      <c r="CH38" s="389">
        <f t="shared" si="11"/>
        <v>0</v>
      </c>
      <c r="CI38" s="389">
        <f t="shared" si="11"/>
        <v>0</v>
      </c>
      <c r="CJ38" s="389">
        <f t="shared" si="11"/>
        <v>0</v>
      </c>
      <c r="CK38" s="389">
        <f t="shared" si="11"/>
        <v>0</v>
      </c>
      <c r="CL38" s="389">
        <f t="shared" si="11"/>
        <v>0</v>
      </c>
      <c r="CM38" s="389">
        <f t="shared" si="11"/>
        <v>0</v>
      </c>
      <c r="CN38" s="389">
        <f t="shared" si="11"/>
        <v>0</v>
      </c>
      <c r="CO38" s="389">
        <f t="shared" si="11"/>
        <v>0</v>
      </c>
      <c r="CP38" s="389">
        <f t="shared" si="11"/>
        <v>0</v>
      </c>
      <c r="CQ38" s="389">
        <f t="shared" si="11"/>
        <v>0</v>
      </c>
      <c r="CR38" s="389">
        <f t="shared" si="8"/>
        <v>3.0937500000391083E-2</v>
      </c>
    </row>
    <row r="39" spans="2:96">
      <c r="B39" s="456"/>
      <c r="C39" s="456"/>
      <c r="D39" s="385">
        <v>15000</v>
      </c>
      <c r="E39" s="385">
        <f t="shared" si="6"/>
        <v>250</v>
      </c>
      <c r="F39" s="385">
        <f t="shared" si="7"/>
        <v>5</v>
      </c>
      <c r="G39" s="385">
        <v>60</v>
      </c>
      <c r="H39" s="386">
        <v>42272</v>
      </c>
      <c r="I39" s="387">
        <f t="shared" si="12"/>
        <v>44097</v>
      </c>
      <c r="J39" s="456"/>
      <c r="K39" s="388">
        <v>3750</v>
      </c>
      <c r="L39" s="389">
        <v>250</v>
      </c>
      <c r="M39" s="389">
        <v>250</v>
      </c>
      <c r="N39" s="389">
        <v>250</v>
      </c>
      <c r="O39" s="389">
        <v>250</v>
      </c>
      <c r="P39" s="389">
        <v>250</v>
      </c>
      <c r="Q39" s="389">
        <v>250</v>
      </c>
      <c r="R39" s="389">
        <v>250</v>
      </c>
      <c r="S39" s="389">
        <v>250</v>
      </c>
      <c r="T39" s="389">
        <v>250</v>
      </c>
      <c r="U39" s="389">
        <f t="shared" si="13"/>
        <v>250</v>
      </c>
      <c r="V39" s="389">
        <f t="shared" si="13"/>
        <v>250</v>
      </c>
      <c r="W39" s="389">
        <f t="shared" si="13"/>
        <v>250</v>
      </c>
      <c r="X39" s="389">
        <f t="shared" si="13"/>
        <v>250</v>
      </c>
      <c r="Y39" s="389">
        <f t="shared" si="13"/>
        <v>250</v>
      </c>
      <c r="Z39" s="389">
        <f t="shared" si="13"/>
        <v>250</v>
      </c>
      <c r="AA39" s="389">
        <v>0</v>
      </c>
      <c r="AB39" s="389">
        <v>0</v>
      </c>
      <c r="AC39" s="389">
        <v>0</v>
      </c>
      <c r="AD39" s="389">
        <v>0</v>
      </c>
      <c r="AE39" s="389">
        <v>0</v>
      </c>
      <c r="AF39" s="389">
        <v>0</v>
      </c>
      <c r="AG39" s="389">
        <v>0</v>
      </c>
      <c r="AH39" s="389">
        <v>0</v>
      </c>
      <c r="AI39" s="389">
        <v>0</v>
      </c>
      <c r="AJ39" s="389">
        <f t="shared" si="13"/>
        <v>0</v>
      </c>
      <c r="AK39" s="389">
        <f t="shared" si="14"/>
        <v>0</v>
      </c>
      <c r="AL39" s="389">
        <f t="shared" si="14"/>
        <v>0</v>
      </c>
      <c r="AM39" s="389">
        <f t="shared" si="14"/>
        <v>0</v>
      </c>
      <c r="AN39" s="389">
        <f t="shared" si="14"/>
        <v>0</v>
      </c>
      <c r="AO39" s="389">
        <f t="shared" si="14"/>
        <v>0</v>
      </c>
      <c r="AP39" s="389">
        <f t="shared" si="14"/>
        <v>0</v>
      </c>
      <c r="AQ39" s="389">
        <f t="shared" si="14"/>
        <v>0</v>
      </c>
      <c r="AR39" s="389">
        <f t="shared" si="14"/>
        <v>0</v>
      </c>
      <c r="AS39" s="389">
        <f t="shared" si="14"/>
        <v>0</v>
      </c>
      <c r="AT39" s="389">
        <f t="shared" si="14"/>
        <v>0</v>
      </c>
      <c r="AU39" s="389">
        <f t="shared" si="14"/>
        <v>0</v>
      </c>
      <c r="AV39" s="389">
        <f t="shared" si="14"/>
        <v>0</v>
      </c>
      <c r="AW39" s="389">
        <f t="shared" si="14"/>
        <v>0</v>
      </c>
      <c r="AX39" s="389">
        <f t="shared" si="14"/>
        <v>0</v>
      </c>
      <c r="AY39" s="389">
        <f t="shared" si="14"/>
        <v>0</v>
      </c>
      <c r="AZ39" s="389">
        <f t="shared" si="14"/>
        <v>0</v>
      </c>
      <c r="BA39" s="389">
        <f t="shared" si="15"/>
        <v>0</v>
      </c>
      <c r="BB39" s="389">
        <f t="shared" si="15"/>
        <v>0</v>
      </c>
      <c r="BC39" s="389">
        <f t="shared" si="15"/>
        <v>0</v>
      </c>
      <c r="BD39" s="389">
        <f t="shared" si="15"/>
        <v>0</v>
      </c>
      <c r="BE39" s="389">
        <f t="shared" si="15"/>
        <v>0</v>
      </c>
      <c r="BF39" s="389">
        <f t="shared" si="15"/>
        <v>0</v>
      </c>
      <c r="BG39" s="389">
        <f t="shared" si="15"/>
        <v>0</v>
      </c>
      <c r="BH39" s="389">
        <f t="shared" si="15"/>
        <v>0</v>
      </c>
      <c r="BI39" s="389">
        <f t="shared" si="15"/>
        <v>0</v>
      </c>
      <c r="BJ39" s="389">
        <f t="shared" si="15"/>
        <v>0</v>
      </c>
      <c r="BK39" s="389">
        <f t="shared" si="15"/>
        <v>0</v>
      </c>
      <c r="BL39" s="389">
        <f t="shared" si="15"/>
        <v>0</v>
      </c>
      <c r="BM39" s="389">
        <f t="shared" si="15"/>
        <v>0</v>
      </c>
      <c r="BN39" s="389">
        <f t="shared" si="15"/>
        <v>0</v>
      </c>
      <c r="BO39" s="389">
        <f t="shared" si="15"/>
        <v>0</v>
      </c>
      <c r="BP39" s="389">
        <f t="shared" si="15"/>
        <v>0</v>
      </c>
      <c r="BQ39" s="389">
        <f t="shared" si="16"/>
        <v>0</v>
      </c>
      <c r="BR39" s="389">
        <f t="shared" si="16"/>
        <v>0</v>
      </c>
      <c r="BS39" s="389">
        <f t="shared" si="16"/>
        <v>0</v>
      </c>
      <c r="BT39" s="389">
        <f t="shared" si="16"/>
        <v>0</v>
      </c>
      <c r="BU39" s="389">
        <f t="shared" si="16"/>
        <v>0</v>
      </c>
      <c r="BV39" s="389">
        <f t="shared" si="16"/>
        <v>0</v>
      </c>
      <c r="BW39" s="389">
        <f t="shared" si="16"/>
        <v>0</v>
      </c>
      <c r="BX39" s="389">
        <f t="shared" si="16"/>
        <v>0</v>
      </c>
      <c r="BY39" s="389">
        <f t="shared" si="16"/>
        <v>0</v>
      </c>
      <c r="BZ39" s="389">
        <f t="shared" si="16"/>
        <v>0</v>
      </c>
      <c r="CA39" s="389">
        <f t="shared" si="16"/>
        <v>0</v>
      </c>
      <c r="CB39" s="389">
        <f t="shared" si="16"/>
        <v>0</v>
      </c>
      <c r="CC39" s="389">
        <f t="shared" si="16"/>
        <v>0</v>
      </c>
      <c r="CD39" s="389">
        <f t="shared" si="16"/>
        <v>0</v>
      </c>
      <c r="CE39" s="389">
        <f t="shared" si="16"/>
        <v>0</v>
      </c>
      <c r="CF39" s="389">
        <f t="shared" si="16"/>
        <v>0</v>
      </c>
      <c r="CG39" s="389">
        <f t="shared" si="11"/>
        <v>0</v>
      </c>
      <c r="CH39" s="389">
        <f t="shared" si="11"/>
        <v>0</v>
      </c>
      <c r="CI39" s="389">
        <f t="shared" si="11"/>
        <v>0</v>
      </c>
      <c r="CJ39" s="389">
        <f t="shared" si="11"/>
        <v>0</v>
      </c>
      <c r="CK39" s="389">
        <f t="shared" si="11"/>
        <v>0</v>
      </c>
      <c r="CL39" s="389">
        <f t="shared" si="11"/>
        <v>0</v>
      </c>
      <c r="CM39" s="389">
        <f t="shared" si="11"/>
        <v>0</v>
      </c>
      <c r="CN39" s="389">
        <f t="shared" si="11"/>
        <v>0</v>
      </c>
      <c r="CO39" s="389">
        <f t="shared" si="11"/>
        <v>0</v>
      </c>
      <c r="CP39" s="389">
        <f t="shared" si="11"/>
        <v>0</v>
      </c>
      <c r="CQ39" s="389">
        <f t="shared" si="11"/>
        <v>0</v>
      </c>
      <c r="CR39" s="389">
        <f t="shared" si="8"/>
        <v>0</v>
      </c>
    </row>
    <row r="40" spans="2:96">
      <c r="B40" s="456"/>
      <c r="C40" s="456"/>
      <c r="D40" s="385">
        <v>41394</v>
      </c>
      <c r="E40" s="385">
        <f t="shared" si="6"/>
        <v>689.9</v>
      </c>
      <c r="F40" s="385">
        <f t="shared" si="7"/>
        <v>5</v>
      </c>
      <c r="G40" s="385">
        <v>60</v>
      </c>
      <c r="H40" s="386">
        <v>42273</v>
      </c>
      <c r="I40" s="387">
        <f t="shared" si="12"/>
        <v>44098</v>
      </c>
      <c r="J40" s="456"/>
      <c r="K40" s="388">
        <v>8968.7000000000007</v>
      </c>
      <c r="L40" s="389">
        <v>689.9</v>
      </c>
      <c r="M40" s="389">
        <v>689.9</v>
      </c>
      <c r="N40" s="389">
        <v>689.9</v>
      </c>
      <c r="O40" s="389">
        <v>689.9</v>
      </c>
      <c r="P40" s="389">
        <v>689.9</v>
      </c>
      <c r="Q40" s="389">
        <v>689.9</v>
      </c>
      <c r="R40" s="389">
        <v>689.9</v>
      </c>
      <c r="S40" s="389">
        <v>689.9</v>
      </c>
      <c r="T40" s="389">
        <v>689.9</v>
      </c>
      <c r="U40" s="389">
        <f t="shared" si="13"/>
        <v>689.9</v>
      </c>
      <c r="V40" s="389">
        <f t="shared" si="13"/>
        <v>689.9</v>
      </c>
      <c r="W40" s="389">
        <f t="shared" si="13"/>
        <v>689.9</v>
      </c>
      <c r="X40" s="389">
        <f t="shared" si="13"/>
        <v>689.9</v>
      </c>
      <c r="Y40" s="389">
        <v>0</v>
      </c>
      <c r="Z40" s="389">
        <v>0</v>
      </c>
      <c r="AA40" s="389">
        <v>0</v>
      </c>
      <c r="AB40" s="389">
        <v>0</v>
      </c>
      <c r="AC40" s="389">
        <v>0</v>
      </c>
      <c r="AD40" s="389">
        <v>0</v>
      </c>
      <c r="AE40" s="389">
        <v>0</v>
      </c>
      <c r="AF40" s="389">
        <v>0</v>
      </c>
      <c r="AG40" s="389">
        <v>0</v>
      </c>
      <c r="AH40" s="389">
        <v>0</v>
      </c>
      <c r="AI40" s="389">
        <v>0</v>
      </c>
      <c r="AJ40" s="389">
        <f t="shared" si="13"/>
        <v>0</v>
      </c>
      <c r="AK40" s="389">
        <f t="shared" si="14"/>
        <v>0</v>
      </c>
      <c r="AL40" s="389">
        <f t="shared" si="14"/>
        <v>0</v>
      </c>
      <c r="AM40" s="389">
        <f t="shared" si="14"/>
        <v>0</v>
      </c>
      <c r="AN40" s="389">
        <f t="shared" si="14"/>
        <v>0</v>
      </c>
      <c r="AO40" s="389">
        <f t="shared" si="14"/>
        <v>0</v>
      </c>
      <c r="AP40" s="389">
        <f t="shared" si="14"/>
        <v>0</v>
      </c>
      <c r="AQ40" s="389">
        <f t="shared" si="14"/>
        <v>0</v>
      </c>
      <c r="AR40" s="389">
        <f t="shared" si="14"/>
        <v>0</v>
      </c>
      <c r="AS40" s="389">
        <f t="shared" si="14"/>
        <v>0</v>
      </c>
      <c r="AT40" s="389">
        <f t="shared" si="14"/>
        <v>0</v>
      </c>
      <c r="AU40" s="389">
        <f t="shared" si="14"/>
        <v>0</v>
      </c>
      <c r="AV40" s="389">
        <f t="shared" si="14"/>
        <v>0</v>
      </c>
      <c r="AW40" s="389">
        <f t="shared" si="14"/>
        <v>0</v>
      </c>
      <c r="AX40" s="389">
        <f t="shared" si="14"/>
        <v>0</v>
      </c>
      <c r="AY40" s="389">
        <f t="shared" si="14"/>
        <v>0</v>
      </c>
      <c r="AZ40" s="389">
        <f t="shared" si="14"/>
        <v>0</v>
      </c>
      <c r="BA40" s="389">
        <f t="shared" si="15"/>
        <v>0</v>
      </c>
      <c r="BB40" s="389">
        <f t="shared" si="15"/>
        <v>0</v>
      </c>
      <c r="BC40" s="389">
        <f t="shared" si="15"/>
        <v>0</v>
      </c>
      <c r="BD40" s="389">
        <f t="shared" si="15"/>
        <v>0</v>
      </c>
      <c r="BE40" s="389">
        <f t="shared" si="15"/>
        <v>0</v>
      </c>
      <c r="BF40" s="389">
        <f t="shared" si="15"/>
        <v>0</v>
      </c>
      <c r="BG40" s="389">
        <f t="shared" si="15"/>
        <v>0</v>
      </c>
      <c r="BH40" s="389">
        <f t="shared" si="15"/>
        <v>0</v>
      </c>
      <c r="BI40" s="389">
        <f t="shared" si="15"/>
        <v>0</v>
      </c>
      <c r="BJ40" s="389">
        <f t="shared" si="15"/>
        <v>0</v>
      </c>
      <c r="BK40" s="389">
        <f t="shared" si="15"/>
        <v>0</v>
      </c>
      <c r="BL40" s="389">
        <f t="shared" si="15"/>
        <v>0</v>
      </c>
      <c r="BM40" s="389">
        <f t="shared" si="15"/>
        <v>0</v>
      </c>
      <c r="BN40" s="389">
        <f t="shared" si="15"/>
        <v>0</v>
      </c>
      <c r="BO40" s="389">
        <f t="shared" si="15"/>
        <v>0</v>
      </c>
      <c r="BP40" s="389">
        <f t="shared" si="15"/>
        <v>0</v>
      </c>
      <c r="BQ40" s="389">
        <f t="shared" si="16"/>
        <v>0</v>
      </c>
      <c r="BR40" s="389">
        <f t="shared" si="16"/>
        <v>0</v>
      </c>
      <c r="BS40" s="389">
        <f t="shared" si="16"/>
        <v>0</v>
      </c>
      <c r="BT40" s="389">
        <f t="shared" si="16"/>
        <v>0</v>
      </c>
      <c r="BU40" s="389">
        <f t="shared" si="16"/>
        <v>0</v>
      </c>
      <c r="BV40" s="389">
        <f t="shared" si="16"/>
        <v>0</v>
      </c>
      <c r="BW40" s="389">
        <f t="shared" si="16"/>
        <v>0</v>
      </c>
      <c r="BX40" s="389">
        <f t="shared" si="16"/>
        <v>0</v>
      </c>
      <c r="BY40" s="389">
        <f t="shared" si="16"/>
        <v>0</v>
      </c>
      <c r="BZ40" s="389">
        <f t="shared" si="16"/>
        <v>0</v>
      </c>
      <c r="CA40" s="389">
        <f t="shared" si="16"/>
        <v>0</v>
      </c>
      <c r="CB40" s="389">
        <f t="shared" si="16"/>
        <v>0</v>
      </c>
      <c r="CC40" s="389">
        <f t="shared" si="16"/>
        <v>0</v>
      </c>
      <c r="CD40" s="389">
        <f t="shared" si="16"/>
        <v>0</v>
      </c>
      <c r="CE40" s="389">
        <f t="shared" si="16"/>
        <v>0</v>
      </c>
      <c r="CF40" s="389">
        <f t="shared" si="16"/>
        <v>0</v>
      </c>
      <c r="CG40" s="389">
        <f t="shared" ref="CG40:CQ54" si="17">IF($I40&gt;CG$7-30,$E40,0)</f>
        <v>0</v>
      </c>
      <c r="CH40" s="389">
        <f t="shared" si="17"/>
        <v>0</v>
      </c>
      <c r="CI40" s="389">
        <f t="shared" si="17"/>
        <v>0</v>
      </c>
      <c r="CJ40" s="389">
        <f t="shared" si="17"/>
        <v>0</v>
      </c>
      <c r="CK40" s="389">
        <f t="shared" si="17"/>
        <v>0</v>
      </c>
      <c r="CL40" s="389">
        <f t="shared" si="17"/>
        <v>0</v>
      </c>
      <c r="CM40" s="389">
        <f t="shared" si="17"/>
        <v>0</v>
      </c>
      <c r="CN40" s="389">
        <f t="shared" si="17"/>
        <v>0</v>
      </c>
      <c r="CO40" s="389">
        <f t="shared" si="17"/>
        <v>0</v>
      </c>
      <c r="CP40" s="389">
        <f t="shared" si="17"/>
        <v>0</v>
      </c>
      <c r="CQ40" s="389">
        <f t="shared" si="17"/>
        <v>0</v>
      </c>
      <c r="CR40" s="389">
        <f t="shared" si="8"/>
        <v>0</v>
      </c>
    </row>
    <row r="41" spans="2:96">
      <c r="B41" s="456"/>
      <c r="C41" s="456"/>
      <c r="D41" s="385">
        <v>16777.68</v>
      </c>
      <c r="E41" s="385">
        <f t="shared" si="6"/>
        <v>279.62799999999999</v>
      </c>
      <c r="F41" s="385">
        <f t="shared" si="7"/>
        <v>5</v>
      </c>
      <c r="G41" s="385">
        <v>60</v>
      </c>
      <c r="H41" s="386">
        <v>42273</v>
      </c>
      <c r="I41" s="387">
        <f t="shared" si="12"/>
        <v>44098</v>
      </c>
      <c r="J41" s="456"/>
      <c r="K41" s="388">
        <v>2803.63</v>
      </c>
      <c r="L41" s="389">
        <v>280.35000000000002</v>
      </c>
      <c r="M41" s="389">
        <v>280.35000000000002</v>
      </c>
      <c r="N41" s="389">
        <v>280.35000000000002</v>
      </c>
      <c r="O41" s="389">
        <v>280.35000000000002</v>
      </c>
      <c r="P41" s="389">
        <v>280.35000000000002</v>
      </c>
      <c r="Q41" s="389">
        <v>280.35000000000002</v>
      </c>
      <c r="R41" s="389">
        <v>280.35000000000002</v>
      </c>
      <c r="S41" s="389">
        <v>280.35000000000002</v>
      </c>
      <c r="T41" s="389">
        <v>280.35000000000002</v>
      </c>
      <c r="U41" s="389">
        <f t="shared" ref="U41:AJ56" si="18">IF($I41&gt;U$7-30,$E41,0)</f>
        <v>279.62799999999999</v>
      </c>
      <c r="V41" s="389">
        <v>0</v>
      </c>
      <c r="W41" s="389">
        <v>0</v>
      </c>
      <c r="X41" s="389">
        <v>0</v>
      </c>
      <c r="Y41" s="389">
        <v>0</v>
      </c>
      <c r="Z41" s="389">
        <v>0</v>
      </c>
      <c r="AA41" s="389">
        <v>0</v>
      </c>
      <c r="AB41" s="389">
        <v>0</v>
      </c>
      <c r="AC41" s="389">
        <v>0</v>
      </c>
      <c r="AD41" s="389">
        <v>0</v>
      </c>
      <c r="AE41" s="389">
        <v>0</v>
      </c>
      <c r="AF41" s="389">
        <v>0</v>
      </c>
      <c r="AG41" s="389">
        <v>0</v>
      </c>
      <c r="AH41" s="389">
        <v>0</v>
      </c>
      <c r="AI41" s="389">
        <v>0</v>
      </c>
      <c r="AJ41" s="389">
        <f t="shared" ref="AJ41:AY56" si="19">IF($I41&gt;AJ$7-30,$E41,0)</f>
        <v>0</v>
      </c>
      <c r="AK41" s="389">
        <f t="shared" si="14"/>
        <v>0</v>
      </c>
      <c r="AL41" s="389">
        <f t="shared" si="14"/>
        <v>0</v>
      </c>
      <c r="AM41" s="389">
        <f t="shared" si="14"/>
        <v>0</v>
      </c>
      <c r="AN41" s="389">
        <f t="shared" si="14"/>
        <v>0</v>
      </c>
      <c r="AO41" s="389">
        <f t="shared" si="14"/>
        <v>0</v>
      </c>
      <c r="AP41" s="389">
        <f t="shared" si="14"/>
        <v>0</v>
      </c>
      <c r="AQ41" s="389">
        <f t="shared" si="14"/>
        <v>0</v>
      </c>
      <c r="AR41" s="389">
        <f t="shared" si="14"/>
        <v>0</v>
      </c>
      <c r="AS41" s="389">
        <f t="shared" si="14"/>
        <v>0</v>
      </c>
      <c r="AT41" s="389">
        <f t="shared" si="14"/>
        <v>0</v>
      </c>
      <c r="AU41" s="389">
        <f t="shared" si="14"/>
        <v>0</v>
      </c>
      <c r="AV41" s="389">
        <f t="shared" si="14"/>
        <v>0</v>
      </c>
      <c r="AW41" s="389">
        <f t="shared" si="14"/>
        <v>0</v>
      </c>
      <c r="AX41" s="389">
        <f t="shared" si="14"/>
        <v>0</v>
      </c>
      <c r="AY41" s="389">
        <f t="shared" si="14"/>
        <v>0</v>
      </c>
      <c r="AZ41" s="389">
        <f t="shared" si="14"/>
        <v>0</v>
      </c>
      <c r="BA41" s="389">
        <f t="shared" si="15"/>
        <v>0</v>
      </c>
      <c r="BB41" s="389">
        <f t="shared" si="15"/>
        <v>0</v>
      </c>
      <c r="BC41" s="389">
        <f t="shared" si="15"/>
        <v>0</v>
      </c>
      <c r="BD41" s="389">
        <f t="shared" si="15"/>
        <v>0</v>
      </c>
      <c r="BE41" s="389">
        <f t="shared" si="15"/>
        <v>0</v>
      </c>
      <c r="BF41" s="389">
        <f t="shared" si="15"/>
        <v>0</v>
      </c>
      <c r="BG41" s="389">
        <f t="shared" si="15"/>
        <v>0</v>
      </c>
      <c r="BH41" s="389">
        <f t="shared" si="15"/>
        <v>0</v>
      </c>
      <c r="BI41" s="389">
        <f t="shared" si="15"/>
        <v>0</v>
      </c>
      <c r="BJ41" s="389">
        <f t="shared" si="15"/>
        <v>0</v>
      </c>
      <c r="BK41" s="389">
        <f t="shared" si="15"/>
        <v>0</v>
      </c>
      <c r="BL41" s="389">
        <f t="shared" si="15"/>
        <v>0</v>
      </c>
      <c r="BM41" s="389">
        <f t="shared" si="15"/>
        <v>0</v>
      </c>
      <c r="BN41" s="389">
        <f t="shared" si="15"/>
        <v>0</v>
      </c>
      <c r="BO41" s="389">
        <f t="shared" si="15"/>
        <v>0</v>
      </c>
      <c r="BP41" s="389">
        <f t="shared" si="15"/>
        <v>0</v>
      </c>
      <c r="BQ41" s="389">
        <f t="shared" si="16"/>
        <v>0</v>
      </c>
      <c r="BR41" s="389">
        <f t="shared" si="16"/>
        <v>0</v>
      </c>
      <c r="BS41" s="389">
        <f t="shared" si="16"/>
        <v>0</v>
      </c>
      <c r="BT41" s="389">
        <f t="shared" si="16"/>
        <v>0</v>
      </c>
      <c r="BU41" s="389">
        <f t="shared" si="16"/>
        <v>0</v>
      </c>
      <c r="BV41" s="389">
        <f t="shared" si="16"/>
        <v>0</v>
      </c>
      <c r="BW41" s="389">
        <f t="shared" si="16"/>
        <v>0</v>
      </c>
      <c r="BX41" s="389">
        <f t="shared" si="16"/>
        <v>0</v>
      </c>
      <c r="BY41" s="389">
        <f t="shared" si="16"/>
        <v>0</v>
      </c>
      <c r="BZ41" s="389">
        <f t="shared" si="16"/>
        <v>0</v>
      </c>
      <c r="CA41" s="389">
        <f t="shared" si="16"/>
        <v>0</v>
      </c>
      <c r="CB41" s="389">
        <f t="shared" si="16"/>
        <v>0</v>
      </c>
      <c r="CC41" s="389">
        <f t="shared" si="16"/>
        <v>0</v>
      </c>
      <c r="CD41" s="389">
        <f t="shared" si="16"/>
        <v>0</v>
      </c>
      <c r="CE41" s="389">
        <f t="shared" si="16"/>
        <v>0</v>
      </c>
      <c r="CF41" s="389">
        <f t="shared" si="16"/>
        <v>0</v>
      </c>
      <c r="CG41" s="389">
        <f t="shared" si="17"/>
        <v>0</v>
      </c>
      <c r="CH41" s="389">
        <f t="shared" si="17"/>
        <v>0</v>
      </c>
      <c r="CI41" s="389">
        <f t="shared" si="17"/>
        <v>0</v>
      </c>
      <c r="CJ41" s="389">
        <f t="shared" si="17"/>
        <v>0</v>
      </c>
      <c r="CK41" s="389">
        <f t="shared" si="17"/>
        <v>0</v>
      </c>
      <c r="CL41" s="389">
        <f t="shared" si="17"/>
        <v>0</v>
      </c>
      <c r="CM41" s="389">
        <f t="shared" si="17"/>
        <v>0</v>
      </c>
      <c r="CN41" s="389">
        <f t="shared" si="17"/>
        <v>0</v>
      </c>
      <c r="CO41" s="389">
        <f t="shared" si="17"/>
        <v>0</v>
      </c>
      <c r="CP41" s="389">
        <f t="shared" si="17"/>
        <v>0</v>
      </c>
      <c r="CQ41" s="389">
        <f t="shared" si="17"/>
        <v>0</v>
      </c>
      <c r="CR41" s="389">
        <f t="shared" si="8"/>
        <v>0.8520000000003165</v>
      </c>
    </row>
    <row r="42" spans="2:96">
      <c r="B42" s="456"/>
      <c r="C42" s="456"/>
      <c r="D42" s="385">
        <v>88768.81</v>
      </c>
      <c r="E42" s="385">
        <f t="shared" si="6"/>
        <v>1479.4801666666667</v>
      </c>
      <c r="F42" s="385">
        <f t="shared" si="7"/>
        <v>5</v>
      </c>
      <c r="G42" s="385">
        <v>60</v>
      </c>
      <c r="H42" s="386">
        <v>42273</v>
      </c>
      <c r="I42" s="387">
        <f t="shared" si="12"/>
        <v>44098</v>
      </c>
      <c r="J42" s="456"/>
      <c r="K42" s="388">
        <v>18534.21</v>
      </c>
      <c r="L42" s="389">
        <v>1479.48</v>
      </c>
      <c r="M42" s="389">
        <v>1479.48</v>
      </c>
      <c r="N42" s="389">
        <v>1479.48</v>
      </c>
      <c r="O42" s="389">
        <v>1479.48</v>
      </c>
      <c r="P42" s="389">
        <v>1479.48</v>
      </c>
      <c r="Q42" s="389">
        <v>1479.48</v>
      </c>
      <c r="R42" s="389">
        <v>1479.48</v>
      </c>
      <c r="S42" s="389">
        <v>1479.48</v>
      </c>
      <c r="T42" s="389">
        <v>1479.48</v>
      </c>
      <c r="U42" s="389">
        <f t="shared" si="18"/>
        <v>1479.4801666666667</v>
      </c>
      <c r="V42" s="389">
        <f t="shared" si="18"/>
        <v>1479.4801666666667</v>
      </c>
      <c r="W42" s="389">
        <f t="shared" si="18"/>
        <v>1479.4801666666667</v>
      </c>
      <c r="X42" s="389">
        <v>780.45</v>
      </c>
      <c r="Y42" s="389">
        <v>0</v>
      </c>
      <c r="Z42" s="389">
        <v>0</v>
      </c>
      <c r="AA42" s="389">
        <v>0</v>
      </c>
      <c r="AB42" s="389">
        <v>0</v>
      </c>
      <c r="AC42" s="389">
        <v>0</v>
      </c>
      <c r="AD42" s="389">
        <v>0</v>
      </c>
      <c r="AE42" s="389">
        <v>0</v>
      </c>
      <c r="AF42" s="389">
        <v>0</v>
      </c>
      <c r="AG42" s="389">
        <v>0</v>
      </c>
      <c r="AH42" s="389">
        <v>0</v>
      </c>
      <c r="AI42" s="389">
        <v>0</v>
      </c>
      <c r="AJ42" s="389">
        <f t="shared" si="19"/>
        <v>0</v>
      </c>
      <c r="AK42" s="389">
        <f t="shared" si="14"/>
        <v>0</v>
      </c>
      <c r="AL42" s="389">
        <f t="shared" si="14"/>
        <v>0</v>
      </c>
      <c r="AM42" s="389">
        <f t="shared" si="14"/>
        <v>0</v>
      </c>
      <c r="AN42" s="389">
        <f t="shared" si="14"/>
        <v>0</v>
      </c>
      <c r="AO42" s="389">
        <f t="shared" si="14"/>
        <v>0</v>
      </c>
      <c r="AP42" s="389">
        <f t="shared" si="14"/>
        <v>0</v>
      </c>
      <c r="AQ42" s="389">
        <f t="shared" si="14"/>
        <v>0</v>
      </c>
      <c r="AR42" s="389">
        <f t="shared" si="14"/>
        <v>0</v>
      </c>
      <c r="AS42" s="389">
        <f t="shared" si="14"/>
        <v>0</v>
      </c>
      <c r="AT42" s="389">
        <f t="shared" si="14"/>
        <v>0</v>
      </c>
      <c r="AU42" s="389">
        <f t="shared" si="14"/>
        <v>0</v>
      </c>
      <c r="AV42" s="389">
        <f t="shared" si="14"/>
        <v>0</v>
      </c>
      <c r="AW42" s="389">
        <f t="shared" si="14"/>
        <v>0</v>
      </c>
      <c r="AX42" s="389">
        <f t="shared" si="14"/>
        <v>0</v>
      </c>
      <c r="AY42" s="389">
        <f t="shared" si="14"/>
        <v>0</v>
      </c>
      <c r="AZ42" s="389">
        <f t="shared" si="14"/>
        <v>0</v>
      </c>
      <c r="BA42" s="389">
        <f t="shared" si="15"/>
        <v>0</v>
      </c>
      <c r="BB42" s="389">
        <f t="shared" si="15"/>
        <v>0</v>
      </c>
      <c r="BC42" s="389">
        <f t="shared" si="15"/>
        <v>0</v>
      </c>
      <c r="BD42" s="389">
        <f t="shared" si="15"/>
        <v>0</v>
      </c>
      <c r="BE42" s="389">
        <f t="shared" si="15"/>
        <v>0</v>
      </c>
      <c r="BF42" s="389">
        <f t="shared" si="15"/>
        <v>0</v>
      </c>
      <c r="BG42" s="389">
        <f t="shared" si="15"/>
        <v>0</v>
      </c>
      <c r="BH42" s="389">
        <f t="shared" si="15"/>
        <v>0</v>
      </c>
      <c r="BI42" s="389">
        <f t="shared" si="15"/>
        <v>0</v>
      </c>
      <c r="BJ42" s="389">
        <f t="shared" si="15"/>
        <v>0</v>
      </c>
      <c r="BK42" s="389">
        <f t="shared" si="15"/>
        <v>0</v>
      </c>
      <c r="BL42" s="389">
        <f t="shared" si="15"/>
        <v>0</v>
      </c>
      <c r="BM42" s="389">
        <f t="shared" si="15"/>
        <v>0</v>
      </c>
      <c r="BN42" s="389">
        <f t="shared" si="15"/>
        <v>0</v>
      </c>
      <c r="BO42" s="389">
        <f t="shared" si="15"/>
        <v>0</v>
      </c>
      <c r="BP42" s="389">
        <f t="shared" si="15"/>
        <v>0</v>
      </c>
      <c r="BQ42" s="389">
        <f t="shared" si="16"/>
        <v>0</v>
      </c>
      <c r="BR42" s="389">
        <f t="shared" si="16"/>
        <v>0</v>
      </c>
      <c r="BS42" s="389">
        <f t="shared" si="16"/>
        <v>0</v>
      </c>
      <c r="BT42" s="389">
        <f t="shared" si="16"/>
        <v>0</v>
      </c>
      <c r="BU42" s="389">
        <f t="shared" si="16"/>
        <v>0</v>
      </c>
      <c r="BV42" s="389">
        <f t="shared" si="16"/>
        <v>0</v>
      </c>
      <c r="BW42" s="389">
        <f t="shared" si="16"/>
        <v>0</v>
      </c>
      <c r="BX42" s="389">
        <f t="shared" si="16"/>
        <v>0</v>
      </c>
      <c r="BY42" s="389">
        <f t="shared" si="16"/>
        <v>0</v>
      </c>
      <c r="BZ42" s="389">
        <f t="shared" si="16"/>
        <v>0</v>
      </c>
      <c r="CA42" s="389">
        <f t="shared" si="16"/>
        <v>0</v>
      </c>
      <c r="CB42" s="389">
        <f t="shared" si="16"/>
        <v>0</v>
      </c>
      <c r="CC42" s="389">
        <f t="shared" si="16"/>
        <v>0</v>
      </c>
      <c r="CD42" s="389">
        <f t="shared" si="16"/>
        <v>0</v>
      </c>
      <c r="CE42" s="389">
        <f t="shared" si="16"/>
        <v>0</v>
      </c>
      <c r="CF42" s="389">
        <f t="shared" si="16"/>
        <v>0</v>
      </c>
      <c r="CG42" s="389">
        <f t="shared" si="17"/>
        <v>0</v>
      </c>
      <c r="CH42" s="389">
        <f t="shared" si="17"/>
        <v>0</v>
      </c>
      <c r="CI42" s="389">
        <f t="shared" si="17"/>
        <v>0</v>
      </c>
      <c r="CJ42" s="389">
        <f t="shared" si="17"/>
        <v>0</v>
      </c>
      <c r="CK42" s="389">
        <f t="shared" si="17"/>
        <v>0</v>
      </c>
      <c r="CL42" s="389">
        <f t="shared" si="17"/>
        <v>0</v>
      </c>
      <c r="CM42" s="389">
        <f t="shared" si="17"/>
        <v>0</v>
      </c>
      <c r="CN42" s="389">
        <f t="shared" si="17"/>
        <v>0</v>
      </c>
      <c r="CO42" s="389">
        <f t="shared" si="17"/>
        <v>0</v>
      </c>
      <c r="CP42" s="389">
        <f t="shared" si="17"/>
        <v>0</v>
      </c>
      <c r="CQ42" s="389">
        <f t="shared" si="17"/>
        <v>0</v>
      </c>
      <c r="CR42" s="389">
        <f t="shared" si="8"/>
        <v>-4.99999998282874E-4</v>
      </c>
    </row>
    <row r="43" spans="2:96">
      <c r="B43" s="456"/>
      <c r="C43" s="456"/>
      <c r="D43" s="385">
        <v>34367.230000000003</v>
      </c>
      <c r="E43" s="385">
        <f t="shared" si="6"/>
        <v>572.78716666666674</v>
      </c>
      <c r="F43" s="385">
        <f t="shared" si="7"/>
        <v>5</v>
      </c>
      <c r="G43" s="385">
        <v>60</v>
      </c>
      <c r="H43" s="386">
        <v>42464</v>
      </c>
      <c r="I43" s="387">
        <f t="shared" si="12"/>
        <v>44289</v>
      </c>
      <c r="J43" s="456"/>
      <c r="K43" s="388">
        <v>17737.23</v>
      </c>
      <c r="L43" s="389">
        <v>573.59</v>
      </c>
      <c r="M43" s="389">
        <v>573.59</v>
      </c>
      <c r="N43" s="389">
        <v>573.59</v>
      </c>
      <c r="O43" s="389">
        <v>573.59</v>
      </c>
      <c r="P43" s="389">
        <v>573.59</v>
      </c>
      <c r="Q43" s="389">
        <v>573.59</v>
      </c>
      <c r="R43" s="389">
        <v>573.59</v>
      </c>
      <c r="S43" s="389">
        <v>573.59</v>
      </c>
      <c r="T43" s="389">
        <v>573.59</v>
      </c>
      <c r="U43" s="389">
        <f t="shared" si="18"/>
        <v>572.78716666666674</v>
      </c>
      <c r="V43" s="389">
        <f t="shared" si="18"/>
        <v>572.78716666666674</v>
      </c>
      <c r="W43" s="389">
        <f t="shared" si="18"/>
        <v>572.78716666666674</v>
      </c>
      <c r="X43" s="389">
        <f t="shared" si="18"/>
        <v>572.78716666666674</v>
      </c>
      <c r="Y43" s="389">
        <f t="shared" si="18"/>
        <v>572.78716666666674</v>
      </c>
      <c r="Z43" s="389">
        <f t="shared" si="18"/>
        <v>572.78716666666674</v>
      </c>
      <c r="AA43" s="389">
        <f t="shared" si="18"/>
        <v>572.78716666666674</v>
      </c>
      <c r="AB43" s="389">
        <f t="shared" si="18"/>
        <v>572.78716666666674</v>
      </c>
      <c r="AC43" s="389">
        <f t="shared" si="18"/>
        <v>572.78716666666674</v>
      </c>
      <c r="AD43" s="389">
        <f t="shared" si="18"/>
        <v>572.78716666666674</v>
      </c>
      <c r="AE43" s="389">
        <f t="shared" si="18"/>
        <v>572.78716666666674</v>
      </c>
      <c r="AF43" s="389">
        <f t="shared" si="18"/>
        <v>572.78716666666674</v>
      </c>
      <c r="AG43" s="389">
        <f t="shared" si="18"/>
        <v>572.78716666666674</v>
      </c>
      <c r="AH43" s="389">
        <f t="shared" si="18"/>
        <v>572.78716666666674</v>
      </c>
      <c r="AI43" s="389">
        <f t="shared" si="18"/>
        <v>572.78716666666674</v>
      </c>
      <c r="AJ43" s="389">
        <f t="shared" si="19"/>
        <v>572.78716666666674</v>
      </c>
      <c r="AK43" s="389">
        <f t="shared" si="14"/>
        <v>572.78716666666674</v>
      </c>
      <c r="AL43" s="389">
        <f t="shared" si="14"/>
        <v>572.78716666666674</v>
      </c>
      <c r="AM43" s="389">
        <f t="shared" si="14"/>
        <v>572.78716666666674</v>
      </c>
      <c r="AN43" s="389">
        <f t="shared" si="14"/>
        <v>572.78716666666674</v>
      </c>
      <c r="AO43" s="389">
        <f t="shared" si="14"/>
        <v>572.78716666666674</v>
      </c>
      <c r="AP43" s="389">
        <f>IF($I43&gt;AP$7-30,$E43,0)-26.4</f>
        <v>546.38716666666676</v>
      </c>
      <c r="AQ43" s="389">
        <f t="shared" si="14"/>
        <v>0</v>
      </c>
      <c r="AR43" s="389">
        <f t="shared" si="14"/>
        <v>0</v>
      </c>
      <c r="AS43" s="389">
        <f t="shared" si="14"/>
        <v>0</v>
      </c>
      <c r="AT43" s="389">
        <f t="shared" si="14"/>
        <v>0</v>
      </c>
      <c r="AU43" s="389">
        <f t="shared" si="14"/>
        <v>0</v>
      </c>
      <c r="AV43" s="389">
        <f t="shared" si="14"/>
        <v>0</v>
      </c>
      <c r="AW43" s="389">
        <f t="shared" si="14"/>
        <v>0</v>
      </c>
      <c r="AX43" s="389">
        <f t="shared" si="14"/>
        <v>0</v>
      </c>
      <c r="AY43" s="389">
        <f t="shared" si="14"/>
        <v>0</v>
      </c>
      <c r="AZ43" s="389">
        <f t="shared" si="14"/>
        <v>0</v>
      </c>
      <c r="BA43" s="389">
        <f t="shared" si="15"/>
        <v>0</v>
      </c>
      <c r="BB43" s="389">
        <f t="shared" si="15"/>
        <v>0</v>
      </c>
      <c r="BC43" s="389">
        <f t="shared" si="15"/>
        <v>0</v>
      </c>
      <c r="BD43" s="389">
        <f t="shared" si="15"/>
        <v>0</v>
      </c>
      <c r="BE43" s="389">
        <f t="shared" si="15"/>
        <v>0</v>
      </c>
      <c r="BF43" s="389">
        <f t="shared" si="15"/>
        <v>0</v>
      </c>
      <c r="BG43" s="389">
        <f t="shared" si="15"/>
        <v>0</v>
      </c>
      <c r="BH43" s="389">
        <f t="shared" si="15"/>
        <v>0</v>
      </c>
      <c r="BI43" s="389">
        <f t="shared" si="15"/>
        <v>0</v>
      </c>
      <c r="BJ43" s="389">
        <f t="shared" si="15"/>
        <v>0</v>
      </c>
      <c r="BK43" s="389">
        <f t="shared" si="15"/>
        <v>0</v>
      </c>
      <c r="BL43" s="389">
        <f t="shared" si="15"/>
        <v>0</v>
      </c>
      <c r="BM43" s="389">
        <f t="shared" si="15"/>
        <v>0</v>
      </c>
      <c r="BN43" s="389">
        <f t="shared" si="15"/>
        <v>0</v>
      </c>
      <c r="BO43" s="389">
        <f t="shared" si="15"/>
        <v>0</v>
      </c>
      <c r="BP43" s="389">
        <f t="shared" si="15"/>
        <v>0</v>
      </c>
      <c r="BQ43" s="389">
        <f t="shared" si="16"/>
        <v>0</v>
      </c>
      <c r="BR43" s="389">
        <f t="shared" si="16"/>
        <v>0</v>
      </c>
      <c r="BS43" s="389">
        <f t="shared" si="16"/>
        <v>0</v>
      </c>
      <c r="BT43" s="389">
        <f t="shared" si="16"/>
        <v>0</v>
      </c>
      <c r="BU43" s="389">
        <f t="shared" si="16"/>
        <v>0</v>
      </c>
      <c r="BV43" s="389">
        <f t="shared" si="16"/>
        <v>0</v>
      </c>
      <c r="BW43" s="389">
        <f t="shared" si="16"/>
        <v>0</v>
      </c>
      <c r="BX43" s="389">
        <f t="shared" si="16"/>
        <v>0</v>
      </c>
      <c r="BY43" s="389">
        <f t="shared" si="16"/>
        <v>0</v>
      </c>
      <c r="BZ43" s="389">
        <f t="shared" si="16"/>
        <v>0</v>
      </c>
      <c r="CA43" s="389">
        <f t="shared" si="16"/>
        <v>0</v>
      </c>
      <c r="CB43" s="389">
        <f t="shared" si="16"/>
        <v>0</v>
      </c>
      <c r="CC43" s="389">
        <f t="shared" si="16"/>
        <v>0</v>
      </c>
      <c r="CD43" s="389">
        <f t="shared" si="16"/>
        <v>0</v>
      </c>
      <c r="CE43" s="389">
        <f t="shared" si="16"/>
        <v>0</v>
      </c>
      <c r="CF43" s="389">
        <f t="shared" si="16"/>
        <v>0</v>
      </c>
      <c r="CG43" s="389">
        <f t="shared" si="17"/>
        <v>0</v>
      </c>
      <c r="CH43" s="389">
        <f t="shared" si="17"/>
        <v>0</v>
      </c>
      <c r="CI43" s="389">
        <f t="shared" si="17"/>
        <v>0</v>
      </c>
      <c r="CJ43" s="389">
        <f t="shared" si="17"/>
        <v>0</v>
      </c>
      <c r="CK43" s="389">
        <f t="shared" si="17"/>
        <v>0</v>
      </c>
      <c r="CL43" s="389">
        <f t="shared" si="17"/>
        <v>0</v>
      </c>
      <c r="CM43" s="389">
        <f t="shared" si="17"/>
        <v>0</v>
      </c>
      <c r="CN43" s="389">
        <f t="shared" si="17"/>
        <v>0</v>
      </c>
      <c r="CO43" s="389">
        <f t="shared" si="17"/>
        <v>0</v>
      </c>
      <c r="CP43" s="389">
        <f t="shared" si="17"/>
        <v>0</v>
      </c>
      <c r="CQ43" s="389">
        <f t="shared" si="17"/>
        <v>0</v>
      </c>
      <c r="CR43" s="389">
        <f t="shared" si="8"/>
        <v>2.3333333301707171E-3</v>
      </c>
    </row>
    <row r="44" spans="2:96">
      <c r="B44" s="456"/>
      <c r="C44" s="456"/>
      <c r="D44" s="385">
        <v>25579.58</v>
      </c>
      <c r="E44" s="385">
        <f t="shared" si="6"/>
        <v>426.32633333333337</v>
      </c>
      <c r="F44" s="385">
        <f t="shared" si="7"/>
        <v>5</v>
      </c>
      <c r="G44" s="385">
        <v>60</v>
      </c>
      <c r="H44" s="386">
        <v>42546</v>
      </c>
      <c r="I44" s="387">
        <f t="shared" si="12"/>
        <v>44371</v>
      </c>
      <c r="J44" s="456"/>
      <c r="K44" s="388">
        <v>11842.48</v>
      </c>
      <c r="L44" s="389">
        <v>359.22</v>
      </c>
      <c r="M44" s="389">
        <v>359.22</v>
      </c>
      <c r="N44" s="389">
        <v>359.22</v>
      </c>
      <c r="O44" s="389">
        <v>359.22</v>
      </c>
      <c r="P44" s="389">
        <v>359.22</v>
      </c>
      <c r="Q44" s="389">
        <v>359.22</v>
      </c>
      <c r="R44" s="389">
        <v>359.22</v>
      </c>
      <c r="S44" s="389">
        <v>359.22</v>
      </c>
      <c r="T44" s="389">
        <v>359.22</v>
      </c>
      <c r="U44" s="389">
        <f t="shared" si="18"/>
        <v>426.32633333333337</v>
      </c>
      <c r="V44" s="389">
        <f t="shared" si="18"/>
        <v>426.32633333333337</v>
      </c>
      <c r="W44" s="389">
        <f t="shared" si="18"/>
        <v>426.32633333333337</v>
      </c>
      <c r="X44" s="389">
        <f t="shared" si="18"/>
        <v>426.32633333333337</v>
      </c>
      <c r="Y44" s="389">
        <f t="shared" si="18"/>
        <v>426.32633333333337</v>
      </c>
      <c r="Z44" s="389">
        <f t="shared" si="18"/>
        <v>426.32633333333337</v>
      </c>
      <c r="AA44" s="389">
        <f t="shared" si="18"/>
        <v>426.32633333333337</v>
      </c>
      <c r="AB44" s="389">
        <f t="shared" si="18"/>
        <v>426.32633333333337</v>
      </c>
      <c r="AC44" s="389">
        <f t="shared" si="18"/>
        <v>426.32633333333337</v>
      </c>
      <c r="AD44" s="389">
        <f t="shared" si="18"/>
        <v>426.32633333333337</v>
      </c>
      <c r="AE44" s="389">
        <f t="shared" si="18"/>
        <v>426.32633333333337</v>
      </c>
      <c r="AF44" s="389">
        <f t="shared" si="18"/>
        <v>426.32633333333337</v>
      </c>
      <c r="AG44" s="389">
        <f t="shared" si="18"/>
        <v>426.32633333333337</v>
      </c>
      <c r="AH44" s="389">
        <f t="shared" si="18"/>
        <v>426.32633333333337</v>
      </c>
      <c r="AI44" s="389">
        <f t="shared" si="18"/>
        <v>426.32633333333337</v>
      </c>
      <c r="AJ44" s="389">
        <f t="shared" si="19"/>
        <v>426.32633333333337</v>
      </c>
      <c r="AK44" s="389">
        <f t="shared" si="14"/>
        <v>426.32633333333337</v>
      </c>
      <c r="AL44" s="389">
        <f t="shared" si="14"/>
        <v>426.32633333333337</v>
      </c>
      <c r="AM44" s="389">
        <f t="shared" si="14"/>
        <v>426.32633333333337</v>
      </c>
      <c r="AN44" s="389">
        <f t="shared" si="14"/>
        <v>426.32633333333337</v>
      </c>
      <c r="AO44" s="389">
        <v>82.97</v>
      </c>
      <c r="AP44" s="389">
        <v>0</v>
      </c>
      <c r="AQ44" s="389">
        <v>0</v>
      </c>
      <c r="AR44" s="389">
        <v>0</v>
      </c>
      <c r="AS44" s="389">
        <f t="shared" si="14"/>
        <v>0</v>
      </c>
      <c r="AT44" s="389">
        <f t="shared" si="14"/>
        <v>0</v>
      </c>
      <c r="AU44" s="389">
        <f t="shared" si="14"/>
        <v>0</v>
      </c>
      <c r="AV44" s="389">
        <f t="shared" si="14"/>
        <v>0</v>
      </c>
      <c r="AW44" s="389">
        <f t="shared" si="14"/>
        <v>0</v>
      </c>
      <c r="AX44" s="389">
        <f t="shared" si="14"/>
        <v>0</v>
      </c>
      <c r="AY44" s="389">
        <f t="shared" si="14"/>
        <v>0</v>
      </c>
      <c r="AZ44" s="389">
        <f t="shared" si="14"/>
        <v>0</v>
      </c>
      <c r="BA44" s="389">
        <f t="shared" si="15"/>
        <v>0</v>
      </c>
      <c r="BB44" s="389">
        <f t="shared" si="15"/>
        <v>0</v>
      </c>
      <c r="BC44" s="389">
        <f t="shared" si="15"/>
        <v>0</v>
      </c>
      <c r="BD44" s="389">
        <f t="shared" si="15"/>
        <v>0</v>
      </c>
      <c r="BE44" s="389">
        <f t="shared" si="15"/>
        <v>0</v>
      </c>
      <c r="BF44" s="389">
        <f t="shared" si="15"/>
        <v>0</v>
      </c>
      <c r="BG44" s="389">
        <f t="shared" si="15"/>
        <v>0</v>
      </c>
      <c r="BH44" s="389">
        <f t="shared" si="15"/>
        <v>0</v>
      </c>
      <c r="BI44" s="389">
        <f t="shared" si="15"/>
        <v>0</v>
      </c>
      <c r="BJ44" s="389">
        <f t="shared" si="15"/>
        <v>0</v>
      </c>
      <c r="BK44" s="389">
        <f t="shared" si="15"/>
        <v>0</v>
      </c>
      <c r="BL44" s="389">
        <f t="shared" si="15"/>
        <v>0</v>
      </c>
      <c r="BM44" s="389">
        <f t="shared" si="15"/>
        <v>0</v>
      </c>
      <c r="BN44" s="389">
        <f t="shared" si="15"/>
        <v>0</v>
      </c>
      <c r="BO44" s="389">
        <f t="shared" si="15"/>
        <v>0</v>
      </c>
      <c r="BP44" s="389">
        <f t="shared" si="15"/>
        <v>0</v>
      </c>
      <c r="BQ44" s="389">
        <f t="shared" si="16"/>
        <v>0</v>
      </c>
      <c r="BR44" s="389">
        <f t="shared" si="16"/>
        <v>0</v>
      </c>
      <c r="BS44" s="389">
        <f t="shared" si="16"/>
        <v>0</v>
      </c>
      <c r="BT44" s="389">
        <f t="shared" si="16"/>
        <v>0</v>
      </c>
      <c r="BU44" s="389">
        <f t="shared" si="16"/>
        <v>0</v>
      </c>
      <c r="BV44" s="389">
        <f t="shared" si="16"/>
        <v>0</v>
      </c>
      <c r="BW44" s="389">
        <f t="shared" si="16"/>
        <v>0</v>
      </c>
      <c r="BX44" s="389">
        <f t="shared" si="16"/>
        <v>0</v>
      </c>
      <c r="BY44" s="389">
        <f t="shared" si="16"/>
        <v>0</v>
      </c>
      <c r="BZ44" s="389">
        <f t="shared" si="16"/>
        <v>0</v>
      </c>
      <c r="CA44" s="389">
        <f t="shared" si="16"/>
        <v>0</v>
      </c>
      <c r="CB44" s="389">
        <f t="shared" si="16"/>
        <v>0</v>
      </c>
      <c r="CC44" s="389">
        <f t="shared" si="16"/>
        <v>0</v>
      </c>
      <c r="CD44" s="389">
        <f t="shared" si="16"/>
        <v>0</v>
      </c>
      <c r="CE44" s="389">
        <f t="shared" si="16"/>
        <v>0</v>
      </c>
      <c r="CF44" s="389">
        <f t="shared" si="16"/>
        <v>0</v>
      </c>
      <c r="CG44" s="389">
        <f t="shared" si="17"/>
        <v>0</v>
      </c>
      <c r="CH44" s="389">
        <f t="shared" si="17"/>
        <v>0</v>
      </c>
      <c r="CI44" s="389">
        <f t="shared" si="17"/>
        <v>0</v>
      </c>
      <c r="CJ44" s="389">
        <f t="shared" si="17"/>
        <v>0</v>
      </c>
      <c r="CK44" s="389">
        <f t="shared" si="17"/>
        <v>0</v>
      </c>
      <c r="CL44" s="389">
        <f t="shared" si="17"/>
        <v>0</v>
      </c>
      <c r="CM44" s="389">
        <f t="shared" si="17"/>
        <v>0</v>
      </c>
      <c r="CN44" s="389">
        <f t="shared" si="17"/>
        <v>0</v>
      </c>
      <c r="CO44" s="389">
        <f t="shared" si="17"/>
        <v>0</v>
      </c>
      <c r="CP44" s="389">
        <f t="shared" si="17"/>
        <v>0</v>
      </c>
      <c r="CQ44" s="389">
        <f t="shared" si="17"/>
        <v>0</v>
      </c>
      <c r="CR44" s="389">
        <f t="shared" si="8"/>
        <v>3.3333333394693909E-3</v>
      </c>
    </row>
    <row r="45" spans="2:96">
      <c r="B45" s="456"/>
      <c r="C45" s="456"/>
      <c r="D45" s="385">
        <v>22750.83</v>
      </c>
      <c r="E45" s="385">
        <f t="shared" si="6"/>
        <v>379.18050000000005</v>
      </c>
      <c r="F45" s="385">
        <f t="shared" si="7"/>
        <v>5</v>
      </c>
      <c r="G45" s="385">
        <v>60</v>
      </c>
      <c r="H45" s="386">
        <v>42946</v>
      </c>
      <c r="I45" s="387">
        <f t="shared" si="12"/>
        <v>44771</v>
      </c>
      <c r="J45" s="456"/>
      <c r="K45" s="388">
        <v>18744.39</v>
      </c>
      <c r="L45" s="389">
        <v>279.02</v>
      </c>
      <c r="M45" s="389">
        <v>279.02</v>
      </c>
      <c r="N45" s="389">
        <v>279.02</v>
      </c>
      <c r="O45" s="389">
        <v>279.02</v>
      </c>
      <c r="P45" s="389">
        <v>279.02</v>
      </c>
      <c r="Q45" s="389">
        <v>279.02</v>
      </c>
      <c r="R45" s="389">
        <v>279.02</v>
      </c>
      <c r="S45" s="389">
        <v>279.02</v>
      </c>
      <c r="T45" s="389">
        <v>279.02</v>
      </c>
      <c r="U45" s="389">
        <f t="shared" si="18"/>
        <v>379.18050000000005</v>
      </c>
      <c r="V45" s="389">
        <f t="shared" si="18"/>
        <v>379.18050000000005</v>
      </c>
      <c r="W45" s="389">
        <f t="shared" si="18"/>
        <v>379.18050000000005</v>
      </c>
      <c r="X45" s="389">
        <f t="shared" si="18"/>
        <v>379.18050000000005</v>
      </c>
      <c r="Y45" s="389">
        <f t="shared" si="18"/>
        <v>379.18050000000005</v>
      </c>
      <c r="Z45" s="389">
        <f t="shared" si="18"/>
        <v>379.18050000000005</v>
      </c>
      <c r="AA45" s="389">
        <f t="shared" si="18"/>
        <v>379.18050000000005</v>
      </c>
      <c r="AB45" s="389">
        <f t="shared" si="18"/>
        <v>379.18050000000005</v>
      </c>
      <c r="AC45" s="389">
        <f t="shared" si="18"/>
        <v>379.18050000000005</v>
      </c>
      <c r="AD45" s="389">
        <f t="shared" si="18"/>
        <v>379.18050000000005</v>
      </c>
      <c r="AE45" s="389">
        <f t="shared" si="18"/>
        <v>379.18050000000005</v>
      </c>
      <c r="AF45" s="389">
        <f t="shared" si="18"/>
        <v>379.18050000000005</v>
      </c>
      <c r="AG45" s="389">
        <f t="shared" si="18"/>
        <v>379.18050000000005</v>
      </c>
      <c r="AH45" s="389">
        <f t="shared" si="18"/>
        <v>379.18050000000005</v>
      </c>
      <c r="AI45" s="389">
        <f t="shared" si="18"/>
        <v>379.18050000000005</v>
      </c>
      <c r="AJ45" s="389">
        <f t="shared" si="19"/>
        <v>379.18050000000005</v>
      </c>
      <c r="AK45" s="389">
        <f t="shared" si="19"/>
        <v>379.18050000000005</v>
      </c>
      <c r="AL45" s="389">
        <f t="shared" si="19"/>
        <v>379.18050000000005</v>
      </c>
      <c r="AM45" s="389">
        <f t="shared" si="19"/>
        <v>379.18050000000005</v>
      </c>
      <c r="AN45" s="389">
        <f t="shared" si="19"/>
        <v>379.18050000000005</v>
      </c>
      <c r="AO45" s="389">
        <f t="shared" si="19"/>
        <v>379.18050000000005</v>
      </c>
      <c r="AP45" s="389">
        <f t="shared" si="19"/>
        <v>379.18050000000005</v>
      </c>
      <c r="AQ45" s="389">
        <f t="shared" si="19"/>
        <v>379.18050000000005</v>
      </c>
      <c r="AR45" s="389">
        <f t="shared" si="19"/>
        <v>379.18050000000005</v>
      </c>
      <c r="AS45" s="389">
        <f t="shared" si="19"/>
        <v>379.18050000000005</v>
      </c>
      <c r="AT45" s="389">
        <f t="shared" si="19"/>
        <v>379.18050000000005</v>
      </c>
      <c r="AU45" s="389">
        <f t="shared" si="19"/>
        <v>379.18050000000005</v>
      </c>
      <c r="AV45" s="389">
        <f t="shared" si="19"/>
        <v>379.18050000000005</v>
      </c>
      <c r="AW45" s="389">
        <f t="shared" si="19"/>
        <v>379.18050000000005</v>
      </c>
      <c r="AX45" s="389">
        <f t="shared" si="19"/>
        <v>379.18050000000005</v>
      </c>
      <c r="AY45" s="389">
        <f t="shared" si="19"/>
        <v>379.18050000000005</v>
      </c>
      <c r="AZ45" s="389">
        <f t="shared" ref="AZ45:BO46" si="20">IF($I45&gt;AZ$7-30,$E45,0)</f>
        <v>379.18050000000005</v>
      </c>
      <c r="BA45" s="389">
        <f t="shared" si="20"/>
        <v>379.18050000000005</v>
      </c>
      <c r="BB45" s="389">
        <f t="shared" si="20"/>
        <v>379.18050000000005</v>
      </c>
      <c r="BC45" s="389">
        <f t="shared" si="20"/>
        <v>379.18050000000005</v>
      </c>
      <c r="BD45" s="389">
        <f t="shared" si="20"/>
        <v>379.18050000000005</v>
      </c>
      <c r="BE45" s="389">
        <f t="shared" si="20"/>
        <v>379.18050000000005</v>
      </c>
      <c r="BF45" s="389">
        <v>379.18050000000005</v>
      </c>
      <c r="BG45" s="389">
        <v>379.18050000000005</v>
      </c>
      <c r="BH45" s="389">
        <v>379.18050000000005</v>
      </c>
      <c r="BI45" s="389">
        <v>379.18050000000005</v>
      </c>
      <c r="BJ45" s="389">
        <v>379.18050000000005</v>
      </c>
      <c r="BK45" s="389">
        <f>379.1805-71.55</f>
        <v>307.63049999999998</v>
      </c>
      <c r="BL45" s="389">
        <f t="shared" si="20"/>
        <v>0</v>
      </c>
      <c r="BM45" s="389">
        <f t="shared" si="20"/>
        <v>0</v>
      </c>
      <c r="BN45" s="389">
        <f t="shared" si="20"/>
        <v>0</v>
      </c>
      <c r="BO45" s="389">
        <f t="shared" si="20"/>
        <v>0</v>
      </c>
      <c r="BP45" s="389">
        <f t="shared" ref="BP45:CE49" si="21">IF($I45&gt;BP$7-30,$E45,0)</f>
        <v>0</v>
      </c>
      <c r="BQ45" s="389">
        <f t="shared" si="21"/>
        <v>0</v>
      </c>
      <c r="BR45" s="389">
        <f t="shared" si="21"/>
        <v>0</v>
      </c>
      <c r="BS45" s="389">
        <f t="shared" si="21"/>
        <v>0</v>
      </c>
      <c r="BT45" s="389">
        <f t="shared" si="21"/>
        <v>0</v>
      </c>
      <c r="BU45" s="389">
        <f t="shared" si="21"/>
        <v>0</v>
      </c>
      <c r="BV45" s="389">
        <f t="shared" si="21"/>
        <v>0</v>
      </c>
      <c r="BW45" s="389">
        <f t="shared" si="21"/>
        <v>0</v>
      </c>
      <c r="BX45" s="389">
        <f t="shared" si="21"/>
        <v>0</v>
      </c>
      <c r="BY45" s="389">
        <f t="shared" si="21"/>
        <v>0</v>
      </c>
      <c r="BZ45" s="389">
        <f t="shared" si="21"/>
        <v>0</v>
      </c>
      <c r="CA45" s="389">
        <f t="shared" si="21"/>
        <v>0</v>
      </c>
      <c r="CB45" s="389">
        <f t="shared" si="21"/>
        <v>0</v>
      </c>
      <c r="CC45" s="389">
        <f t="shared" si="21"/>
        <v>0</v>
      </c>
      <c r="CD45" s="389">
        <f t="shared" si="21"/>
        <v>0</v>
      </c>
      <c r="CE45" s="389">
        <f t="shared" si="21"/>
        <v>0</v>
      </c>
      <c r="CF45" s="389">
        <f t="shared" ref="CF45:CQ60" si="22">IF($I45&gt;CF$7-30,$E45,0)</f>
        <v>0</v>
      </c>
      <c r="CG45" s="389">
        <f t="shared" si="17"/>
        <v>0</v>
      </c>
      <c r="CH45" s="389">
        <f t="shared" si="17"/>
        <v>0</v>
      </c>
      <c r="CI45" s="389">
        <f t="shared" si="17"/>
        <v>0</v>
      </c>
      <c r="CJ45" s="389">
        <f t="shared" si="17"/>
        <v>0</v>
      </c>
      <c r="CK45" s="389">
        <f t="shared" si="17"/>
        <v>0</v>
      </c>
      <c r="CL45" s="389">
        <f t="shared" si="17"/>
        <v>0</v>
      </c>
      <c r="CM45" s="389">
        <f t="shared" si="17"/>
        <v>0</v>
      </c>
      <c r="CN45" s="389">
        <f t="shared" si="17"/>
        <v>0</v>
      </c>
      <c r="CO45" s="389">
        <f t="shared" si="17"/>
        <v>0</v>
      </c>
      <c r="CP45" s="389">
        <f t="shared" si="17"/>
        <v>0</v>
      </c>
      <c r="CQ45" s="389">
        <f t="shared" si="17"/>
        <v>0</v>
      </c>
      <c r="CR45" s="389">
        <f t="shared" si="8"/>
        <v>-1.5000000021245796E-3</v>
      </c>
    </row>
    <row r="46" spans="2:96">
      <c r="B46" s="456"/>
      <c r="C46" s="456"/>
      <c r="D46" s="385">
        <v>139676.57</v>
      </c>
      <c r="E46" s="385">
        <f t="shared" si="6"/>
        <v>2327.9428333333335</v>
      </c>
      <c r="F46" s="385">
        <f t="shared" si="7"/>
        <v>5</v>
      </c>
      <c r="G46" s="385">
        <v>60</v>
      </c>
      <c r="H46" s="386">
        <v>43025</v>
      </c>
      <c r="I46" s="387">
        <f t="shared" si="12"/>
        <v>44850</v>
      </c>
      <c r="J46" s="456"/>
      <c r="K46" s="388">
        <v>118725.11</v>
      </c>
      <c r="L46" s="389">
        <v>2327.94</v>
      </c>
      <c r="M46" s="389">
        <v>2327.94</v>
      </c>
      <c r="N46" s="389">
        <v>2327.94</v>
      </c>
      <c r="O46" s="389">
        <v>2327.94</v>
      </c>
      <c r="P46" s="389">
        <v>2327.94</v>
      </c>
      <c r="Q46" s="389">
        <v>2327.94</v>
      </c>
      <c r="R46" s="389">
        <v>2327.94</v>
      </c>
      <c r="S46" s="389">
        <v>2327.94</v>
      </c>
      <c r="T46" s="389">
        <v>2327.94</v>
      </c>
      <c r="U46" s="389">
        <f t="shared" si="18"/>
        <v>2327.9428333333335</v>
      </c>
      <c r="V46" s="389">
        <f t="shared" si="18"/>
        <v>2327.9428333333335</v>
      </c>
      <c r="W46" s="389">
        <f t="shared" si="18"/>
        <v>2327.9428333333335</v>
      </c>
      <c r="X46" s="389">
        <f t="shared" si="18"/>
        <v>2327.9428333333335</v>
      </c>
      <c r="Y46" s="389">
        <f t="shared" si="18"/>
        <v>2327.9428333333335</v>
      </c>
      <c r="Z46" s="389">
        <f t="shared" si="18"/>
        <v>2327.9428333333335</v>
      </c>
      <c r="AA46" s="389">
        <f t="shared" si="18"/>
        <v>2327.9428333333335</v>
      </c>
      <c r="AB46" s="389">
        <f t="shared" si="18"/>
        <v>2327.9428333333335</v>
      </c>
      <c r="AC46" s="389">
        <f t="shared" si="18"/>
        <v>2327.9428333333335</v>
      </c>
      <c r="AD46" s="389">
        <f t="shared" si="18"/>
        <v>2327.9428333333335</v>
      </c>
      <c r="AE46" s="389">
        <f t="shared" si="18"/>
        <v>2327.9428333333335</v>
      </c>
      <c r="AF46" s="389">
        <f t="shared" si="18"/>
        <v>2327.9428333333335</v>
      </c>
      <c r="AG46" s="389">
        <f t="shared" si="18"/>
        <v>2327.9428333333335</v>
      </c>
      <c r="AH46" s="389">
        <f t="shared" si="18"/>
        <v>2327.9428333333335</v>
      </c>
      <c r="AI46" s="389">
        <f t="shared" si="18"/>
        <v>2327.9428333333335</v>
      </c>
      <c r="AJ46" s="389">
        <f t="shared" si="19"/>
        <v>2327.9428333333335</v>
      </c>
      <c r="AK46" s="389">
        <f t="shared" si="19"/>
        <v>2327.9428333333335</v>
      </c>
      <c r="AL46" s="389">
        <f t="shared" si="19"/>
        <v>2327.9428333333335</v>
      </c>
      <c r="AM46" s="389">
        <f t="shared" si="19"/>
        <v>2327.9428333333335</v>
      </c>
      <c r="AN46" s="389">
        <f t="shared" si="19"/>
        <v>2327.9428333333335</v>
      </c>
      <c r="AO46" s="389">
        <f t="shared" si="19"/>
        <v>2327.9428333333335</v>
      </c>
      <c r="AP46" s="389">
        <f t="shared" si="19"/>
        <v>2327.9428333333335</v>
      </c>
      <c r="AQ46" s="389">
        <f t="shared" si="19"/>
        <v>2327.9428333333335</v>
      </c>
      <c r="AR46" s="389">
        <f t="shared" si="19"/>
        <v>2327.9428333333335</v>
      </c>
      <c r="AS46" s="389">
        <f t="shared" si="19"/>
        <v>2327.9428333333335</v>
      </c>
      <c r="AT46" s="389">
        <f t="shared" si="19"/>
        <v>2327.9428333333335</v>
      </c>
      <c r="AU46" s="389">
        <f t="shared" si="19"/>
        <v>2327.9428333333335</v>
      </c>
      <c r="AV46" s="389">
        <f t="shared" si="19"/>
        <v>2327.9428333333335</v>
      </c>
      <c r="AW46" s="389">
        <f t="shared" si="19"/>
        <v>2327.9428333333335</v>
      </c>
      <c r="AX46" s="389">
        <f t="shared" si="19"/>
        <v>2327.9428333333335</v>
      </c>
      <c r="AY46" s="389">
        <f t="shared" si="19"/>
        <v>2327.9428333333335</v>
      </c>
      <c r="AZ46" s="389">
        <f t="shared" si="20"/>
        <v>2327.9428333333335</v>
      </c>
      <c r="BA46" s="389">
        <f t="shared" si="20"/>
        <v>2327.9428333333335</v>
      </c>
      <c r="BB46" s="389">
        <f t="shared" si="20"/>
        <v>2327.9428333333335</v>
      </c>
      <c r="BC46" s="389">
        <f t="shared" si="20"/>
        <v>2327.9428333333335</v>
      </c>
      <c r="BD46" s="389">
        <f t="shared" si="20"/>
        <v>2327.9428333333335</v>
      </c>
      <c r="BE46" s="389">
        <f t="shared" si="20"/>
        <v>2327.9428333333335</v>
      </c>
      <c r="BF46" s="389">
        <f t="shared" si="20"/>
        <v>2327.9428333333335</v>
      </c>
      <c r="BG46" s="389">
        <f t="shared" si="20"/>
        <v>2327.9428333333335</v>
      </c>
      <c r="BH46" s="389">
        <f t="shared" si="20"/>
        <v>2327.9428333333335</v>
      </c>
      <c r="BI46" s="389">
        <v>2327.9428333333335</v>
      </c>
      <c r="BJ46" s="389">
        <v>2327.9428333333335</v>
      </c>
      <c r="BK46" s="389">
        <f t="shared" si="20"/>
        <v>0</v>
      </c>
      <c r="BL46" s="389">
        <f t="shared" si="20"/>
        <v>0</v>
      </c>
      <c r="BM46" s="389">
        <f t="shared" si="20"/>
        <v>0</v>
      </c>
      <c r="BN46" s="389">
        <f t="shared" si="20"/>
        <v>0</v>
      </c>
      <c r="BO46" s="389">
        <f t="shared" si="20"/>
        <v>0</v>
      </c>
      <c r="BP46" s="389">
        <f t="shared" si="21"/>
        <v>0</v>
      </c>
      <c r="BQ46" s="389">
        <f t="shared" si="21"/>
        <v>0</v>
      </c>
      <c r="BR46" s="389">
        <f t="shared" si="21"/>
        <v>0</v>
      </c>
      <c r="BS46" s="389">
        <f t="shared" si="21"/>
        <v>0</v>
      </c>
      <c r="BT46" s="389">
        <f t="shared" si="21"/>
        <v>0</v>
      </c>
      <c r="BU46" s="389">
        <f t="shared" si="21"/>
        <v>0</v>
      </c>
      <c r="BV46" s="389">
        <f t="shared" si="21"/>
        <v>0</v>
      </c>
      <c r="BW46" s="389">
        <f t="shared" si="21"/>
        <v>0</v>
      </c>
      <c r="BX46" s="389">
        <f t="shared" si="21"/>
        <v>0</v>
      </c>
      <c r="BY46" s="389">
        <f t="shared" si="21"/>
        <v>0</v>
      </c>
      <c r="BZ46" s="389">
        <f t="shared" si="21"/>
        <v>0</v>
      </c>
      <c r="CA46" s="389">
        <f t="shared" si="21"/>
        <v>0</v>
      </c>
      <c r="CB46" s="389">
        <f t="shared" si="21"/>
        <v>0</v>
      </c>
      <c r="CC46" s="389">
        <f t="shared" si="21"/>
        <v>0</v>
      </c>
      <c r="CD46" s="389">
        <f t="shared" si="21"/>
        <v>0</v>
      </c>
      <c r="CE46" s="389">
        <f t="shared" si="21"/>
        <v>0</v>
      </c>
      <c r="CF46" s="389">
        <f t="shared" si="22"/>
        <v>0</v>
      </c>
      <c r="CG46" s="389">
        <f t="shared" si="17"/>
        <v>0</v>
      </c>
      <c r="CH46" s="389">
        <f t="shared" si="17"/>
        <v>0</v>
      </c>
      <c r="CI46" s="389">
        <f t="shared" si="17"/>
        <v>0</v>
      </c>
      <c r="CJ46" s="389">
        <f t="shared" si="17"/>
        <v>0</v>
      </c>
      <c r="CK46" s="389">
        <f t="shared" si="17"/>
        <v>0</v>
      </c>
      <c r="CL46" s="389">
        <f t="shared" si="17"/>
        <v>0</v>
      </c>
      <c r="CM46" s="389">
        <f t="shared" si="17"/>
        <v>0</v>
      </c>
      <c r="CN46" s="389">
        <f t="shared" si="17"/>
        <v>0</v>
      </c>
      <c r="CO46" s="389">
        <f t="shared" si="17"/>
        <v>0</v>
      </c>
      <c r="CP46" s="389">
        <f t="shared" si="17"/>
        <v>0</v>
      </c>
      <c r="CQ46" s="389">
        <f t="shared" si="17"/>
        <v>0</v>
      </c>
      <c r="CR46" s="389">
        <f t="shared" si="8"/>
        <v>5.0999999963096343E-2</v>
      </c>
    </row>
    <row r="47" spans="2:96">
      <c r="B47" s="456"/>
      <c r="C47" s="456"/>
      <c r="D47" s="385">
        <v>30422.3</v>
      </c>
      <c r="E47" s="385">
        <f t="shared" si="6"/>
        <v>507.0383333333333</v>
      </c>
      <c r="F47" s="385">
        <f t="shared" si="7"/>
        <v>5</v>
      </c>
      <c r="G47" s="385">
        <v>60</v>
      </c>
      <c r="H47" s="386">
        <v>43274</v>
      </c>
      <c r="I47" s="387">
        <f t="shared" si="12"/>
        <v>45099</v>
      </c>
      <c r="J47" s="457"/>
      <c r="K47" s="388">
        <v>21971.67</v>
      </c>
      <c r="L47" s="389">
        <v>845.06</v>
      </c>
      <c r="M47" s="389">
        <v>845.06</v>
      </c>
      <c r="N47" s="389">
        <v>845.06</v>
      </c>
      <c r="O47" s="389">
        <v>845.06</v>
      </c>
      <c r="P47" s="389">
        <v>845.06</v>
      </c>
      <c r="Q47" s="389">
        <v>845.06</v>
      </c>
      <c r="R47" s="389">
        <v>845.06</v>
      </c>
      <c r="S47" s="389">
        <v>845.06</v>
      </c>
      <c r="T47" s="389">
        <v>845.06</v>
      </c>
      <c r="U47" s="389">
        <f t="shared" si="18"/>
        <v>507.0383333333333</v>
      </c>
      <c r="V47" s="389">
        <f t="shared" si="18"/>
        <v>507.0383333333333</v>
      </c>
      <c r="W47" s="389">
        <f t="shared" si="18"/>
        <v>507.0383333333333</v>
      </c>
      <c r="X47" s="389">
        <f t="shared" si="18"/>
        <v>507.0383333333333</v>
      </c>
      <c r="Y47" s="389">
        <f t="shared" si="18"/>
        <v>507.0383333333333</v>
      </c>
      <c r="Z47" s="389">
        <f t="shared" si="18"/>
        <v>507.0383333333333</v>
      </c>
      <c r="AA47" s="389">
        <f t="shared" si="18"/>
        <v>507.0383333333333</v>
      </c>
      <c r="AB47" s="389">
        <f t="shared" si="18"/>
        <v>507.0383333333333</v>
      </c>
      <c r="AC47" s="389">
        <f t="shared" si="18"/>
        <v>507.0383333333333</v>
      </c>
      <c r="AD47" s="389">
        <f t="shared" si="18"/>
        <v>507.0383333333333</v>
      </c>
      <c r="AE47" s="389">
        <f t="shared" si="18"/>
        <v>507.0383333333333</v>
      </c>
      <c r="AF47" s="389">
        <f t="shared" si="18"/>
        <v>507.0383333333333</v>
      </c>
      <c r="AG47" s="389">
        <f t="shared" si="18"/>
        <v>507.0383333333333</v>
      </c>
      <c r="AH47" s="389">
        <f t="shared" si="18"/>
        <v>507.0383333333333</v>
      </c>
      <c r="AI47" s="389">
        <f t="shared" si="18"/>
        <v>507.0383333333333</v>
      </c>
      <c r="AJ47" s="389">
        <f t="shared" si="19"/>
        <v>507.0383333333333</v>
      </c>
      <c r="AK47" s="389">
        <f t="shared" si="19"/>
        <v>507.0383333333333</v>
      </c>
      <c r="AL47" s="389">
        <f t="shared" si="19"/>
        <v>507.0383333333333</v>
      </c>
      <c r="AM47" s="389">
        <f t="shared" si="19"/>
        <v>507.0383333333333</v>
      </c>
      <c r="AN47" s="389">
        <f t="shared" si="19"/>
        <v>507.0383333333333</v>
      </c>
      <c r="AO47" s="389">
        <f t="shared" si="19"/>
        <v>507.0383333333333</v>
      </c>
      <c r="AP47" s="389">
        <f t="shared" si="19"/>
        <v>507.0383333333333</v>
      </c>
      <c r="AQ47" s="389">
        <f t="shared" si="19"/>
        <v>507.0383333333333</v>
      </c>
      <c r="AR47" s="389">
        <f t="shared" si="19"/>
        <v>507.0383333333333</v>
      </c>
      <c r="AS47" s="389">
        <f t="shared" si="19"/>
        <v>507.0383333333333</v>
      </c>
      <c r="AT47" s="389">
        <f t="shared" si="19"/>
        <v>507.0383333333333</v>
      </c>
      <c r="AU47" s="389">
        <f t="shared" si="19"/>
        <v>507.0383333333333</v>
      </c>
      <c r="AV47" s="389">
        <f t="shared" si="19"/>
        <v>507.0383333333333</v>
      </c>
      <c r="AW47" s="389">
        <f>IF($I47&gt;AW$7-30,$E47,0)-337</f>
        <v>170.0383333333333</v>
      </c>
      <c r="AX47" s="389">
        <v>0</v>
      </c>
      <c r="AY47" s="389">
        <v>0</v>
      </c>
      <c r="AZ47" s="389">
        <v>0</v>
      </c>
      <c r="BA47" s="389">
        <v>0</v>
      </c>
      <c r="BB47" s="389">
        <v>0</v>
      </c>
      <c r="BC47" s="389">
        <v>0</v>
      </c>
      <c r="BD47" s="389">
        <v>0</v>
      </c>
      <c r="BE47" s="389">
        <v>0</v>
      </c>
      <c r="BF47" s="389">
        <v>0</v>
      </c>
      <c r="BG47" s="389">
        <v>0</v>
      </c>
      <c r="BH47" s="389">
        <v>0</v>
      </c>
      <c r="BI47" s="389">
        <v>0</v>
      </c>
      <c r="BJ47" s="389">
        <v>0</v>
      </c>
      <c r="BK47" s="389">
        <v>0</v>
      </c>
      <c r="BL47" s="389">
        <v>0</v>
      </c>
      <c r="BM47" s="389">
        <v>0</v>
      </c>
      <c r="BN47" s="389">
        <v>0</v>
      </c>
      <c r="BO47" s="389">
        <v>0</v>
      </c>
      <c r="BP47" s="389">
        <v>0</v>
      </c>
      <c r="BQ47" s="389">
        <f t="shared" si="21"/>
        <v>0</v>
      </c>
      <c r="BR47" s="389">
        <f t="shared" si="21"/>
        <v>0</v>
      </c>
      <c r="BS47" s="389">
        <f t="shared" si="21"/>
        <v>0</v>
      </c>
      <c r="BT47" s="389">
        <f t="shared" si="21"/>
        <v>0</v>
      </c>
      <c r="BU47" s="389">
        <f t="shared" si="21"/>
        <v>0</v>
      </c>
      <c r="BV47" s="389">
        <f t="shared" si="21"/>
        <v>0</v>
      </c>
      <c r="BW47" s="389">
        <f t="shared" si="21"/>
        <v>0</v>
      </c>
      <c r="BX47" s="389">
        <f t="shared" si="21"/>
        <v>0</v>
      </c>
      <c r="BY47" s="389">
        <f t="shared" si="21"/>
        <v>0</v>
      </c>
      <c r="BZ47" s="389">
        <f t="shared" si="21"/>
        <v>0</v>
      </c>
      <c r="CA47" s="389">
        <f t="shared" si="21"/>
        <v>0</v>
      </c>
      <c r="CB47" s="389">
        <f t="shared" si="21"/>
        <v>0</v>
      </c>
      <c r="CC47" s="389">
        <f t="shared" si="21"/>
        <v>0</v>
      </c>
      <c r="CD47" s="389">
        <f t="shared" si="21"/>
        <v>0</v>
      </c>
      <c r="CE47" s="389">
        <f t="shared" si="21"/>
        <v>0</v>
      </c>
      <c r="CF47" s="389">
        <f t="shared" si="22"/>
        <v>0</v>
      </c>
      <c r="CG47" s="389">
        <f t="shared" si="17"/>
        <v>0</v>
      </c>
      <c r="CH47" s="389">
        <f t="shared" si="17"/>
        <v>0</v>
      </c>
      <c r="CI47" s="389">
        <f t="shared" si="17"/>
        <v>0</v>
      </c>
      <c r="CJ47" s="389">
        <f t="shared" si="17"/>
        <v>0</v>
      </c>
      <c r="CK47" s="389">
        <f t="shared" si="17"/>
        <v>0</v>
      </c>
      <c r="CL47" s="389">
        <f t="shared" si="17"/>
        <v>0</v>
      </c>
      <c r="CM47" s="389">
        <f t="shared" si="17"/>
        <v>0</v>
      </c>
      <c r="CN47" s="389">
        <f t="shared" si="17"/>
        <v>0</v>
      </c>
      <c r="CO47" s="389">
        <f t="shared" si="17"/>
        <v>0</v>
      </c>
      <c r="CP47" s="389">
        <f t="shared" si="17"/>
        <v>0</v>
      </c>
      <c r="CQ47" s="389">
        <f t="shared" si="17"/>
        <v>0</v>
      </c>
      <c r="CR47" s="389">
        <f t="shared" si="8"/>
        <v>-0.98166666667748359</v>
      </c>
    </row>
    <row r="48" spans="2:96">
      <c r="B48" s="456"/>
      <c r="C48" s="456"/>
      <c r="D48" s="385">
        <v>120045.65</v>
      </c>
      <c r="E48" s="385">
        <f t="shared" si="6"/>
        <v>2000.7608333333333</v>
      </c>
      <c r="F48" s="385">
        <f t="shared" si="7"/>
        <v>5</v>
      </c>
      <c r="G48" s="385">
        <v>60</v>
      </c>
      <c r="H48" s="386">
        <v>42911</v>
      </c>
      <c r="I48" s="387">
        <f t="shared" si="12"/>
        <v>44736</v>
      </c>
      <c r="J48" s="457"/>
      <c r="K48" s="388">
        <v>92035</v>
      </c>
      <c r="L48" s="389">
        <v>2000.76</v>
      </c>
      <c r="M48" s="389">
        <v>2000.76</v>
      </c>
      <c r="N48" s="389">
        <v>2000.76</v>
      </c>
      <c r="O48" s="389">
        <v>2000.76</v>
      </c>
      <c r="P48" s="389">
        <v>2000.76</v>
      </c>
      <c r="Q48" s="389">
        <v>2000.76</v>
      </c>
      <c r="R48" s="389">
        <v>2000.76</v>
      </c>
      <c r="S48" s="389">
        <v>2000.76</v>
      </c>
      <c r="T48" s="389">
        <v>2000.76</v>
      </c>
      <c r="U48" s="389">
        <f t="shared" si="18"/>
        <v>2000.7608333333333</v>
      </c>
      <c r="V48" s="389">
        <f t="shared" si="18"/>
        <v>2000.7608333333333</v>
      </c>
      <c r="W48" s="389">
        <f t="shared" si="18"/>
        <v>2000.7608333333333</v>
      </c>
      <c r="X48" s="389">
        <f t="shared" si="18"/>
        <v>2000.7608333333333</v>
      </c>
      <c r="Y48" s="389">
        <f t="shared" si="18"/>
        <v>2000.7608333333333</v>
      </c>
      <c r="Z48" s="389">
        <f t="shared" si="18"/>
        <v>2000.7608333333333</v>
      </c>
      <c r="AA48" s="389">
        <f t="shared" si="18"/>
        <v>2000.7608333333333</v>
      </c>
      <c r="AB48" s="389">
        <f t="shared" si="18"/>
        <v>2000.7608333333333</v>
      </c>
      <c r="AC48" s="389">
        <f t="shared" si="18"/>
        <v>2000.7608333333333</v>
      </c>
      <c r="AD48" s="389">
        <f t="shared" si="18"/>
        <v>2000.7608333333333</v>
      </c>
      <c r="AE48" s="389">
        <f t="shared" si="18"/>
        <v>2000.7608333333333</v>
      </c>
      <c r="AF48" s="389">
        <f t="shared" si="18"/>
        <v>2000.7608333333333</v>
      </c>
      <c r="AG48" s="389">
        <f t="shared" si="18"/>
        <v>2000.7608333333333</v>
      </c>
      <c r="AH48" s="389">
        <f t="shared" si="18"/>
        <v>2000.7608333333333</v>
      </c>
      <c r="AI48" s="389">
        <f t="shared" si="18"/>
        <v>2000.7608333333333</v>
      </c>
      <c r="AJ48" s="389">
        <f t="shared" si="19"/>
        <v>2000.7608333333333</v>
      </c>
      <c r="AK48" s="389">
        <f t="shared" si="19"/>
        <v>2000.7608333333333</v>
      </c>
      <c r="AL48" s="389">
        <f t="shared" si="19"/>
        <v>2000.7608333333333</v>
      </c>
      <c r="AM48" s="389">
        <f t="shared" si="19"/>
        <v>2000.7608333333333</v>
      </c>
      <c r="AN48" s="389">
        <f t="shared" si="19"/>
        <v>2000.7608333333333</v>
      </c>
      <c r="AO48" s="389">
        <f t="shared" si="19"/>
        <v>2000.7608333333333</v>
      </c>
      <c r="AP48" s="389">
        <f t="shared" si="19"/>
        <v>2000.7608333333333</v>
      </c>
      <c r="AQ48" s="389">
        <f t="shared" si="19"/>
        <v>2000.7608333333333</v>
      </c>
      <c r="AR48" s="389">
        <f t="shared" si="19"/>
        <v>2000.7608333333333</v>
      </c>
      <c r="AS48" s="389">
        <f t="shared" si="19"/>
        <v>2000.7608333333333</v>
      </c>
      <c r="AT48" s="389">
        <f t="shared" si="19"/>
        <v>2000.7608333333333</v>
      </c>
      <c r="AU48" s="389">
        <f t="shared" si="19"/>
        <v>2000.7608333333333</v>
      </c>
      <c r="AV48" s="389">
        <f t="shared" si="19"/>
        <v>2000.7608333333333</v>
      </c>
      <c r="AW48" s="389">
        <f t="shared" si="19"/>
        <v>2000.7608333333333</v>
      </c>
      <c r="AX48" s="389">
        <f t="shared" si="19"/>
        <v>2000.7608333333333</v>
      </c>
      <c r="AY48" s="389">
        <f t="shared" si="19"/>
        <v>2000.7608333333333</v>
      </c>
      <c r="AZ48" s="389">
        <f t="shared" ref="AZ48:BO63" si="23">IF($I48&gt;AZ$7-30,$E48,0)</f>
        <v>2000.7608333333333</v>
      </c>
      <c r="BA48" s="389">
        <f t="shared" si="23"/>
        <v>2000.7608333333333</v>
      </c>
      <c r="BB48" s="389">
        <f t="shared" si="23"/>
        <v>2000.7608333333333</v>
      </c>
      <c r="BC48" s="389">
        <f t="shared" si="23"/>
        <v>2000.7608333333333</v>
      </c>
      <c r="BD48" s="389">
        <f t="shared" si="23"/>
        <v>2000.7608333333333</v>
      </c>
      <c r="BE48" s="389">
        <v>2000.7608333333333</v>
      </c>
      <c r="BF48" s="389">
        <f t="shared" si="23"/>
        <v>0</v>
      </c>
      <c r="BG48" s="389">
        <f t="shared" si="23"/>
        <v>0</v>
      </c>
      <c r="BH48" s="389">
        <f t="shared" si="23"/>
        <v>0</v>
      </c>
      <c r="BI48" s="389">
        <f t="shared" si="23"/>
        <v>0</v>
      </c>
      <c r="BJ48" s="389">
        <f t="shared" si="23"/>
        <v>0</v>
      </c>
      <c r="BK48" s="389">
        <f t="shared" si="23"/>
        <v>0</v>
      </c>
      <c r="BL48" s="389">
        <f t="shared" si="23"/>
        <v>0</v>
      </c>
      <c r="BM48" s="389">
        <f t="shared" si="23"/>
        <v>0</v>
      </c>
      <c r="BN48" s="389">
        <f t="shared" si="23"/>
        <v>0</v>
      </c>
      <c r="BO48" s="389">
        <f t="shared" si="23"/>
        <v>0</v>
      </c>
      <c r="BP48" s="389">
        <f t="shared" ref="BP48" si="24">IF($I48&gt;BP$7-30,$E48,0)</f>
        <v>0</v>
      </c>
      <c r="BQ48" s="389">
        <f t="shared" si="21"/>
        <v>0</v>
      </c>
      <c r="BR48" s="389">
        <f t="shared" si="21"/>
        <v>0</v>
      </c>
      <c r="BS48" s="389">
        <f t="shared" si="21"/>
        <v>0</v>
      </c>
      <c r="BT48" s="389">
        <f t="shared" si="21"/>
        <v>0</v>
      </c>
      <c r="BU48" s="389">
        <f t="shared" si="21"/>
        <v>0</v>
      </c>
      <c r="BV48" s="389">
        <f t="shared" si="21"/>
        <v>0</v>
      </c>
      <c r="BW48" s="389">
        <f t="shared" si="21"/>
        <v>0</v>
      </c>
      <c r="BX48" s="389">
        <f t="shared" si="21"/>
        <v>0</v>
      </c>
      <c r="BY48" s="389">
        <f t="shared" si="21"/>
        <v>0</v>
      </c>
      <c r="BZ48" s="389">
        <f t="shared" si="21"/>
        <v>0</v>
      </c>
      <c r="CA48" s="389">
        <f t="shared" si="21"/>
        <v>0</v>
      </c>
      <c r="CB48" s="389">
        <f t="shared" si="21"/>
        <v>0</v>
      </c>
      <c r="CC48" s="389">
        <f t="shared" si="21"/>
        <v>0</v>
      </c>
      <c r="CD48" s="389">
        <f t="shared" si="21"/>
        <v>0</v>
      </c>
      <c r="CE48" s="389">
        <f t="shared" si="21"/>
        <v>0</v>
      </c>
      <c r="CF48" s="389">
        <f t="shared" si="22"/>
        <v>0</v>
      </c>
      <c r="CG48" s="389">
        <f t="shared" si="17"/>
        <v>0</v>
      </c>
      <c r="CH48" s="389">
        <f t="shared" si="17"/>
        <v>0</v>
      </c>
      <c r="CI48" s="389">
        <f t="shared" si="17"/>
        <v>0</v>
      </c>
      <c r="CJ48" s="389">
        <f t="shared" si="17"/>
        <v>0</v>
      </c>
      <c r="CK48" s="389">
        <f t="shared" si="17"/>
        <v>0</v>
      </c>
      <c r="CL48" s="389">
        <f t="shared" si="17"/>
        <v>0</v>
      </c>
      <c r="CM48" s="389">
        <f t="shared" si="17"/>
        <v>0</v>
      </c>
      <c r="CN48" s="389">
        <f t="shared" si="17"/>
        <v>0</v>
      </c>
      <c r="CO48" s="389">
        <f t="shared" si="17"/>
        <v>0</v>
      </c>
      <c r="CP48" s="389">
        <f t="shared" si="17"/>
        <v>0</v>
      </c>
      <c r="CQ48" s="389">
        <f t="shared" si="17"/>
        <v>0</v>
      </c>
      <c r="CR48" s="389">
        <f t="shared" si="8"/>
        <v>9.1666666558012366E-3</v>
      </c>
    </row>
    <row r="49" spans="2:96">
      <c r="B49" s="456"/>
      <c r="C49" s="456"/>
      <c r="D49" s="385">
        <v>124734.65</v>
      </c>
      <c r="E49" s="385">
        <f t="shared" si="6"/>
        <v>2078.9108333333334</v>
      </c>
      <c r="F49" s="385">
        <f t="shared" si="7"/>
        <v>5</v>
      </c>
      <c r="G49" s="385">
        <v>60</v>
      </c>
      <c r="H49" s="386">
        <v>43156</v>
      </c>
      <c r="I49" s="387">
        <f t="shared" si="12"/>
        <v>44981</v>
      </c>
      <c r="J49" s="457"/>
      <c r="K49" s="388">
        <v>110182.27</v>
      </c>
      <c r="L49" s="389">
        <v>2078.91</v>
      </c>
      <c r="M49" s="389">
        <v>296.99</v>
      </c>
      <c r="N49" s="389">
        <v>296.99</v>
      </c>
      <c r="O49" s="389">
        <v>296.99</v>
      </c>
      <c r="P49" s="389">
        <v>296.99</v>
      </c>
      <c r="Q49" s="389">
        <v>296.99</v>
      </c>
      <c r="R49" s="389">
        <v>296.99</v>
      </c>
      <c r="S49" s="389">
        <v>296.99</v>
      </c>
      <c r="T49" s="389">
        <v>296.99</v>
      </c>
      <c r="U49" s="389">
        <f t="shared" si="18"/>
        <v>2078.9108333333334</v>
      </c>
      <c r="V49" s="389">
        <f t="shared" si="18"/>
        <v>2078.9108333333334</v>
      </c>
      <c r="W49" s="389">
        <f t="shared" si="18"/>
        <v>2078.9108333333334</v>
      </c>
      <c r="X49" s="389">
        <f t="shared" si="18"/>
        <v>2078.9108333333334</v>
      </c>
      <c r="Y49" s="389">
        <f t="shared" si="18"/>
        <v>2078.9108333333334</v>
      </c>
      <c r="Z49" s="389">
        <f t="shared" si="18"/>
        <v>2078.9108333333334</v>
      </c>
      <c r="AA49" s="389">
        <f t="shared" si="18"/>
        <v>2078.9108333333334</v>
      </c>
      <c r="AB49" s="389">
        <f t="shared" si="18"/>
        <v>2078.9108333333334</v>
      </c>
      <c r="AC49" s="389">
        <f t="shared" si="18"/>
        <v>2078.9108333333334</v>
      </c>
      <c r="AD49" s="389">
        <f t="shared" si="18"/>
        <v>2078.9108333333334</v>
      </c>
      <c r="AE49" s="389">
        <f t="shared" si="18"/>
        <v>2078.9108333333334</v>
      </c>
      <c r="AF49" s="389">
        <f t="shared" si="18"/>
        <v>2078.9108333333334</v>
      </c>
      <c r="AG49" s="389">
        <f t="shared" si="18"/>
        <v>2078.9108333333334</v>
      </c>
      <c r="AH49" s="389">
        <f t="shared" si="18"/>
        <v>2078.9108333333334</v>
      </c>
      <c r="AI49" s="389">
        <f t="shared" si="18"/>
        <v>2078.9108333333334</v>
      </c>
      <c r="AJ49" s="389">
        <f t="shared" si="19"/>
        <v>2078.9108333333334</v>
      </c>
      <c r="AK49" s="389">
        <f t="shared" si="19"/>
        <v>2078.9108333333334</v>
      </c>
      <c r="AL49" s="389">
        <f t="shared" si="19"/>
        <v>2078.9108333333334</v>
      </c>
      <c r="AM49" s="389">
        <f t="shared" si="19"/>
        <v>2078.9108333333334</v>
      </c>
      <c r="AN49" s="389">
        <f t="shared" si="19"/>
        <v>2078.9108333333334</v>
      </c>
      <c r="AO49" s="389">
        <f t="shared" si="19"/>
        <v>2078.9108333333334</v>
      </c>
      <c r="AP49" s="389">
        <f t="shared" si="19"/>
        <v>2078.9108333333334</v>
      </c>
      <c r="AQ49" s="389">
        <f t="shared" si="19"/>
        <v>2078.9108333333334</v>
      </c>
      <c r="AR49" s="389">
        <f t="shared" si="19"/>
        <v>2078.9108333333334</v>
      </c>
      <c r="AS49" s="389">
        <f t="shared" si="19"/>
        <v>2078.9108333333334</v>
      </c>
      <c r="AT49" s="389">
        <f t="shared" si="19"/>
        <v>2078.9108333333334</v>
      </c>
      <c r="AU49" s="389">
        <f t="shared" si="19"/>
        <v>2078.9108333333334</v>
      </c>
      <c r="AV49" s="389">
        <f t="shared" si="19"/>
        <v>2078.9108333333334</v>
      </c>
      <c r="AW49" s="389">
        <f t="shared" si="19"/>
        <v>2078.9108333333334</v>
      </c>
      <c r="AX49" s="389">
        <f t="shared" si="19"/>
        <v>2078.9108333333334</v>
      </c>
      <c r="AY49" s="389">
        <f t="shared" si="19"/>
        <v>2078.9108333333334</v>
      </c>
      <c r="AZ49" s="389">
        <f t="shared" si="23"/>
        <v>2078.9108333333334</v>
      </c>
      <c r="BA49" s="389">
        <f t="shared" si="23"/>
        <v>2078.9108333333334</v>
      </c>
      <c r="BB49" s="389">
        <f t="shared" si="23"/>
        <v>2078.9108333333334</v>
      </c>
      <c r="BC49" s="389">
        <f t="shared" si="23"/>
        <v>2078.9108333333334</v>
      </c>
      <c r="BD49" s="389">
        <f t="shared" si="23"/>
        <v>2078.9108333333334</v>
      </c>
      <c r="BE49" s="389">
        <f t="shared" si="23"/>
        <v>2078.9108333333334</v>
      </c>
      <c r="BF49" s="389">
        <f t="shared" si="23"/>
        <v>2078.9108333333334</v>
      </c>
      <c r="BG49" s="389">
        <f t="shared" si="23"/>
        <v>2078.9108333333334</v>
      </c>
      <c r="BH49" s="389">
        <f t="shared" si="23"/>
        <v>2078.9108333333334</v>
      </c>
      <c r="BI49" s="389">
        <f t="shared" si="23"/>
        <v>2078.9108333333334</v>
      </c>
      <c r="BJ49" s="389">
        <f t="shared" si="23"/>
        <v>2078.9108333333334</v>
      </c>
      <c r="BK49" s="389">
        <f t="shared" si="23"/>
        <v>2078.9108333333334</v>
      </c>
      <c r="BL49" s="389">
        <f t="shared" si="23"/>
        <v>2078.9108333333334</v>
      </c>
      <c r="BM49" s="389">
        <v>2078.9108333333334</v>
      </c>
      <c r="BN49" s="389">
        <v>2078.9108333333334</v>
      </c>
      <c r="BO49" s="389">
        <v>2078.9108333333334</v>
      </c>
      <c r="BP49" s="389">
        <v>2078.9108333333334</v>
      </c>
      <c r="BQ49" s="389">
        <v>2078.9108333333334</v>
      </c>
      <c r="BR49" s="389">
        <v>2078.9108333333334</v>
      </c>
      <c r="BS49" s="389">
        <f>2078.91083333333-297</f>
        <v>1781.9108333333302</v>
      </c>
      <c r="BT49" s="389">
        <f t="shared" si="21"/>
        <v>0</v>
      </c>
      <c r="BU49" s="389">
        <f t="shared" si="21"/>
        <v>0</v>
      </c>
      <c r="BV49" s="389">
        <f t="shared" si="21"/>
        <v>0</v>
      </c>
      <c r="BW49" s="389">
        <f t="shared" si="21"/>
        <v>0</v>
      </c>
      <c r="BX49" s="389">
        <f t="shared" si="21"/>
        <v>0</v>
      </c>
      <c r="BY49" s="389">
        <f t="shared" si="21"/>
        <v>0</v>
      </c>
      <c r="BZ49" s="389">
        <f t="shared" si="21"/>
        <v>0</v>
      </c>
      <c r="CA49" s="389">
        <f t="shared" si="21"/>
        <v>0</v>
      </c>
      <c r="CB49" s="389">
        <f t="shared" si="21"/>
        <v>0</v>
      </c>
      <c r="CC49" s="389">
        <f t="shared" si="21"/>
        <v>0</v>
      </c>
      <c r="CD49" s="389">
        <f t="shared" si="21"/>
        <v>0</v>
      </c>
      <c r="CE49" s="389">
        <f t="shared" si="21"/>
        <v>0</v>
      </c>
      <c r="CF49" s="389">
        <f t="shared" si="22"/>
        <v>0</v>
      </c>
      <c r="CG49" s="389">
        <f t="shared" si="17"/>
        <v>0</v>
      </c>
      <c r="CH49" s="389">
        <f t="shared" si="17"/>
        <v>0</v>
      </c>
      <c r="CI49" s="389">
        <f t="shared" si="17"/>
        <v>0</v>
      </c>
      <c r="CJ49" s="389">
        <f t="shared" si="17"/>
        <v>0</v>
      </c>
      <c r="CK49" s="389">
        <f t="shared" si="17"/>
        <v>0</v>
      </c>
      <c r="CL49" s="389">
        <f t="shared" si="17"/>
        <v>0</v>
      </c>
      <c r="CM49" s="389">
        <f t="shared" si="17"/>
        <v>0</v>
      </c>
      <c r="CN49" s="389">
        <f t="shared" si="17"/>
        <v>0</v>
      </c>
      <c r="CO49" s="389">
        <f t="shared" si="17"/>
        <v>0</v>
      </c>
      <c r="CP49" s="389">
        <f t="shared" si="17"/>
        <v>0</v>
      </c>
      <c r="CQ49" s="389">
        <f t="shared" si="17"/>
        <v>0</v>
      </c>
      <c r="CR49" s="389">
        <f t="shared" si="8"/>
        <v>-1.2499999924330041E-2</v>
      </c>
    </row>
    <row r="50" spans="2:96">
      <c r="B50" s="456"/>
      <c r="C50" s="456"/>
      <c r="D50" s="385">
        <v>25518.720000000001</v>
      </c>
      <c r="E50" s="385">
        <f t="shared" si="6"/>
        <v>425.31200000000001</v>
      </c>
      <c r="F50" s="385">
        <f t="shared" si="7"/>
        <v>5</v>
      </c>
      <c r="G50" s="385">
        <v>60</v>
      </c>
      <c r="H50" s="386">
        <v>43310</v>
      </c>
      <c r="I50" s="387">
        <f t="shared" si="12"/>
        <v>45135</v>
      </c>
      <c r="J50" s="457"/>
      <c r="K50" s="388">
        <v>24668.1</v>
      </c>
      <c r="L50" s="389">
        <v>425.31</v>
      </c>
      <c r="M50" s="389">
        <v>212.66</v>
      </c>
      <c r="N50" s="389">
        <v>212.66</v>
      </c>
      <c r="O50" s="389">
        <v>212.66</v>
      </c>
      <c r="P50" s="389">
        <v>212.66</v>
      </c>
      <c r="Q50" s="389">
        <v>212.66</v>
      </c>
      <c r="R50" s="389">
        <v>212.66</v>
      </c>
      <c r="S50" s="389">
        <v>212.66</v>
      </c>
      <c r="T50" s="389">
        <v>212.66</v>
      </c>
      <c r="U50" s="389">
        <f t="shared" si="18"/>
        <v>425.31200000000001</v>
      </c>
      <c r="V50" s="389">
        <f t="shared" si="18"/>
        <v>425.31200000000001</v>
      </c>
      <c r="W50" s="389">
        <f t="shared" si="18"/>
        <v>425.31200000000001</v>
      </c>
      <c r="X50" s="389">
        <f t="shared" si="18"/>
        <v>425.31200000000001</v>
      </c>
      <c r="Y50" s="389">
        <f t="shared" si="18"/>
        <v>425.31200000000001</v>
      </c>
      <c r="Z50" s="389">
        <f t="shared" si="18"/>
        <v>425.31200000000001</v>
      </c>
      <c r="AA50" s="389">
        <f t="shared" si="18"/>
        <v>425.31200000000001</v>
      </c>
      <c r="AB50" s="389">
        <f t="shared" si="18"/>
        <v>425.31200000000001</v>
      </c>
      <c r="AC50" s="389">
        <f t="shared" si="18"/>
        <v>425.31200000000001</v>
      </c>
      <c r="AD50" s="389">
        <f t="shared" si="18"/>
        <v>425.31200000000001</v>
      </c>
      <c r="AE50" s="389">
        <f t="shared" si="18"/>
        <v>425.31200000000001</v>
      </c>
      <c r="AF50" s="389">
        <f t="shared" si="18"/>
        <v>425.31200000000001</v>
      </c>
      <c r="AG50" s="389">
        <f t="shared" si="18"/>
        <v>425.31200000000001</v>
      </c>
      <c r="AH50" s="389">
        <f t="shared" si="18"/>
        <v>425.31200000000001</v>
      </c>
      <c r="AI50" s="389">
        <f t="shared" si="18"/>
        <v>425.31200000000001</v>
      </c>
      <c r="AJ50" s="389">
        <f t="shared" si="19"/>
        <v>425.31200000000001</v>
      </c>
      <c r="AK50" s="389">
        <f t="shared" si="19"/>
        <v>425.31200000000001</v>
      </c>
      <c r="AL50" s="389">
        <f t="shared" si="19"/>
        <v>425.31200000000001</v>
      </c>
      <c r="AM50" s="389">
        <f t="shared" si="19"/>
        <v>425.31200000000001</v>
      </c>
      <c r="AN50" s="389">
        <f t="shared" si="19"/>
        <v>425.31200000000001</v>
      </c>
      <c r="AO50" s="389">
        <f t="shared" si="19"/>
        <v>425.31200000000001</v>
      </c>
      <c r="AP50" s="389">
        <f t="shared" si="19"/>
        <v>425.31200000000001</v>
      </c>
      <c r="AQ50" s="389">
        <f t="shared" si="19"/>
        <v>425.31200000000001</v>
      </c>
      <c r="AR50" s="389">
        <f t="shared" si="19"/>
        <v>425.31200000000001</v>
      </c>
      <c r="AS50" s="389">
        <f t="shared" si="19"/>
        <v>425.31200000000001</v>
      </c>
      <c r="AT50" s="389">
        <f t="shared" si="19"/>
        <v>425.31200000000001</v>
      </c>
      <c r="AU50" s="389">
        <f t="shared" si="19"/>
        <v>425.31200000000001</v>
      </c>
      <c r="AV50" s="389">
        <f t="shared" si="19"/>
        <v>425.31200000000001</v>
      </c>
      <c r="AW50" s="389">
        <f t="shared" si="19"/>
        <v>425.31200000000001</v>
      </c>
      <c r="AX50" s="389">
        <f t="shared" si="19"/>
        <v>425.31200000000001</v>
      </c>
      <c r="AY50" s="389">
        <f t="shared" si="19"/>
        <v>425.31200000000001</v>
      </c>
      <c r="AZ50" s="389">
        <f t="shared" si="23"/>
        <v>425.31200000000001</v>
      </c>
      <c r="BA50" s="389">
        <f t="shared" si="23"/>
        <v>425.31200000000001</v>
      </c>
      <c r="BB50" s="389">
        <f t="shared" si="23"/>
        <v>425.31200000000001</v>
      </c>
      <c r="BC50" s="389">
        <f t="shared" si="23"/>
        <v>425.31200000000001</v>
      </c>
      <c r="BD50" s="389">
        <f t="shared" si="23"/>
        <v>425.31200000000001</v>
      </c>
      <c r="BE50" s="389">
        <f t="shared" si="23"/>
        <v>425.31200000000001</v>
      </c>
      <c r="BF50" s="389">
        <f t="shared" si="23"/>
        <v>425.31200000000001</v>
      </c>
      <c r="BG50" s="389">
        <f t="shared" si="23"/>
        <v>425.31200000000001</v>
      </c>
      <c r="BH50" s="389">
        <f t="shared" si="23"/>
        <v>425.31200000000001</v>
      </c>
      <c r="BI50" s="389">
        <f t="shared" si="23"/>
        <v>425.31200000000001</v>
      </c>
      <c r="BJ50" s="389">
        <f t="shared" si="23"/>
        <v>425.31200000000001</v>
      </c>
      <c r="BK50" s="389">
        <f t="shared" si="23"/>
        <v>425.31200000000001</v>
      </c>
      <c r="BL50" s="389">
        <f t="shared" si="23"/>
        <v>425.31200000000001</v>
      </c>
      <c r="BM50" s="389">
        <f t="shared" si="23"/>
        <v>425.31200000000001</v>
      </c>
      <c r="BN50" s="389">
        <f t="shared" si="23"/>
        <v>425.31200000000001</v>
      </c>
      <c r="BO50" s="389">
        <f t="shared" si="23"/>
        <v>425.31200000000001</v>
      </c>
      <c r="BP50" s="389">
        <f t="shared" ref="BP50:CE54" si="25">IF($I50&gt;BP$7-30,$E50,0)</f>
        <v>425.31200000000001</v>
      </c>
      <c r="BQ50" s="389">
        <f t="shared" si="25"/>
        <v>425.31200000000001</v>
      </c>
      <c r="BR50" s="389">
        <v>425.31200000000001</v>
      </c>
      <c r="BS50" s="389">
        <v>425.31200000000001</v>
      </c>
      <c r="BT50" s="389">
        <v>425.31200000000001</v>
      </c>
      <c r="BU50" s="389">
        <v>425.31200000000001</v>
      </c>
      <c r="BV50" s="389">
        <f t="shared" si="25"/>
        <v>0</v>
      </c>
      <c r="BW50" s="389">
        <f t="shared" si="25"/>
        <v>0</v>
      </c>
      <c r="BX50" s="389">
        <f t="shared" si="25"/>
        <v>0</v>
      </c>
      <c r="BY50" s="389">
        <f t="shared" si="25"/>
        <v>0</v>
      </c>
      <c r="BZ50" s="389">
        <f t="shared" si="25"/>
        <v>0</v>
      </c>
      <c r="CA50" s="389">
        <f t="shared" si="25"/>
        <v>0</v>
      </c>
      <c r="CB50" s="389">
        <f t="shared" si="25"/>
        <v>0</v>
      </c>
      <c r="CC50" s="389">
        <f t="shared" si="25"/>
        <v>0</v>
      </c>
      <c r="CD50" s="389">
        <f t="shared" si="25"/>
        <v>0</v>
      </c>
      <c r="CE50" s="389">
        <f t="shared" si="25"/>
        <v>0</v>
      </c>
      <c r="CF50" s="389">
        <f t="shared" si="22"/>
        <v>0</v>
      </c>
      <c r="CG50" s="389">
        <f t="shared" si="17"/>
        <v>0</v>
      </c>
      <c r="CH50" s="389">
        <f t="shared" si="17"/>
        <v>0</v>
      </c>
      <c r="CI50" s="389">
        <f t="shared" si="17"/>
        <v>0</v>
      </c>
      <c r="CJ50" s="389">
        <f t="shared" si="17"/>
        <v>0</v>
      </c>
      <c r="CK50" s="389">
        <f t="shared" si="17"/>
        <v>0</v>
      </c>
      <c r="CL50" s="389">
        <f t="shared" si="17"/>
        <v>0</v>
      </c>
      <c r="CM50" s="389">
        <f t="shared" si="17"/>
        <v>0</v>
      </c>
      <c r="CN50" s="389">
        <f t="shared" si="17"/>
        <v>0</v>
      </c>
      <c r="CO50" s="389">
        <f t="shared" si="17"/>
        <v>0</v>
      </c>
      <c r="CP50" s="389">
        <f t="shared" si="17"/>
        <v>0</v>
      </c>
      <c r="CQ50" s="389">
        <f t="shared" si="17"/>
        <v>0</v>
      </c>
      <c r="CR50" s="389">
        <f t="shared" si="8"/>
        <v>-2.6000000030762749E-2</v>
      </c>
    </row>
    <row r="51" spans="2:96">
      <c r="B51" s="456"/>
      <c r="C51" s="456"/>
      <c r="D51" s="385">
        <v>15762.25</v>
      </c>
      <c r="E51" s="385">
        <f t="shared" si="6"/>
        <v>262.70416666666665</v>
      </c>
      <c r="F51" s="385">
        <f t="shared" si="7"/>
        <v>5</v>
      </c>
      <c r="G51" s="385">
        <v>60</v>
      </c>
      <c r="H51" s="386">
        <v>43373</v>
      </c>
      <c r="I51" s="387">
        <f t="shared" si="12"/>
        <v>45198</v>
      </c>
      <c r="J51" s="457"/>
      <c r="K51" s="388">
        <v>15499.55</v>
      </c>
      <c r="L51" s="389">
        <v>262.7</v>
      </c>
      <c r="M51" s="389">
        <v>262.7</v>
      </c>
      <c r="N51" s="389">
        <v>262.7</v>
      </c>
      <c r="O51" s="389">
        <v>262.7</v>
      </c>
      <c r="P51" s="389">
        <v>262.7</v>
      </c>
      <c r="Q51" s="389">
        <v>262.7</v>
      </c>
      <c r="R51" s="389">
        <v>262.7</v>
      </c>
      <c r="S51" s="389">
        <v>262.7</v>
      </c>
      <c r="T51" s="389">
        <v>262.7</v>
      </c>
      <c r="U51" s="389">
        <f t="shared" si="18"/>
        <v>262.70416666666665</v>
      </c>
      <c r="V51" s="389">
        <f t="shared" si="18"/>
        <v>262.70416666666665</v>
      </c>
      <c r="W51" s="389">
        <f t="shared" si="18"/>
        <v>262.70416666666665</v>
      </c>
      <c r="X51" s="389">
        <f t="shared" si="18"/>
        <v>262.70416666666665</v>
      </c>
      <c r="Y51" s="389">
        <f t="shared" si="18"/>
        <v>262.70416666666665</v>
      </c>
      <c r="Z51" s="389">
        <f t="shared" si="18"/>
        <v>262.70416666666665</v>
      </c>
      <c r="AA51" s="389">
        <f t="shared" si="18"/>
        <v>262.70416666666665</v>
      </c>
      <c r="AB51" s="389">
        <f t="shared" si="18"/>
        <v>262.70416666666665</v>
      </c>
      <c r="AC51" s="389">
        <f t="shared" si="18"/>
        <v>262.70416666666665</v>
      </c>
      <c r="AD51" s="389">
        <f t="shared" si="18"/>
        <v>262.70416666666665</v>
      </c>
      <c r="AE51" s="389">
        <f t="shared" si="18"/>
        <v>262.70416666666665</v>
      </c>
      <c r="AF51" s="389">
        <f t="shared" si="18"/>
        <v>262.70416666666665</v>
      </c>
      <c r="AG51" s="389">
        <f t="shared" si="18"/>
        <v>262.70416666666665</v>
      </c>
      <c r="AH51" s="389">
        <f t="shared" si="18"/>
        <v>262.70416666666665</v>
      </c>
      <c r="AI51" s="389">
        <f t="shared" si="18"/>
        <v>262.70416666666665</v>
      </c>
      <c r="AJ51" s="389">
        <f t="shared" si="19"/>
        <v>262.70416666666665</v>
      </c>
      <c r="AK51" s="389">
        <f t="shared" si="19"/>
        <v>262.70416666666665</v>
      </c>
      <c r="AL51" s="389">
        <f t="shared" si="19"/>
        <v>262.70416666666665</v>
      </c>
      <c r="AM51" s="389">
        <f t="shared" si="19"/>
        <v>262.70416666666665</v>
      </c>
      <c r="AN51" s="389">
        <f t="shared" si="19"/>
        <v>262.70416666666665</v>
      </c>
      <c r="AO51" s="389">
        <f t="shared" si="19"/>
        <v>262.70416666666665</v>
      </c>
      <c r="AP51" s="389">
        <f t="shared" si="19"/>
        <v>262.70416666666665</v>
      </c>
      <c r="AQ51" s="389">
        <f t="shared" si="19"/>
        <v>262.70416666666665</v>
      </c>
      <c r="AR51" s="389">
        <f t="shared" si="19"/>
        <v>262.70416666666665</v>
      </c>
      <c r="AS51" s="389">
        <f t="shared" si="19"/>
        <v>262.70416666666665</v>
      </c>
      <c r="AT51" s="389">
        <f t="shared" si="19"/>
        <v>262.70416666666665</v>
      </c>
      <c r="AU51" s="389">
        <f t="shared" si="19"/>
        <v>262.70416666666665</v>
      </c>
      <c r="AV51" s="389">
        <f t="shared" si="19"/>
        <v>262.70416666666665</v>
      </c>
      <c r="AW51" s="389">
        <f t="shared" si="19"/>
        <v>262.70416666666665</v>
      </c>
      <c r="AX51" s="389">
        <f t="shared" si="19"/>
        <v>262.70416666666665</v>
      </c>
      <c r="AY51" s="389">
        <f t="shared" si="19"/>
        <v>262.70416666666665</v>
      </c>
      <c r="AZ51" s="389">
        <f t="shared" si="23"/>
        <v>262.70416666666665</v>
      </c>
      <c r="BA51" s="389">
        <f t="shared" si="23"/>
        <v>262.70416666666665</v>
      </c>
      <c r="BB51" s="389">
        <f t="shared" si="23"/>
        <v>262.70416666666665</v>
      </c>
      <c r="BC51" s="389">
        <f t="shared" si="23"/>
        <v>262.70416666666665</v>
      </c>
      <c r="BD51" s="389">
        <f t="shared" si="23"/>
        <v>262.70416666666665</v>
      </c>
      <c r="BE51" s="389">
        <f t="shared" si="23"/>
        <v>262.70416666666665</v>
      </c>
      <c r="BF51" s="389">
        <f t="shared" si="23"/>
        <v>262.70416666666665</v>
      </c>
      <c r="BG51" s="389">
        <f t="shared" si="23"/>
        <v>262.70416666666665</v>
      </c>
      <c r="BH51" s="389">
        <f t="shared" si="23"/>
        <v>262.70416666666665</v>
      </c>
      <c r="BI51" s="389">
        <f t="shared" si="23"/>
        <v>262.70416666666665</v>
      </c>
      <c r="BJ51" s="389">
        <f t="shared" si="23"/>
        <v>262.70416666666665</v>
      </c>
      <c r="BK51" s="389">
        <f t="shared" si="23"/>
        <v>262.70416666666665</v>
      </c>
      <c r="BL51" s="389">
        <f t="shared" si="23"/>
        <v>262.70416666666665</v>
      </c>
      <c r="BM51" s="389">
        <f t="shared" si="23"/>
        <v>262.70416666666665</v>
      </c>
      <c r="BN51" s="389">
        <f t="shared" si="23"/>
        <v>262.70416666666665</v>
      </c>
      <c r="BO51" s="389">
        <f t="shared" si="23"/>
        <v>262.70416666666665</v>
      </c>
      <c r="BP51" s="389">
        <f t="shared" si="25"/>
        <v>262.70416666666665</v>
      </c>
      <c r="BQ51" s="389">
        <f t="shared" si="25"/>
        <v>262.70416666666665</v>
      </c>
      <c r="BR51" s="389">
        <f t="shared" si="25"/>
        <v>262.70416666666665</v>
      </c>
      <c r="BS51" s="389">
        <v>0</v>
      </c>
      <c r="BT51" s="389">
        <f t="shared" si="25"/>
        <v>0</v>
      </c>
      <c r="BU51" s="389">
        <f t="shared" si="25"/>
        <v>0</v>
      </c>
      <c r="BV51" s="389">
        <f t="shared" si="25"/>
        <v>0</v>
      </c>
      <c r="BW51" s="389">
        <f t="shared" si="25"/>
        <v>0</v>
      </c>
      <c r="BX51" s="389">
        <f t="shared" si="25"/>
        <v>0</v>
      </c>
      <c r="BY51" s="389">
        <f t="shared" si="25"/>
        <v>0</v>
      </c>
      <c r="BZ51" s="389">
        <f t="shared" si="25"/>
        <v>0</v>
      </c>
      <c r="CA51" s="389">
        <f t="shared" si="25"/>
        <v>0</v>
      </c>
      <c r="CB51" s="389">
        <f t="shared" si="25"/>
        <v>0</v>
      </c>
      <c r="CC51" s="389">
        <f t="shared" si="25"/>
        <v>0</v>
      </c>
      <c r="CD51" s="389">
        <f t="shared" si="25"/>
        <v>0</v>
      </c>
      <c r="CE51" s="389">
        <f t="shared" si="25"/>
        <v>0</v>
      </c>
      <c r="CF51" s="389">
        <f t="shared" si="22"/>
        <v>0</v>
      </c>
      <c r="CG51" s="389">
        <f t="shared" si="17"/>
        <v>0</v>
      </c>
      <c r="CH51" s="389">
        <f t="shared" si="17"/>
        <v>0</v>
      </c>
      <c r="CI51" s="389">
        <f t="shared" si="17"/>
        <v>0</v>
      </c>
      <c r="CJ51" s="389">
        <f t="shared" si="17"/>
        <v>0</v>
      </c>
      <c r="CK51" s="389">
        <f t="shared" si="17"/>
        <v>0</v>
      </c>
      <c r="CL51" s="389">
        <f t="shared" si="17"/>
        <v>0</v>
      </c>
      <c r="CM51" s="389">
        <f t="shared" si="17"/>
        <v>0</v>
      </c>
      <c r="CN51" s="389">
        <f t="shared" si="17"/>
        <v>0</v>
      </c>
      <c r="CO51" s="389">
        <f t="shared" si="17"/>
        <v>0</v>
      </c>
      <c r="CP51" s="389">
        <f t="shared" si="17"/>
        <v>0</v>
      </c>
      <c r="CQ51" s="389">
        <f t="shared" si="17"/>
        <v>0</v>
      </c>
      <c r="CR51" s="389">
        <f t="shared" si="8"/>
        <v>4.1666666676974273E-2</v>
      </c>
    </row>
    <row r="52" spans="2:96">
      <c r="B52" s="456"/>
      <c r="C52" s="456"/>
      <c r="D52" s="385">
        <v>16562.73</v>
      </c>
      <c r="E52" s="385">
        <f t="shared" si="6"/>
        <v>276.0455</v>
      </c>
      <c r="F52" s="385">
        <f t="shared" si="7"/>
        <v>5</v>
      </c>
      <c r="G52" s="385">
        <v>60</v>
      </c>
      <c r="H52" s="386">
        <v>43009</v>
      </c>
      <c r="I52" s="387">
        <f t="shared" si="12"/>
        <v>44834</v>
      </c>
      <c r="J52" s="457"/>
      <c r="K52" s="388">
        <v>16562.73</v>
      </c>
      <c r="L52" s="376"/>
      <c r="M52" s="376"/>
      <c r="N52" s="376"/>
      <c r="O52" s="376"/>
      <c r="P52" s="376"/>
      <c r="Q52" s="389">
        <f>K52/60*18</f>
        <v>4968.8190000000004</v>
      </c>
      <c r="R52" s="389">
        <f>K52/60</f>
        <v>276.0455</v>
      </c>
      <c r="S52" s="389">
        <v>276.0455</v>
      </c>
      <c r="T52" s="389">
        <v>276.0455</v>
      </c>
      <c r="U52" s="389">
        <f t="shared" si="18"/>
        <v>276.0455</v>
      </c>
      <c r="V52" s="389">
        <f t="shared" si="18"/>
        <v>276.0455</v>
      </c>
      <c r="W52" s="389">
        <f t="shared" si="18"/>
        <v>276.0455</v>
      </c>
      <c r="X52" s="389">
        <f t="shared" si="18"/>
        <v>276.0455</v>
      </c>
      <c r="Y52" s="389">
        <f t="shared" si="18"/>
        <v>276.0455</v>
      </c>
      <c r="Z52" s="389">
        <f t="shared" si="18"/>
        <v>276.0455</v>
      </c>
      <c r="AA52" s="389">
        <f t="shared" si="18"/>
        <v>276.0455</v>
      </c>
      <c r="AB52" s="389">
        <f t="shared" si="18"/>
        <v>276.0455</v>
      </c>
      <c r="AC52" s="389">
        <f t="shared" si="18"/>
        <v>276.0455</v>
      </c>
      <c r="AD52" s="389">
        <f t="shared" si="18"/>
        <v>276.0455</v>
      </c>
      <c r="AE52" s="389">
        <f t="shared" si="18"/>
        <v>276.0455</v>
      </c>
      <c r="AF52" s="389">
        <f t="shared" si="18"/>
        <v>276.0455</v>
      </c>
      <c r="AG52" s="389">
        <f t="shared" si="18"/>
        <v>276.0455</v>
      </c>
      <c r="AH52" s="389">
        <f t="shared" si="18"/>
        <v>276.0455</v>
      </c>
      <c r="AI52" s="389">
        <f t="shared" si="18"/>
        <v>276.0455</v>
      </c>
      <c r="AJ52" s="389">
        <f t="shared" si="19"/>
        <v>276.0455</v>
      </c>
      <c r="AK52" s="389">
        <f t="shared" si="19"/>
        <v>276.0455</v>
      </c>
      <c r="AL52" s="389">
        <f t="shared" si="19"/>
        <v>276.0455</v>
      </c>
      <c r="AM52" s="389">
        <f t="shared" si="19"/>
        <v>276.0455</v>
      </c>
      <c r="AN52" s="389">
        <f t="shared" si="19"/>
        <v>276.0455</v>
      </c>
      <c r="AO52" s="389">
        <f t="shared" si="19"/>
        <v>276.0455</v>
      </c>
      <c r="AP52" s="389">
        <f t="shared" si="19"/>
        <v>276.0455</v>
      </c>
      <c r="AQ52" s="389">
        <f t="shared" si="19"/>
        <v>276.0455</v>
      </c>
      <c r="AR52" s="389">
        <f t="shared" si="19"/>
        <v>276.0455</v>
      </c>
      <c r="AS52" s="389">
        <f t="shared" si="19"/>
        <v>276.0455</v>
      </c>
      <c r="AT52" s="389">
        <f t="shared" si="19"/>
        <v>276.0455</v>
      </c>
      <c r="AU52" s="389">
        <f t="shared" si="19"/>
        <v>276.0455</v>
      </c>
      <c r="AV52" s="389">
        <f t="shared" si="19"/>
        <v>276.0455</v>
      </c>
      <c r="AW52" s="389">
        <f t="shared" si="19"/>
        <v>276.0455</v>
      </c>
      <c r="AX52" s="389">
        <f t="shared" si="19"/>
        <v>276.0455</v>
      </c>
      <c r="AY52" s="389">
        <f t="shared" si="19"/>
        <v>276.0455</v>
      </c>
      <c r="AZ52" s="389">
        <f t="shared" si="23"/>
        <v>276.0455</v>
      </c>
      <c r="BA52" s="389">
        <f t="shared" si="23"/>
        <v>276.0455</v>
      </c>
      <c r="BB52" s="389">
        <f t="shared" si="23"/>
        <v>276.0455</v>
      </c>
      <c r="BC52" s="389">
        <f t="shared" si="23"/>
        <v>276.0455</v>
      </c>
      <c r="BD52" s="389">
        <f t="shared" si="23"/>
        <v>276.0455</v>
      </c>
      <c r="BE52" s="389">
        <f t="shared" si="23"/>
        <v>276.0455</v>
      </c>
      <c r="BF52" s="389">
        <f t="shared" si="23"/>
        <v>276.0455</v>
      </c>
      <c r="BG52" s="389">
        <f t="shared" si="23"/>
        <v>276.0455</v>
      </c>
      <c r="BH52" s="389">
        <f t="shared" si="23"/>
        <v>0</v>
      </c>
      <c r="BI52" s="389">
        <f t="shared" si="23"/>
        <v>0</v>
      </c>
      <c r="BJ52" s="389">
        <f t="shared" si="23"/>
        <v>0</v>
      </c>
      <c r="BK52" s="389">
        <f t="shared" si="23"/>
        <v>0</v>
      </c>
      <c r="BL52" s="389">
        <f t="shared" si="23"/>
        <v>0</v>
      </c>
      <c r="BM52" s="389">
        <f t="shared" si="23"/>
        <v>0</v>
      </c>
      <c r="BN52" s="389">
        <f t="shared" si="23"/>
        <v>0</v>
      </c>
      <c r="BO52" s="389">
        <f t="shared" si="23"/>
        <v>0</v>
      </c>
      <c r="BP52" s="389">
        <f t="shared" si="25"/>
        <v>0</v>
      </c>
      <c r="BQ52" s="389">
        <f t="shared" si="25"/>
        <v>0</v>
      </c>
      <c r="BR52" s="389">
        <f t="shared" si="25"/>
        <v>0</v>
      </c>
      <c r="BS52" s="389">
        <f t="shared" si="25"/>
        <v>0</v>
      </c>
      <c r="BT52" s="389">
        <f t="shared" si="25"/>
        <v>0</v>
      </c>
      <c r="BU52" s="389">
        <f t="shared" si="25"/>
        <v>0</v>
      </c>
      <c r="BV52" s="389">
        <f t="shared" si="25"/>
        <v>0</v>
      </c>
      <c r="BW52" s="389">
        <f t="shared" si="25"/>
        <v>0</v>
      </c>
      <c r="BX52" s="389">
        <f t="shared" si="25"/>
        <v>0</v>
      </c>
      <c r="BY52" s="389">
        <f t="shared" si="25"/>
        <v>0</v>
      </c>
      <c r="BZ52" s="389">
        <f t="shared" si="25"/>
        <v>0</v>
      </c>
      <c r="CA52" s="389">
        <f t="shared" si="25"/>
        <v>0</v>
      </c>
      <c r="CB52" s="389">
        <f t="shared" si="25"/>
        <v>0</v>
      </c>
      <c r="CC52" s="389">
        <f t="shared" si="25"/>
        <v>0</v>
      </c>
      <c r="CD52" s="389">
        <f t="shared" si="25"/>
        <v>0</v>
      </c>
      <c r="CE52" s="389">
        <f t="shared" si="25"/>
        <v>0</v>
      </c>
      <c r="CF52" s="389">
        <f t="shared" si="22"/>
        <v>0</v>
      </c>
      <c r="CG52" s="389">
        <f t="shared" si="17"/>
        <v>0</v>
      </c>
      <c r="CH52" s="389">
        <f t="shared" si="17"/>
        <v>0</v>
      </c>
      <c r="CI52" s="389">
        <f t="shared" si="17"/>
        <v>0</v>
      </c>
      <c r="CJ52" s="389">
        <f t="shared" si="17"/>
        <v>0</v>
      </c>
      <c r="CK52" s="389">
        <f t="shared" si="17"/>
        <v>0</v>
      </c>
      <c r="CL52" s="389">
        <f t="shared" si="17"/>
        <v>0</v>
      </c>
      <c r="CM52" s="389">
        <f t="shared" si="17"/>
        <v>0</v>
      </c>
      <c r="CN52" s="389">
        <f t="shared" si="17"/>
        <v>0</v>
      </c>
      <c r="CO52" s="389">
        <f t="shared" si="17"/>
        <v>0</v>
      </c>
      <c r="CP52" s="389">
        <f t="shared" si="17"/>
        <v>0</v>
      </c>
      <c r="CQ52" s="389">
        <f t="shared" si="17"/>
        <v>0</v>
      </c>
      <c r="CR52" s="389">
        <f t="shared" si="8"/>
        <v>0</v>
      </c>
    </row>
    <row r="53" spans="2:96">
      <c r="B53" s="456"/>
      <c r="C53" s="456"/>
      <c r="D53" s="385">
        <v>39337.43</v>
      </c>
      <c r="E53" s="385">
        <f t="shared" si="6"/>
        <v>655.62383333333332</v>
      </c>
      <c r="F53" s="385">
        <f t="shared" si="7"/>
        <v>5</v>
      </c>
      <c r="G53" s="385">
        <v>60</v>
      </c>
      <c r="H53" s="386">
        <v>43374</v>
      </c>
      <c r="I53" s="387">
        <f t="shared" si="12"/>
        <v>45199</v>
      </c>
      <c r="J53" s="457"/>
      <c r="K53" s="388">
        <v>39337.43</v>
      </c>
      <c r="L53" s="376"/>
      <c r="M53" s="376"/>
      <c r="N53" s="376"/>
      <c r="O53" s="376"/>
      <c r="P53" s="376"/>
      <c r="Q53" s="389">
        <f>K53/60*6</f>
        <v>3933.7429999999999</v>
      </c>
      <c r="R53" s="389">
        <f>K53/60</f>
        <v>655.62383333333332</v>
      </c>
      <c r="S53" s="389">
        <v>655.62383333333332</v>
      </c>
      <c r="T53" s="389">
        <v>655.62383333333332</v>
      </c>
      <c r="U53" s="389">
        <f t="shared" si="18"/>
        <v>655.62383333333332</v>
      </c>
      <c r="V53" s="389">
        <f t="shared" si="18"/>
        <v>655.62383333333332</v>
      </c>
      <c r="W53" s="389">
        <f t="shared" si="18"/>
        <v>655.62383333333332</v>
      </c>
      <c r="X53" s="389">
        <f t="shared" si="18"/>
        <v>655.62383333333332</v>
      </c>
      <c r="Y53" s="389">
        <f t="shared" si="18"/>
        <v>655.62383333333332</v>
      </c>
      <c r="Z53" s="389">
        <f t="shared" si="18"/>
        <v>655.62383333333332</v>
      </c>
      <c r="AA53" s="389">
        <f t="shared" si="18"/>
        <v>655.62383333333332</v>
      </c>
      <c r="AB53" s="389">
        <f t="shared" si="18"/>
        <v>655.62383333333332</v>
      </c>
      <c r="AC53" s="389">
        <f t="shared" si="18"/>
        <v>655.62383333333332</v>
      </c>
      <c r="AD53" s="389">
        <f t="shared" si="18"/>
        <v>655.62383333333332</v>
      </c>
      <c r="AE53" s="389">
        <f t="shared" si="18"/>
        <v>655.62383333333332</v>
      </c>
      <c r="AF53" s="389">
        <f t="shared" si="18"/>
        <v>655.62383333333332</v>
      </c>
      <c r="AG53" s="389">
        <f t="shared" si="18"/>
        <v>655.62383333333332</v>
      </c>
      <c r="AH53" s="389">
        <f t="shared" si="18"/>
        <v>655.62383333333332</v>
      </c>
      <c r="AI53" s="389">
        <f t="shared" si="18"/>
        <v>655.62383333333332</v>
      </c>
      <c r="AJ53" s="389">
        <f t="shared" si="19"/>
        <v>655.62383333333332</v>
      </c>
      <c r="AK53" s="389">
        <f t="shared" si="19"/>
        <v>655.62383333333332</v>
      </c>
      <c r="AL53" s="389">
        <f t="shared" si="19"/>
        <v>655.62383333333332</v>
      </c>
      <c r="AM53" s="389">
        <f t="shared" si="19"/>
        <v>655.62383333333332</v>
      </c>
      <c r="AN53" s="389">
        <f t="shared" si="19"/>
        <v>655.62383333333332</v>
      </c>
      <c r="AO53" s="389">
        <f t="shared" si="19"/>
        <v>655.62383333333332</v>
      </c>
      <c r="AP53" s="389">
        <f t="shared" si="19"/>
        <v>655.62383333333332</v>
      </c>
      <c r="AQ53" s="389">
        <f t="shared" si="19"/>
        <v>655.62383333333332</v>
      </c>
      <c r="AR53" s="389">
        <f t="shared" si="19"/>
        <v>655.62383333333332</v>
      </c>
      <c r="AS53" s="389">
        <f t="shared" si="19"/>
        <v>655.62383333333332</v>
      </c>
      <c r="AT53" s="389">
        <f t="shared" si="19"/>
        <v>655.62383333333332</v>
      </c>
      <c r="AU53" s="389">
        <f t="shared" si="19"/>
        <v>655.62383333333332</v>
      </c>
      <c r="AV53" s="389">
        <f t="shared" si="19"/>
        <v>655.62383333333332</v>
      </c>
      <c r="AW53" s="389">
        <f t="shared" si="19"/>
        <v>655.62383333333332</v>
      </c>
      <c r="AX53" s="389">
        <f t="shared" si="19"/>
        <v>655.62383333333332</v>
      </c>
      <c r="AY53" s="389">
        <f t="shared" si="19"/>
        <v>655.62383333333332</v>
      </c>
      <c r="AZ53" s="389">
        <f t="shared" si="23"/>
        <v>655.62383333333332</v>
      </c>
      <c r="BA53" s="389">
        <f t="shared" si="23"/>
        <v>655.62383333333332</v>
      </c>
      <c r="BB53" s="389">
        <f t="shared" si="23"/>
        <v>655.62383333333332</v>
      </c>
      <c r="BC53" s="389">
        <f t="shared" si="23"/>
        <v>655.62383333333332</v>
      </c>
      <c r="BD53" s="389">
        <f t="shared" si="23"/>
        <v>655.62383333333332</v>
      </c>
      <c r="BE53" s="389">
        <f t="shared" si="23"/>
        <v>655.62383333333332</v>
      </c>
      <c r="BF53" s="389">
        <f t="shared" si="23"/>
        <v>655.62383333333332</v>
      </c>
      <c r="BG53" s="389">
        <f t="shared" si="23"/>
        <v>655.62383333333332</v>
      </c>
      <c r="BH53" s="389">
        <f t="shared" si="23"/>
        <v>655.62383333333332</v>
      </c>
      <c r="BI53" s="389">
        <f t="shared" si="23"/>
        <v>655.62383333333332</v>
      </c>
      <c r="BJ53" s="389">
        <f t="shared" si="23"/>
        <v>655.62383333333332</v>
      </c>
      <c r="BK53" s="389">
        <f t="shared" si="23"/>
        <v>655.62383333333332</v>
      </c>
      <c r="BL53" s="389">
        <f t="shared" si="23"/>
        <v>655.62383333333332</v>
      </c>
      <c r="BM53" s="389">
        <f t="shared" si="23"/>
        <v>655.62383333333332</v>
      </c>
      <c r="BN53" s="389">
        <f t="shared" si="23"/>
        <v>655.62383333333332</v>
      </c>
      <c r="BO53" s="389">
        <f t="shared" si="23"/>
        <v>655.62383333333332</v>
      </c>
      <c r="BP53" s="389">
        <f t="shared" si="25"/>
        <v>655.62383333333332</v>
      </c>
      <c r="BQ53" s="389">
        <f t="shared" si="25"/>
        <v>655.62383333333332</v>
      </c>
      <c r="BR53" s="389">
        <f t="shared" si="25"/>
        <v>655.62383333333332</v>
      </c>
      <c r="BS53" s="389">
        <f t="shared" si="25"/>
        <v>655.62383333333332</v>
      </c>
      <c r="BT53" s="389">
        <f t="shared" si="25"/>
        <v>0</v>
      </c>
      <c r="BU53" s="389">
        <f t="shared" si="25"/>
        <v>0</v>
      </c>
      <c r="BV53" s="389">
        <f t="shared" si="25"/>
        <v>0</v>
      </c>
      <c r="BW53" s="389">
        <f t="shared" si="25"/>
        <v>0</v>
      </c>
      <c r="BX53" s="389">
        <f t="shared" si="25"/>
        <v>0</v>
      </c>
      <c r="BY53" s="389">
        <f t="shared" si="25"/>
        <v>0</v>
      </c>
      <c r="BZ53" s="389">
        <f t="shared" si="25"/>
        <v>0</v>
      </c>
      <c r="CA53" s="389">
        <f t="shared" si="25"/>
        <v>0</v>
      </c>
      <c r="CB53" s="389">
        <f t="shared" si="25"/>
        <v>0</v>
      </c>
      <c r="CC53" s="389">
        <f t="shared" si="25"/>
        <v>0</v>
      </c>
      <c r="CD53" s="389">
        <f t="shared" si="25"/>
        <v>0</v>
      </c>
      <c r="CE53" s="389">
        <f t="shared" si="25"/>
        <v>0</v>
      </c>
      <c r="CF53" s="389">
        <f t="shared" si="22"/>
        <v>0</v>
      </c>
      <c r="CG53" s="389">
        <f t="shared" si="17"/>
        <v>0</v>
      </c>
      <c r="CH53" s="389">
        <f t="shared" si="17"/>
        <v>0</v>
      </c>
      <c r="CI53" s="389">
        <f t="shared" si="17"/>
        <v>0</v>
      </c>
      <c r="CJ53" s="389">
        <f t="shared" si="17"/>
        <v>0</v>
      </c>
      <c r="CK53" s="389">
        <f t="shared" si="17"/>
        <v>0</v>
      </c>
      <c r="CL53" s="389">
        <f t="shared" si="17"/>
        <v>0</v>
      </c>
      <c r="CM53" s="389">
        <f t="shared" si="17"/>
        <v>0</v>
      </c>
      <c r="CN53" s="389">
        <f t="shared" si="17"/>
        <v>0</v>
      </c>
      <c r="CO53" s="389">
        <f t="shared" si="17"/>
        <v>0</v>
      </c>
      <c r="CP53" s="389">
        <f t="shared" si="17"/>
        <v>0</v>
      </c>
      <c r="CQ53" s="389">
        <f t="shared" si="17"/>
        <v>0</v>
      </c>
      <c r="CR53" s="389">
        <f t="shared" si="8"/>
        <v>0</v>
      </c>
    </row>
    <row r="54" spans="2:96">
      <c r="B54" s="456"/>
      <c r="C54" s="456"/>
      <c r="D54" s="385">
        <v>17625.400000000001</v>
      </c>
      <c r="E54" s="385">
        <f t="shared" si="6"/>
        <v>293.75666666666672</v>
      </c>
      <c r="F54" s="385">
        <f t="shared" si="7"/>
        <v>5</v>
      </c>
      <c r="G54" s="385">
        <v>60</v>
      </c>
      <c r="H54" s="386">
        <v>43429</v>
      </c>
      <c r="I54" s="387">
        <f t="shared" si="12"/>
        <v>45254</v>
      </c>
      <c r="J54" s="457"/>
      <c r="K54" s="388">
        <v>17625</v>
      </c>
      <c r="L54" s="376"/>
      <c r="M54" s="376"/>
      <c r="N54" s="376"/>
      <c r="O54" s="376"/>
      <c r="P54" s="376"/>
      <c r="Q54" s="389">
        <f>K54/60*14</f>
        <v>4112.5</v>
      </c>
      <c r="R54" s="389">
        <f>K54/60</f>
        <v>293.75</v>
      </c>
      <c r="S54" s="389">
        <v>293.75</v>
      </c>
      <c r="T54" s="389">
        <v>293.75</v>
      </c>
      <c r="U54" s="389">
        <f t="shared" si="18"/>
        <v>293.75666666666672</v>
      </c>
      <c r="V54" s="389">
        <f t="shared" si="18"/>
        <v>293.75666666666672</v>
      </c>
      <c r="W54" s="389">
        <f t="shared" si="18"/>
        <v>293.75666666666672</v>
      </c>
      <c r="X54" s="389">
        <f t="shared" si="18"/>
        <v>293.75666666666672</v>
      </c>
      <c r="Y54" s="389">
        <f t="shared" si="18"/>
        <v>293.75666666666672</v>
      </c>
      <c r="Z54" s="389">
        <f t="shared" si="18"/>
        <v>293.75666666666672</v>
      </c>
      <c r="AA54" s="389">
        <f t="shared" si="18"/>
        <v>293.75666666666672</v>
      </c>
      <c r="AB54" s="389">
        <f t="shared" si="18"/>
        <v>293.75666666666672</v>
      </c>
      <c r="AC54" s="389">
        <f t="shared" si="18"/>
        <v>293.75666666666672</v>
      </c>
      <c r="AD54" s="389">
        <f t="shared" si="18"/>
        <v>293.75666666666672</v>
      </c>
      <c r="AE54" s="389">
        <f t="shared" si="18"/>
        <v>293.75666666666672</v>
      </c>
      <c r="AF54" s="389">
        <f t="shared" si="18"/>
        <v>293.75666666666672</v>
      </c>
      <c r="AG54" s="389">
        <f t="shared" si="18"/>
        <v>293.75666666666672</v>
      </c>
      <c r="AH54" s="389">
        <f t="shared" si="18"/>
        <v>293.75666666666672</v>
      </c>
      <c r="AI54" s="389">
        <f t="shared" si="18"/>
        <v>293.75666666666672</v>
      </c>
      <c r="AJ54" s="389">
        <f t="shared" si="19"/>
        <v>293.75666666666672</v>
      </c>
      <c r="AK54" s="389">
        <f t="shared" si="19"/>
        <v>293.75666666666672</v>
      </c>
      <c r="AL54" s="389">
        <f t="shared" si="19"/>
        <v>293.75666666666672</v>
      </c>
      <c r="AM54" s="389">
        <f t="shared" si="19"/>
        <v>293.75666666666672</v>
      </c>
      <c r="AN54" s="389">
        <f t="shared" si="19"/>
        <v>293.75666666666672</v>
      </c>
      <c r="AO54" s="389">
        <f t="shared" si="19"/>
        <v>293.75666666666672</v>
      </c>
      <c r="AP54" s="389">
        <f t="shared" si="19"/>
        <v>293.75666666666672</v>
      </c>
      <c r="AQ54" s="389">
        <f t="shared" si="19"/>
        <v>293.75666666666672</v>
      </c>
      <c r="AR54" s="389">
        <f t="shared" si="19"/>
        <v>293.75666666666672</v>
      </c>
      <c r="AS54" s="389">
        <f t="shared" si="19"/>
        <v>293.75666666666672</v>
      </c>
      <c r="AT54" s="389">
        <f t="shared" si="19"/>
        <v>293.75666666666672</v>
      </c>
      <c r="AU54" s="389">
        <f t="shared" si="19"/>
        <v>293.75666666666672</v>
      </c>
      <c r="AV54" s="389">
        <f t="shared" si="19"/>
        <v>293.75666666666672</v>
      </c>
      <c r="AW54" s="389">
        <f t="shared" si="19"/>
        <v>293.75666666666672</v>
      </c>
      <c r="AX54" s="389">
        <f t="shared" si="19"/>
        <v>293.75666666666672</v>
      </c>
      <c r="AY54" s="389">
        <f t="shared" si="19"/>
        <v>293.75666666666672</v>
      </c>
      <c r="AZ54" s="389">
        <f t="shared" si="23"/>
        <v>293.75666666666672</v>
      </c>
      <c r="BA54" s="389">
        <f t="shared" si="23"/>
        <v>293.75666666666672</v>
      </c>
      <c r="BB54" s="389">
        <f t="shared" si="23"/>
        <v>293.75666666666672</v>
      </c>
      <c r="BC54" s="389">
        <f t="shared" si="23"/>
        <v>293.75666666666672</v>
      </c>
      <c r="BD54" s="389">
        <f t="shared" si="23"/>
        <v>293.75666666666672</v>
      </c>
      <c r="BE54" s="389">
        <f t="shared" si="23"/>
        <v>293.75666666666672</v>
      </c>
      <c r="BF54" s="389">
        <f t="shared" si="23"/>
        <v>293.75666666666672</v>
      </c>
      <c r="BG54" s="389">
        <f t="shared" si="23"/>
        <v>293.75666666666672</v>
      </c>
      <c r="BH54" s="389">
        <f t="shared" si="23"/>
        <v>293.75666666666672</v>
      </c>
      <c r="BI54" s="389">
        <f t="shared" si="23"/>
        <v>293.75666666666672</v>
      </c>
      <c r="BJ54" s="389">
        <f t="shared" si="23"/>
        <v>293.75666666666672</v>
      </c>
      <c r="BK54" s="389">
        <f t="shared" si="23"/>
        <v>293.75666666666672</v>
      </c>
      <c r="BL54" s="389">
        <v>0</v>
      </c>
      <c r="BM54" s="389">
        <v>0</v>
      </c>
      <c r="BN54" s="389">
        <v>0</v>
      </c>
      <c r="BO54" s="389">
        <v>0</v>
      </c>
      <c r="BP54" s="389">
        <v>0</v>
      </c>
      <c r="BQ54" s="389">
        <v>0</v>
      </c>
      <c r="BR54" s="389">
        <v>0</v>
      </c>
      <c r="BS54" s="389">
        <v>0</v>
      </c>
      <c r="BT54" s="389">
        <v>0</v>
      </c>
      <c r="BU54" s="389">
        <v>0</v>
      </c>
      <c r="BV54" s="389">
        <f t="shared" si="25"/>
        <v>0</v>
      </c>
      <c r="BW54" s="389">
        <f t="shared" si="25"/>
        <v>0</v>
      </c>
      <c r="BX54" s="389">
        <f t="shared" si="25"/>
        <v>0</v>
      </c>
      <c r="BY54" s="389">
        <f t="shared" si="25"/>
        <v>0</v>
      </c>
      <c r="BZ54" s="389">
        <f t="shared" si="25"/>
        <v>0</v>
      </c>
      <c r="CA54" s="389">
        <f t="shared" si="25"/>
        <v>0</v>
      </c>
      <c r="CB54" s="389">
        <f t="shared" si="25"/>
        <v>0</v>
      </c>
      <c r="CC54" s="389">
        <f t="shared" si="25"/>
        <v>0</v>
      </c>
      <c r="CD54" s="389">
        <f t="shared" si="25"/>
        <v>0</v>
      </c>
      <c r="CE54" s="389">
        <f t="shared" si="25"/>
        <v>0</v>
      </c>
      <c r="CF54" s="389">
        <f t="shared" si="22"/>
        <v>0</v>
      </c>
      <c r="CG54" s="389">
        <f t="shared" si="17"/>
        <v>0</v>
      </c>
      <c r="CH54" s="389">
        <f t="shared" si="17"/>
        <v>0</v>
      </c>
      <c r="CI54" s="389">
        <f t="shared" si="17"/>
        <v>0</v>
      </c>
      <c r="CJ54" s="389">
        <f t="shared" si="17"/>
        <v>0</v>
      </c>
      <c r="CK54" s="389">
        <f t="shared" si="17"/>
        <v>0</v>
      </c>
      <c r="CL54" s="389">
        <f t="shared" si="17"/>
        <v>0</v>
      </c>
      <c r="CM54" s="389">
        <f t="shared" si="17"/>
        <v>0</v>
      </c>
      <c r="CN54" s="389">
        <f t="shared" si="17"/>
        <v>0</v>
      </c>
      <c r="CO54" s="389">
        <f t="shared" si="17"/>
        <v>0</v>
      </c>
      <c r="CP54" s="389">
        <f t="shared" si="17"/>
        <v>0</v>
      </c>
      <c r="CQ54" s="389">
        <f t="shared" si="17"/>
        <v>0</v>
      </c>
      <c r="CR54" s="389">
        <f t="shared" si="8"/>
        <v>-0.28666666666322271</v>
      </c>
    </row>
    <row r="55" spans="2:96">
      <c r="B55" s="456"/>
      <c r="C55" s="456"/>
      <c r="D55" s="390">
        <v>36435.629999999997</v>
      </c>
      <c r="E55" s="390">
        <f t="shared" si="6"/>
        <v>1012.1008333333333</v>
      </c>
      <c r="F55" s="390">
        <f t="shared" si="7"/>
        <v>3</v>
      </c>
      <c r="G55" s="390">
        <v>36</v>
      </c>
      <c r="H55" s="391">
        <v>42309</v>
      </c>
      <c r="I55" s="392">
        <f t="shared" si="12"/>
        <v>43404</v>
      </c>
      <c r="J55" s="457"/>
      <c r="K55" s="393">
        <v>2037.1</v>
      </c>
      <c r="L55" s="394">
        <v>1018.55</v>
      </c>
      <c r="M55" s="394">
        <v>1018.55</v>
      </c>
      <c r="N55" s="376">
        <v>0</v>
      </c>
      <c r="O55" s="376">
        <v>0</v>
      </c>
      <c r="P55" s="376">
        <v>0</v>
      </c>
      <c r="Q55" s="376">
        <v>0</v>
      </c>
      <c r="R55" s="376">
        <v>0</v>
      </c>
      <c r="S55" s="376">
        <v>0</v>
      </c>
      <c r="T55" s="376">
        <v>0</v>
      </c>
      <c r="U55" s="376">
        <f t="shared" si="18"/>
        <v>0</v>
      </c>
      <c r="V55" s="376">
        <f t="shared" si="18"/>
        <v>0</v>
      </c>
      <c r="W55" s="376">
        <f t="shared" si="18"/>
        <v>0</v>
      </c>
      <c r="X55" s="376">
        <f t="shared" si="18"/>
        <v>0</v>
      </c>
      <c r="Y55" s="376">
        <f t="shared" si="18"/>
        <v>0</v>
      </c>
      <c r="Z55" s="376">
        <f t="shared" si="18"/>
        <v>0</v>
      </c>
      <c r="AA55" s="376">
        <f t="shared" si="18"/>
        <v>0</v>
      </c>
      <c r="AB55" s="376">
        <f t="shared" si="18"/>
        <v>0</v>
      </c>
      <c r="AC55" s="376">
        <f t="shared" si="18"/>
        <v>0</v>
      </c>
      <c r="AD55" s="376">
        <f t="shared" si="18"/>
        <v>0</v>
      </c>
      <c r="AE55" s="376">
        <f t="shared" si="18"/>
        <v>0</v>
      </c>
      <c r="AF55" s="376">
        <f t="shared" si="18"/>
        <v>0</v>
      </c>
      <c r="AG55" s="376">
        <f t="shared" si="18"/>
        <v>0</v>
      </c>
      <c r="AH55" s="376">
        <f t="shared" si="18"/>
        <v>0</v>
      </c>
      <c r="AI55" s="376">
        <f t="shared" si="18"/>
        <v>0</v>
      </c>
      <c r="AJ55" s="376">
        <f t="shared" si="19"/>
        <v>0</v>
      </c>
      <c r="AK55" s="376">
        <f t="shared" si="19"/>
        <v>0</v>
      </c>
      <c r="AL55" s="376">
        <f t="shared" si="19"/>
        <v>0</v>
      </c>
      <c r="AM55" s="376">
        <f t="shared" si="19"/>
        <v>0</v>
      </c>
      <c r="AN55" s="376">
        <f t="shared" si="19"/>
        <v>0</v>
      </c>
      <c r="AO55" s="376">
        <f t="shared" si="19"/>
        <v>0</v>
      </c>
      <c r="AP55" s="376">
        <f t="shared" si="19"/>
        <v>0</v>
      </c>
      <c r="AQ55" s="376">
        <f t="shared" si="19"/>
        <v>0</v>
      </c>
      <c r="AR55" s="376">
        <f t="shared" si="19"/>
        <v>0</v>
      </c>
      <c r="AS55" s="376">
        <f t="shared" si="19"/>
        <v>0</v>
      </c>
      <c r="AT55" s="376">
        <f t="shared" si="19"/>
        <v>0</v>
      </c>
      <c r="AU55" s="376">
        <f t="shared" si="19"/>
        <v>0</v>
      </c>
      <c r="AV55" s="376">
        <f t="shared" si="19"/>
        <v>0</v>
      </c>
      <c r="AW55" s="376">
        <f t="shared" si="19"/>
        <v>0</v>
      </c>
      <c r="AX55" s="376">
        <f t="shared" si="19"/>
        <v>0</v>
      </c>
      <c r="AY55" s="376">
        <f t="shared" si="19"/>
        <v>0</v>
      </c>
      <c r="AZ55" s="376">
        <f t="shared" si="23"/>
        <v>0</v>
      </c>
      <c r="BA55" s="376">
        <f t="shared" si="23"/>
        <v>0</v>
      </c>
      <c r="BB55" s="376">
        <f t="shared" si="23"/>
        <v>0</v>
      </c>
      <c r="BC55" s="376">
        <f t="shared" si="23"/>
        <v>0</v>
      </c>
      <c r="BD55" s="376">
        <f t="shared" si="23"/>
        <v>0</v>
      </c>
      <c r="BE55" s="376">
        <f t="shared" si="23"/>
        <v>0</v>
      </c>
      <c r="BF55" s="376">
        <f t="shared" si="23"/>
        <v>0</v>
      </c>
      <c r="BG55" s="376">
        <f t="shared" si="23"/>
        <v>0</v>
      </c>
      <c r="BH55" s="376">
        <f t="shared" si="23"/>
        <v>0</v>
      </c>
      <c r="BI55" s="376">
        <f t="shared" si="23"/>
        <v>0</v>
      </c>
      <c r="BJ55" s="376">
        <f t="shared" si="23"/>
        <v>0</v>
      </c>
      <c r="BK55" s="376">
        <f t="shared" si="23"/>
        <v>0</v>
      </c>
      <c r="BL55" s="376">
        <f t="shared" si="23"/>
        <v>0</v>
      </c>
      <c r="BM55" s="376">
        <f t="shared" si="23"/>
        <v>0</v>
      </c>
      <c r="BN55" s="376">
        <f t="shared" si="23"/>
        <v>0</v>
      </c>
      <c r="BO55" s="376">
        <f t="shared" si="23"/>
        <v>0</v>
      </c>
      <c r="BP55" s="376">
        <f t="shared" ref="BP55:CE70" si="26">IF($I55&gt;BP$7-30,$E55,0)</f>
        <v>0</v>
      </c>
      <c r="BQ55" s="376">
        <f t="shared" si="26"/>
        <v>0</v>
      </c>
      <c r="BR55" s="376">
        <f t="shared" si="26"/>
        <v>0</v>
      </c>
      <c r="BS55" s="376">
        <f t="shared" si="26"/>
        <v>0</v>
      </c>
      <c r="BT55" s="376">
        <f t="shared" si="26"/>
        <v>0</v>
      </c>
      <c r="BU55" s="376">
        <f t="shared" si="26"/>
        <v>0</v>
      </c>
      <c r="BV55" s="376">
        <f t="shared" si="26"/>
        <v>0</v>
      </c>
      <c r="BW55" s="376">
        <f t="shared" si="26"/>
        <v>0</v>
      </c>
      <c r="BX55" s="376">
        <f t="shared" si="26"/>
        <v>0</v>
      </c>
      <c r="BY55" s="376">
        <f t="shared" si="26"/>
        <v>0</v>
      </c>
      <c r="BZ55" s="376">
        <f t="shared" si="26"/>
        <v>0</v>
      </c>
      <c r="CA55" s="376">
        <f t="shared" si="26"/>
        <v>0</v>
      </c>
      <c r="CB55" s="376">
        <f t="shared" si="26"/>
        <v>0</v>
      </c>
      <c r="CC55" s="376">
        <f t="shared" si="26"/>
        <v>0</v>
      </c>
      <c r="CD55" s="376">
        <f t="shared" si="26"/>
        <v>0</v>
      </c>
      <c r="CE55" s="376">
        <f t="shared" si="26"/>
        <v>0</v>
      </c>
      <c r="CF55" s="376">
        <f t="shared" si="22"/>
        <v>0</v>
      </c>
      <c r="CG55" s="376">
        <f t="shared" si="22"/>
        <v>0</v>
      </c>
      <c r="CH55" s="376">
        <f t="shared" si="22"/>
        <v>0</v>
      </c>
      <c r="CI55" s="376">
        <f t="shared" si="22"/>
        <v>0</v>
      </c>
      <c r="CJ55" s="376">
        <f t="shared" si="22"/>
        <v>0</v>
      </c>
      <c r="CK55" s="376">
        <f t="shared" si="22"/>
        <v>0</v>
      </c>
      <c r="CL55" s="376">
        <f t="shared" si="22"/>
        <v>0</v>
      </c>
      <c r="CM55" s="376">
        <f t="shared" si="22"/>
        <v>0</v>
      </c>
      <c r="CN55" s="376">
        <f t="shared" si="22"/>
        <v>0</v>
      </c>
      <c r="CO55" s="376">
        <f t="shared" si="22"/>
        <v>0</v>
      </c>
      <c r="CP55" s="376">
        <f t="shared" si="22"/>
        <v>0</v>
      </c>
      <c r="CQ55" s="376">
        <f t="shared" si="22"/>
        <v>0</v>
      </c>
      <c r="CR55" s="376">
        <f t="shared" si="8"/>
        <v>0</v>
      </c>
    </row>
    <row r="56" spans="2:96">
      <c r="B56" s="456"/>
      <c r="C56" s="456"/>
      <c r="D56" s="390">
        <v>8853.02</v>
      </c>
      <c r="E56" s="390">
        <f t="shared" si="6"/>
        <v>245.91722222222222</v>
      </c>
      <c r="F56" s="390">
        <f t="shared" si="7"/>
        <v>3</v>
      </c>
      <c r="G56" s="390">
        <v>36</v>
      </c>
      <c r="H56" s="391">
        <v>42277</v>
      </c>
      <c r="I56" s="392">
        <f t="shared" si="12"/>
        <v>43372</v>
      </c>
      <c r="J56" s="457"/>
      <c r="K56" s="393">
        <v>247.91</v>
      </c>
      <c r="L56" s="394">
        <v>247.89</v>
      </c>
      <c r="M56" s="376">
        <v>0</v>
      </c>
      <c r="N56" s="376">
        <v>0</v>
      </c>
      <c r="O56" s="376">
        <v>0</v>
      </c>
      <c r="P56" s="376">
        <v>0</v>
      </c>
      <c r="Q56" s="376">
        <v>0</v>
      </c>
      <c r="R56" s="376">
        <v>0</v>
      </c>
      <c r="S56" s="376">
        <v>0</v>
      </c>
      <c r="T56" s="376">
        <v>0</v>
      </c>
      <c r="U56" s="376">
        <f t="shared" si="18"/>
        <v>0</v>
      </c>
      <c r="V56" s="376">
        <f t="shared" si="18"/>
        <v>0</v>
      </c>
      <c r="W56" s="376">
        <f t="shared" si="18"/>
        <v>0</v>
      </c>
      <c r="X56" s="376">
        <f t="shared" si="18"/>
        <v>0</v>
      </c>
      <c r="Y56" s="376">
        <f t="shared" si="18"/>
        <v>0</v>
      </c>
      <c r="Z56" s="376">
        <f t="shared" si="18"/>
        <v>0</v>
      </c>
      <c r="AA56" s="376">
        <f t="shared" si="18"/>
        <v>0</v>
      </c>
      <c r="AB56" s="376">
        <f t="shared" si="18"/>
        <v>0</v>
      </c>
      <c r="AC56" s="376">
        <f t="shared" si="18"/>
        <v>0</v>
      </c>
      <c r="AD56" s="376">
        <f t="shared" si="18"/>
        <v>0</v>
      </c>
      <c r="AE56" s="376">
        <f t="shared" si="18"/>
        <v>0</v>
      </c>
      <c r="AF56" s="376">
        <f t="shared" si="18"/>
        <v>0</v>
      </c>
      <c r="AG56" s="376">
        <f t="shared" si="18"/>
        <v>0</v>
      </c>
      <c r="AH56" s="376">
        <f t="shared" si="18"/>
        <v>0</v>
      </c>
      <c r="AI56" s="376">
        <f t="shared" si="18"/>
        <v>0</v>
      </c>
      <c r="AJ56" s="376">
        <f t="shared" si="18"/>
        <v>0</v>
      </c>
      <c r="AK56" s="376">
        <f t="shared" si="19"/>
        <v>0</v>
      </c>
      <c r="AL56" s="376">
        <f t="shared" si="19"/>
        <v>0</v>
      </c>
      <c r="AM56" s="376">
        <f t="shared" si="19"/>
        <v>0</v>
      </c>
      <c r="AN56" s="376">
        <f t="shared" si="19"/>
        <v>0</v>
      </c>
      <c r="AO56" s="376">
        <f t="shared" si="19"/>
        <v>0</v>
      </c>
      <c r="AP56" s="376">
        <f t="shared" si="19"/>
        <v>0</v>
      </c>
      <c r="AQ56" s="376">
        <f t="shared" si="19"/>
        <v>0</v>
      </c>
      <c r="AR56" s="376">
        <f t="shared" si="19"/>
        <v>0</v>
      </c>
      <c r="AS56" s="376">
        <f t="shared" si="19"/>
        <v>0</v>
      </c>
      <c r="AT56" s="376">
        <f t="shared" si="19"/>
        <v>0</v>
      </c>
      <c r="AU56" s="376">
        <f t="shared" si="19"/>
        <v>0</v>
      </c>
      <c r="AV56" s="376">
        <f t="shared" si="19"/>
        <v>0</v>
      </c>
      <c r="AW56" s="376">
        <f t="shared" si="19"/>
        <v>0</v>
      </c>
      <c r="AX56" s="376">
        <f t="shared" si="19"/>
        <v>0</v>
      </c>
      <c r="AY56" s="376">
        <f t="shared" si="19"/>
        <v>0</v>
      </c>
      <c r="AZ56" s="376">
        <f t="shared" si="23"/>
        <v>0</v>
      </c>
      <c r="BA56" s="376">
        <f t="shared" si="23"/>
        <v>0</v>
      </c>
      <c r="BB56" s="376">
        <f t="shared" si="23"/>
        <v>0</v>
      </c>
      <c r="BC56" s="376">
        <f t="shared" si="23"/>
        <v>0</v>
      </c>
      <c r="BD56" s="376">
        <f t="shared" si="23"/>
        <v>0</v>
      </c>
      <c r="BE56" s="376">
        <f t="shared" si="23"/>
        <v>0</v>
      </c>
      <c r="BF56" s="376">
        <f t="shared" si="23"/>
        <v>0</v>
      </c>
      <c r="BG56" s="376">
        <f t="shared" si="23"/>
        <v>0</v>
      </c>
      <c r="BH56" s="376">
        <f t="shared" si="23"/>
        <v>0</v>
      </c>
      <c r="BI56" s="376">
        <f t="shared" si="23"/>
        <v>0</v>
      </c>
      <c r="BJ56" s="376">
        <f t="shared" si="23"/>
        <v>0</v>
      </c>
      <c r="BK56" s="376">
        <f t="shared" si="23"/>
        <v>0</v>
      </c>
      <c r="BL56" s="376">
        <f t="shared" si="23"/>
        <v>0</v>
      </c>
      <c r="BM56" s="376">
        <f t="shared" si="23"/>
        <v>0</v>
      </c>
      <c r="BN56" s="376">
        <f t="shared" si="23"/>
        <v>0</v>
      </c>
      <c r="BO56" s="376">
        <f t="shared" si="23"/>
        <v>0</v>
      </c>
      <c r="BP56" s="376">
        <f t="shared" si="26"/>
        <v>0</v>
      </c>
      <c r="BQ56" s="376">
        <f t="shared" si="26"/>
        <v>0</v>
      </c>
      <c r="BR56" s="376">
        <f t="shared" si="26"/>
        <v>0</v>
      </c>
      <c r="BS56" s="376">
        <f t="shared" si="26"/>
        <v>0</v>
      </c>
      <c r="BT56" s="376">
        <f t="shared" si="26"/>
        <v>0</v>
      </c>
      <c r="BU56" s="376">
        <f t="shared" si="26"/>
        <v>0</v>
      </c>
      <c r="BV56" s="376">
        <f t="shared" si="26"/>
        <v>0</v>
      </c>
      <c r="BW56" s="376">
        <f t="shared" si="26"/>
        <v>0</v>
      </c>
      <c r="BX56" s="376">
        <f t="shared" si="26"/>
        <v>0</v>
      </c>
      <c r="BY56" s="376">
        <f t="shared" si="26"/>
        <v>0</v>
      </c>
      <c r="BZ56" s="376">
        <f t="shared" si="26"/>
        <v>0</v>
      </c>
      <c r="CA56" s="376">
        <f t="shared" si="26"/>
        <v>0</v>
      </c>
      <c r="CB56" s="376">
        <f t="shared" si="26"/>
        <v>0</v>
      </c>
      <c r="CC56" s="376">
        <f t="shared" si="26"/>
        <v>0</v>
      </c>
      <c r="CD56" s="376">
        <f t="shared" si="26"/>
        <v>0</v>
      </c>
      <c r="CE56" s="376">
        <f t="shared" si="26"/>
        <v>0</v>
      </c>
      <c r="CF56" s="376">
        <f t="shared" si="22"/>
        <v>0</v>
      </c>
      <c r="CG56" s="376">
        <f t="shared" si="22"/>
        <v>0</v>
      </c>
      <c r="CH56" s="376">
        <f t="shared" si="22"/>
        <v>0</v>
      </c>
      <c r="CI56" s="376">
        <f t="shared" si="22"/>
        <v>0</v>
      </c>
      <c r="CJ56" s="376">
        <f t="shared" si="22"/>
        <v>0</v>
      </c>
      <c r="CK56" s="376">
        <f t="shared" si="22"/>
        <v>0</v>
      </c>
      <c r="CL56" s="376">
        <f t="shared" si="22"/>
        <v>0</v>
      </c>
      <c r="CM56" s="376">
        <f t="shared" si="22"/>
        <v>0</v>
      </c>
      <c r="CN56" s="376">
        <f t="shared" si="22"/>
        <v>0</v>
      </c>
      <c r="CO56" s="376">
        <f t="shared" si="22"/>
        <v>0</v>
      </c>
      <c r="CP56" s="376">
        <f t="shared" si="22"/>
        <v>0</v>
      </c>
      <c r="CQ56" s="376">
        <f t="shared" si="22"/>
        <v>0</v>
      </c>
      <c r="CR56" s="376">
        <f t="shared" si="8"/>
        <v>2.0000000000010232E-2</v>
      </c>
    </row>
    <row r="57" spans="2:96">
      <c r="B57" s="456"/>
      <c r="C57" s="456"/>
      <c r="D57" s="390">
        <v>54725.9</v>
      </c>
      <c r="E57" s="390">
        <f t="shared" si="6"/>
        <v>1520.163888888889</v>
      </c>
      <c r="F57" s="390">
        <f t="shared" si="7"/>
        <v>3</v>
      </c>
      <c r="G57" s="390">
        <v>36</v>
      </c>
      <c r="H57" s="391">
        <v>42405</v>
      </c>
      <c r="I57" s="392">
        <f t="shared" si="12"/>
        <v>43500</v>
      </c>
      <c r="J57" s="457"/>
      <c r="K57" s="393">
        <v>7617.46</v>
      </c>
      <c r="L57" s="394">
        <v>1523.49</v>
      </c>
      <c r="M57" s="394">
        <v>1523.49</v>
      </c>
      <c r="N57" s="394">
        <v>1523.49</v>
      </c>
      <c r="O57" s="394">
        <v>1523.49</v>
      </c>
      <c r="P57" s="394">
        <v>1523.49</v>
      </c>
      <c r="Q57" s="376">
        <v>0</v>
      </c>
      <c r="R57" s="376">
        <v>0</v>
      </c>
      <c r="S57" s="376">
        <v>0</v>
      </c>
      <c r="T57" s="376">
        <v>0</v>
      </c>
      <c r="U57" s="376">
        <f t="shared" ref="U57:AJ72" si="27">IF($I57&gt;U$7-30,$E57,0)</f>
        <v>0</v>
      </c>
      <c r="V57" s="376">
        <f t="shared" si="27"/>
        <v>0</v>
      </c>
      <c r="W57" s="376">
        <f t="shared" si="27"/>
        <v>0</v>
      </c>
      <c r="X57" s="376">
        <f t="shared" si="27"/>
        <v>0</v>
      </c>
      <c r="Y57" s="376">
        <f t="shared" si="27"/>
        <v>0</v>
      </c>
      <c r="Z57" s="376">
        <f t="shared" si="27"/>
        <v>0</v>
      </c>
      <c r="AA57" s="376">
        <f t="shared" si="27"/>
        <v>0</v>
      </c>
      <c r="AB57" s="376">
        <f t="shared" si="27"/>
        <v>0</v>
      </c>
      <c r="AC57" s="376">
        <f t="shared" si="27"/>
        <v>0</v>
      </c>
      <c r="AD57" s="376">
        <f t="shared" si="27"/>
        <v>0</v>
      </c>
      <c r="AE57" s="376">
        <f t="shared" si="27"/>
        <v>0</v>
      </c>
      <c r="AF57" s="376">
        <f t="shared" si="27"/>
        <v>0</v>
      </c>
      <c r="AG57" s="376">
        <f t="shared" si="27"/>
        <v>0</v>
      </c>
      <c r="AH57" s="376">
        <f t="shared" si="27"/>
        <v>0</v>
      </c>
      <c r="AI57" s="376">
        <f t="shared" si="27"/>
        <v>0</v>
      </c>
      <c r="AJ57" s="376">
        <f t="shared" si="27"/>
        <v>0</v>
      </c>
      <c r="AK57" s="376">
        <f t="shared" ref="AK57:AZ72" si="28">IF($I57&gt;AK$7-30,$E57,0)</f>
        <v>0</v>
      </c>
      <c r="AL57" s="376">
        <f t="shared" si="28"/>
        <v>0</v>
      </c>
      <c r="AM57" s="376">
        <f t="shared" si="28"/>
        <v>0</v>
      </c>
      <c r="AN57" s="376">
        <f t="shared" si="28"/>
        <v>0</v>
      </c>
      <c r="AO57" s="376">
        <f t="shared" si="28"/>
        <v>0</v>
      </c>
      <c r="AP57" s="376">
        <f t="shared" si="28"/>
        <v>0</v>
      </c>
      <c r="AQ57" s="376">
        <f t="shared" si="28"/>
        <v>0</v>
      </c>
      <c r="AR57" s="376">
        <f t="shared" si="28"/>
        <v>0</v>
      </c>
      <c r="AS57" s="376">
        <f t="shared" si="28"/>
        <v>0</v>
      </c>
      <c r="AT57" s="376">
        <f t="shared" si="28"/>
        <v>0</v>
      </c>
      <c r="AU57" s="376">
        <f t="shared" si="28"/>
        <v>0</v>
      </c>
      <c r="AV57" s="376">
        <f t="shared" si="28"/>
        <v>0</v>
      </c>
      <c r="AW57" s="376">
        <f t="shared" si="28"/>
        <v>0</v>
      </c>
      <c r="AX57" s="376">
        <f t="shared" si="28"/>
        <v>0</v>
      </c>
      <c r="AY57" s="376">
        <f t="shared" si="28"/>
        <v>0</v>
      </c>
      <c r="AZ57" s="376">
        <f t="shared" si="23"/>
        <v>0</v>
      </c>
      <c r="BA57" s="376">
        <f t="shared" si="23"/>
        <v>0</v>
      </c>
      <c r="BB57" s="376">
        <f t="shared" si="23"/>
        <v>0</v>
      </c>
      <c r="BC57" s="376">
        <f t="shared" si="23"/>
        <v>0</v>
      </c>
      <c r="BD57" s="376">
        <f t="shared" si="23"/>
        <v>0</v>
      </c>
      <c r="BE57" s="376">
        <f t="shared" si="23"/>
        <v>0</v>
      </c>
      <c r="BF57" s="376">
        <f t="shared" si="23"/>
        <v>0</v>
      </c>
      <c r="BG57" s="376">
        <f t="shared" si="23"/>
        <v>0</v>
      </c>
      <c r="BH57" s="376">
        <f t="shared" si="23"/>
        <v>0</v>
      </c>
      <c r="BI57" s="376">
        <f t="shared" si="23"/>
        <v>0</v>
      </c>
      <c r="BJ57" s="376">
        <f t="shared" si="23"/>
        <v>0</v>
      </c>
      <c r="BK57" s="376">
        <f t="shared" si="23"/>
        <v>0</v>
      </c>
      <c r="BL57" s="376">
        <f t="shared" si="23"/>
        <v>0</v>
      </c>
      <c r="BM57" s="376">
        <f t="shared" si="23"/>
        <v>0</v>
      </c>
      <c r="BN57" s="376">
        <f t="shared" si="23"/>
        <v>0</v>
      </c>
      <c r="BO57" s="376">
        <f t="shared" si="23"/>
        <v>0</v>
      </c>
      <c r="BP57" s="376">
        <f t="shared" si="26"/>
        <v>0</v>
      </c>
      <c r="BQ57" s="376">
        <f t="shared" si="26"/>
        <v>0</v>
      </c>
      <c r="BR57" s="376">
        <f t="shared" si="26"/>
        <v>0</v>
      </c>
      <c r="BS57" s="376">
        <f t="shared" si="26"/>
        <v>0</v>
      </c>
      <c r="BT57" s="376">
        <f t="shared" si="26"/>
        <v>0</v>
      </c>
      <c r="BU57" s="376">
        <f t="shared" si="26"/>
        <v>0</v>
      </c>
      <c r="BV57" s="376">
        <f t="shared" si="26"/>
        <v>0</v>
      </c>
      <c r="BW57" s="376">
        <f t="shared" si="26"/>
        <v>0</v>
      </c>
      <c r="BX57" s="376">
        <f t="shared" si="26"/>
        <v>0</v>
      </c>
      <c r="BY57" s="376">
        <f t="shared" si="26"/>
        <v>0</v>
      </c>
      <c r="BZ57" s="376">
        <f t="shared" si="26"/>
        <v>0</v>
      </c>
      <c r="CA57" s="376">
        <f t="shared" si="26"/>
        <v>0</v>
      </c>
      <c r="CB57" s="376">
        <f t="shared" si="26"/>
        <v>0</v>
      </c>
      <c r="CC57" s="376">
        <f t="shared" si="26"/>
        <v>0</v>
      </c>
      <c r="CD57" s="376">
        <f t="shared" si="26"/>
        <v>0</v>
      </c>
      <c r="CE57" s="376">
        <f t="shared" si="26"/>
        <v>0</v>
      </c>
      <c r="CF57" s="376">
        <f t="shared" si="22"/>
        <v>0</v>
      </c>
      <c r="CG57" s="376">
        <f t="shared" si="22"/>
        <v>0</v>
      </c>
      <c r="CH57" s="376">
        <f t="shared" si="22"/>
        <v>0</v>
      </c>
      <c r="CI57" s="376">
        <f t="shared" si="22"/>
        <v>0</v>
      </c>
      <c r="CJ57" s="376">
        <f t="shared" si="22"/>
        <v>0</v>
      </c>
      <c r="CK57" s="376">
        <f t="shared" si="22"/>
        <v>0</v>
      </c>
      <c r="CL57" s="376">
        <f t="shared" si="22"/>
        <v>0</v>
      </c>
      <c r="CM57" s="376">
        <f t="shared" si="22"/>
        <v>0</v>
      </c>
      <c r="CN57" s="376">
        <f t="shared" si="22"/>
        <v>0</v>
      </c>
      <c r="CO57" s="376">
        <f t="shared" si="22"/>
        <v>0</v>
      </c>
      <c r="CP57" s="376">
        <f t="shared" si="22"/>
        <v>0</v>
      </c>
      <c r="CQ57" s="376">
        <f t="shared" si="22"/>
        <v>0</v>
      </c>
      <c r="CR57" s="376">
        <f t="shared" si="8"/>
        <v>1.0000000000218279E-2</v>
      </c>
    </row>
    <row r="58" spans="2:96">
      <c r="B58" s="456"/>
      <c r="C58" s="456"/>
      <c r="D58" s="390">
        <v>40438.9</v>
      </c>
      <c r="E58" s="390">
        <f t="shared" si="6"/>
        <v>1123.3027777777779</v>
      </c>
      <c r="F58" s="390">
        <f t="shared" si="7"/>
        <v>3</v>
      </c>
      <c r="G58" s="390">
        <v>36</v>
      </c>
      <c r="H58" s="391">
        <v>42272</v>
      </c>
      <c r="I58" s="395">
        <f t="shared" si="12"/>
        <v>43367</v>
      </c>
      <c r="J58" s="457"/>
      <c r="K58" s="393">
        <v>1040.1199999999999</v>
      </c>
      <c r="L58" s="394">
        <v>1040.1199999999999</v>
      </c>
      <c r="M58" s="376">
        <v>0</v>
      </c>
      <c r="N58" s="376">
        <v>0</v>
      </c>
      <c r="O58" s="376">
        <v>0</v>
      </c>
      <c r="P58" s="376">
        <v>0</v>
      </c>
      <c r="Q58" s="376">
        <v>0</v>
      </c>
      <c r="R58" s="376">
        <v>0</v>
      </c>
      <c r="S58" s="376">
        <v>0</v>
      </c>
      <c r="T58" s="376">
        <v>0</v>
      </c>
      <c r="U58" s="376">
        <f t="shared" si="27"/>
        <v>0</v>
      </c>
      <c r="V58" s="376">
        <f t="shared" si="27"/>
        <v>0</v>
      </c>
      <c r="W58" s="376">
        <f t="shared" si="27"/>
        <v>0</v>
      </c>
      <c r="X58" s="376">
        <f t="shared" si="27"/>
        <v>0</v>
      </c>
      <c r="Y58" s="376">
        <f t="shared" si="27"/>
        <v>0</v>
      </c>
      <c r="Z58" s="376">
        <f t="shared" si="27"/>
        <v>0</v>
      </c>
      <c r="AA58" s="376">
        <f t="shared" si="27"/>
        <v>0</v>
      </c>
      <c r="AB58" s="376">
        <f t="shared" si="27"/>
        <v>0</v>
      </c>
      <c r="AC58" s="376">
        <f t="shared" si="27"/>
        <v>0</v>
      </c>
      <c r="AD58" s="376">
        <f t="shared" si="27"/>
        <v>0</v>
      </c>
      <c r="AE58" s="376">
        <f t="shared" si="27"/>
        <v>0</v>
      </c>
      <c r="AF58" s="376">
        <f t="shared" si="27"/>
        <v>0</v>
      </c>
      <c r="AG58" s="376">
        <f t="shared" si="27"/>
        <v>0</v>
      </c>
      <c r="AH58" s="376">
        <f t="shared" si="27"/>
        <v>0</v>
      </c>
      <c r="AI58" s="376">
        <f t="shared" si="27"/>
        <v>0</v>
      </c>
      <c r="AJ58" s="376">
        <f t="shared" si="27"/>
        <v>0</v>
      </c>
      <c r="AK58" s="376">
        <f t="shared" si="28"/>
        <v>0</v>
      </c>
      <c r="AL58" s="376">
        <f t="shared" si="28"/>
        <v>0</v>
      </c>
      <c r="AM58" s="376">
        <f t="shared" si="28"/>
        <v>0</v>
      </c>
      <c r="AN58" s="376">
        <f t="shared" si="28"/>
        <v>0</v>
      </c>
      <c r="AO58" s="376">
        <f t="shared" si="28"/>
        <v>0</v>
      </c>
      <c r="AP58" s="376">
        <f t="shared" si="28"/>
        <v>0</v>
      </c>
      <c r="AQ58" s="376">
        <f t="shared" si="28"/>
        <v>0</v>
      </c>
      <c r="AR58" s="376">
        <f t="shared" si="28"/>
        <v>0</v>
      </c>
      <c r="AS58" s="376">
        <f t="shared" si="28"/>
        <v>0</v>
      </c>
      <c r="AT58" s="376">
        <f t="shared" si="28"/>
        <v>0</v>
      </c>
      <c r="AU58" s="376">
        <f t="shared" si="28"/>
        <v>0</v>
      </c>
      <c r="AV58" s="376">
        <f t="shared" si="28"/>
        <v>0</v>
      </c>
      <c r="AW58" s="376">
        <f t="shared" si="28"/>
        <v>0</v>
      </c>
      <c r="AX58" s="376">
        <f t="shared" si="28"/>
        <v>0</v>
      </c>
      <c r="AY58" s="376">
        <f t="shared" si="28"/>
        <v>0</v>
      </c>
      <c r="AZ58" s="376">
        <f t="shared" si="23"/>
        <v>0</v>
      </c>
      <c r="BA58" s="376">
        <f t="shared" si="23"/>
        <v>0</v>
      </c>
      <c r="BB58" s="376">
        <f t="shared" si="23"/>
        <v>0</v>
      </c>
      <c r="BC58" s="376">
        <f t="shared" si="23"/>
        <v>0</v>
      </c>
      <c r="BD58" s="376">
        <f t="shared" si="23"/>
        <v>0</v>
      </c>
      <c r="BE58" s="376">
        <f t="shared" si="23"/>
        <v>0</v>
      </c>
      <c r="BF58" s="376">
        <f t="shared" si="23"/>
        <v>0</v>
      </c>
      <c r="BG58" s="376">
        <f t="shared" si="23"/>
        <v>0</v>
      </c>
      <c r="BH58" s="376">
        <f t="shared" si="23"/>
        <v>0</v>
      </c>
      <c r="BI58" s="376">
        <f t="shared" si="23"/>
        <v>0</v>
      </c>
      <c r="BJ58" s="376">
        <f t="shared" si="23"/>
        <v>0</v>
      </c>
      <c r="BK58" s="376">
        <f t="shared" si="23"/>
        <v>0</v>
      </c>
      <c r="BL58" s="376">
        <f t="shared" si="23"/>
        <v>0</v>
      </c>
      <c r="BM58" s="376">
        <f t="shared" si="23"/>
        <v>0</v>
      </c>
      <c r="BN58" s="376">
        <f t="shared" si="23"/>
        <v>0</v>
      </c>
      <c r="BO58" s="376">
        <f t="shared" si="23"/>
        <v>0</v>
      </c>
      <c r="BP58" s="376">
        <f t="shared" si="26"/>
        <v>0</v>
      </c>
      <c r="BQ58" s="376">
        <f t="shared" si="26"/>
        <v>0</v>
      </c>
      <c r="BR58" s="376">
        <f t="shared" si="26"/>
        <v>0</v>
      </c>
      <c r="BS58" s="376">
        <f t="shared" si="26"/>
        <v>0</v>
      </c>
      <c r="BT58" s="376">
        <f t="shared" si="26"/>
        <v>0</v>
      </c>
      <c r="BU58" s="376">
        <f t="shared" si="26"/>
        <v>0</v>
      </c>
      <c r="BV58" s="376">
        <f t="shared" si="26"/>
        <v>0</v>
      </c>
      <c r="BW58" s="376">
        <f t="shared" si="26"/>
        <v>0</v>
      </c>
      <c r="BX58" s="376">
        <f t="shared" si="26"/>
        <v>0</v>
      </c>
      <c r="BY58" s="376">
        <f t="shared" si="26"/>
        <v>0</v>
      </c>
      <c r="BZ58" s="376">
        <f t="shared" si="26"/>
        <v>0</v>
      </c>
      <c r="CA58" s="376">
        <f t="shared" si="26"/>
        <v>0</v>
      </c>
      <c r="CB58" s="376">
        <f t="shared" si="26"/>
        <v>0</v>
      </c>
      <c r="CC58" s="376">
        <f t="shared" si="26"/>
        <v>0</v>
      </c>
      <c r="CD58" s="376">
        <f t="shared" si="26"/>
        <v>0</v>
      </c>
      <c r="CE58" s="376">
        <f t="shared" si="26"/>
        <v>0</v>
      </c>
      <c r="CF58" s="376">
        <f t="shared" si="22"/>
        <v>0</v>
      </c>
      <c r="CG58" s="376">
        <f t="shared" si="22"/>
        <v>0</v>
      </c>
      <c r="CH58" s="376">
        <f t="shared" si="22"/>
        <v>0</v>
      </c>
      <c r="CI58" s="376">
        <f t="shared" si="22"/>
        <v>0</v>
      </c>
      <c r="CJ58" s="376">
        <f t="shared" si="22"/>
        <v>0</v>
      </c>
      <c r="CK58" s="376">
        <f t="shared" si="22"/>
        <v>0</v>
      </c>
      <c r="CL58" s="376">
        <f t="shared" si="22"/>
        <v>0</v>
      </c>
      <c r="CM58" s="376">
        <f t="shared" si="22"/>
        <v>0</v>
      </c>
      <c r="CN58" s="376">
        <f t="shared" si="22"/>
        <v>0</v>
      </c>
      <c r="CO58" s="376">
        <f t="shared" si="22"/>
        <v>0</v>
      </c>
      <c r="CP58" s="376">
        <f t="shared" si="22"/>
        <v>0</v>
      </c>
      <c r="CQ58" s="376">
        <f t="shared" si="22"/>
        <v>0</v>
      </c>
      <c r="CR58" s="376">
        <f t="shared" si="8"/>
        <v>0</v>
      </c>
    </row>
    <row r="59" spans="2:96">
      <c r="B59" s="456"/>
      <c r="C59" s="456"/>
      <c r="D59" s="390">
        <v>12253</v>
      </c>
      <c r="E59" s="390">
        <f t="shared" si="6"/>
        <v>340.36111111111109</v>
      </c>
      <c r="F59" s="390">
        <f t="shared" si="7"/>
        <v>3</v>
      </c>
      <c r="G59" s="390">
        <v>36</v>
      </c>
      <c r="H59" s="391">
        <v>42638</v>
      </c>
      <c r="I59" s="392">
        <f t="shared" si="12"/>
        <v>43733</v>
      </c>
      <c r="J59" s="456"/>
      <c r="K59" s="393">
        <v>4084.36</v>
      </c>
      <c r="L59" s="394">
        <v>340.36</v>
      </c>
      <c r="M59" s="394">
        <v>340.36</v>
      </c>
      <c r="N59" s="394">
        <v>340.36</v>
      </c>
      <c r="O59" s="394">
        <v>340.36</v>
      </c>
      <c r="P59" s="394">
        <v>340.36</v>
      </c>
      <c r="Q59" s="394">
        <v>340.36</v>
      </c>
      <c r="R59" s="394">
        <v>340.36</v>
      </c>
      <c r="S59" s="394">
        <v>340.36</v>
      </c>
      <c r="T59" s="394">
        <v>340.36</v>
      </c>
      <c r="U59" s="394">
        <f t="shared" si="27"/>
        <v>340.36111111111109</v>
      </c>
      <c r="V59" s="394">
        <f t="shared" si="27"/>
        <v>340.36111111111109</v>
      </c>
      <c r="W59" s="394">
        <f t="shared" si="27"/>
        <v>340.36111111111109</v>
      </c>
      <c r="X59" s="394">
        <f t="shared" si="27"/>
        <v>0</v>
      </c>
      <c r="Y59" s="394">
        <f t="shared" si="27"/>
        <v>0</v>
      </c>
      <c r="Z59" s="394">
        <f t="shared" si="27"/>
        <v>0</v>
      </c>
      <c r="AA59" s="394">
        <f t="shared" si="27"/>
        <v>0</v>
      </c>
      <c r="AB59" s="394">
        <f t="shared" si="27"/>
        <v>0</v>
      </c>
      <c r="AC59" s="394">
        <f t="shared" si="27"/>
        <v>0</v>
      </c>
      <c r="AD59" s="394">
        <f t="shared" si="27"/>
        <v>0</v>
      </c>
      <c r="AE59" s="394">
        <f t="shared" si="27"/>
        <v>0</v>
      </c>
      <c r="AF59" s="394">
        <f t="shared" si="27"/>
        <v>0</v>
      </c>
      <c r="AG59" s="394">
        <f t="shared" si="27"/>
        <v>0</v>
      </c>
      <c r="AH59" s="394">
        <f t="shared" si="27"/>
        <v>0</v>
      </c>
      <c r="AI59" s="394">
        <f t="shared" si="27"/>
        <v>0</v>
      </c>
      <c r="AJ59" s="394">
        <f t="shared" si="27"/>
        <v>0</v>
      </c>
      <c r="AK59" s="394">
        <f t="shared" si="28"/>
        <v>0</v>
      </c>
      <c r="AL59" s="394">
        <f t="shared" si="28"/>
        <v>0</v>
      </c>
      <c r="AM59" s="394">
        <f t="shared" si="28"/>
        <v>0</v>
      </c>
      <c r="AN59" s="394">
        <f t="shared" si="28"/>
        <v>0</v>
      </c>
      <c r="AO59" s="394">
        <f t="shared" si="28"/>
        <v>0</v>
      </c>
      <c r="AP59" s="394">
        <f t="shared" si="28"/>
        <v>0</v>
      </c>
      <c r="AQ59" s="394">
        <f t="shared" si="28"/>
        <v>0</v>
      </c>
      <c r="AR59" s="394">
        <f t="shared" si="28"/>
        <v>0</v>
      </c>
      <c r="AS59" s="394">
        <f t="shared" si="28"/>
        <v>0</v>
      </c>
      <c r="AT59" s="394">
        <f t="shared" si="28"/>
        <v>0</v>
      </c>
      <c r="AU59" s="394">
        <f t="shared" si="28"/>
        <v>0</v>
      </c>
      <c r="AV59" s="394">
        <f t="shared" si="28"/>
        <v>0</v>
      </c>
      <c r="AW59" s="394">
        <f t="shared" si="28"/>
        <v>0</v>
      </c>
      <c r="AX59" s="394">
        <f t="shared" si="28"/>
        <v>0</v>
      </c>
      <c r="AY59" s="394">
        <f t="shared" si="28"/>
        <v>0</v>
      </c>
      <c r="AZ59" s="394">
        <f t="shared" si="23"/>
        <v>0</v>
      </c>
      <c r="BA59" s="394">
        <f t="shared" si="23"/>
        <v>0</v>
      </c>
      <c r="BB59" s="394">
        <f t="shared" si="23"/>
        <v>0</v>
      </c>
      <c r="BC59" s="394">
        <f t="shared" si="23"/>
        <v>0</v>
      </c>
      <c r="BD59" s="394">
        <f t="shared" si="23"/>
        <v>0</v>
      </c>
      <c r="BE59" s="394">
        <f t="shared" si="23"/>
        <v>0</v>
      </c>
      <c r="BF59" s="394">
        <f t="shared" si="23"/>
        <v>0</v>
      </c>
      <c r="BG59" s="394">
        <f t="shared" si="23"/>
        <v>0</v>
      </c>
      <c r="BH59" s="394">
        <f t="shared" si="23"/>
        <v>0</v>
      </c>
      <c r="BI59" s="394">
        <f t="shared" si="23"/>
        <v>0</v>
      </c>
      <c r="BJ59" s="394">
        <f t="shared" si="23"/>
        <v>0</v>
      </c>
      <c r="BK59" s="394">
        <f t="shared" si="23"/>
        <v>0</v>
      </c>
      <c r="BL59" s="394">
        <f t="shared" si="23"/>
        <v>0</v>
      </c>
      <c r="BM59" s="394">
        <f t="shared" si="23"/>
        <v>0</v>
      </c>
      <c r="BN59" s="394">
        <f t="shared" si="23"/>
        <v>0</v>
      </c>
      <c r="BO59" s="394">
        <f t="shared" si="23"/>
        <v>0</v>
      </c>
      <c r="BP59" s="394">
        <f t="shared" si="26"/>
        <v>0</v>
      </c>
      <c r="BQ59" s="394">
        <f t="shared" si="26"/>
        <v>0</v>
      </c>
      <c r="BR59" s="394">
        <f t="shared" si="26"/>
        <v>0</v>
      </c>
      <c r="BS59" s="394">
        <f t="shared" si="26"/>
        <v>0</v>
      </c>
      <c r="BT59" s="394">
        <f t="shared" si="26"/>
        <v>0</v>
      </c>
      <c r="BU59" s="394">
        <f t="shared" si="26"/>
        <v>0</v>
      </c>
      <c r="BV59" s="394">
        <f t="shared" si="26"/>
        <v>0</v>
      </c>
      <c r="BW59" s="394">
        <f t="shared" si="26"/>
        <v>0</v>
      </c>
      <c r="BX59" s="394">
        <f t="shared" si="26"/>
        <v>0</v>
      </c>
      <c r="BY59" s="394">
        <f t="shared" si="26"/>
        <v>0</v>
      </c>
      <c r="BZ59" s="394">
        <f t="shared" si="26"/>
        <v>0</v>
      </c>
      <c r="CA59" s="394">
        <f t="shared" si="26"/>
        <v>0</v>
      </c>
      <c r="CB59" s="394">
        <f t="shared" si="26"/>
        <v>0</v>
      </c>
      <c r="CC59" s="394">
        <f t="shared" si="26"/>
        <v>0</v>
      </c>
      <c r="CD59" s="394">
        <f t="shared" si="26"/>
        <v>0</v>
      </c>
      <c r="CE59" s="394">
        <f t="shared" si="26"/>
        <v>0</v>
      </c>
      <c r="CF59" s="394">
        <f t="shared" si="22"/>
        <v>0</v>
      </c>
      <c r="CG59" s="394">
        <f t="shared" si="22"/>
        <v>0</v>
      </c>
      <c r="CH59" s="394">
        <f t="shared" si="22"/>
        <v>0</v>
      </c>
      <c r="CI59" s="394">
        <f t="shared" si="22"/>
        <v>0</v>
      </c>
      <c r="CJ59" s="394">
        <f t="shared" si="22"/>
        <v>0</v>
      </c>
      <c r="CK59" s="394">
        <f t="shared" si="22"/>
        <v>0</v>
      </c>
      <c r="CL59" s="394">
        <f t="shared" si="22"/>
        <v>0</v>
      </c>
      <c r="CM59" s="394">
        <f t="shared" si="22"/>
        <v>0</v>
      </c>
      <c r="CN59" s="394">
        <f t="shared" si="22"/>
        <v>0</v>
      </c>
      <c r="CO59" s="394">
        <f t="shared" si="22"/>
        <v>0</v>
      </c>
      <c r="CP59" s="394">
        <f t="shared" si="22"/>
        <v>0</v>
      </c>
      <c r="CQ59" s="394">
        <f t="shared" si="22"/>
        <v>0</v>
      </c>
      <c r="CR59" s="394">
        <f t="shared" si="8"/>
        <v>3.666666666549645E-2</v>
      </c>
    </row>
    <row r="60" spans="2:96">
      <c r="B60" s="456"/>
      <c r="C60" s="456"/>
      <c r="D60" s="390">
        <v>36491.589999999997</v>
      </c>
      <c r="E60" s="390">
        <f t="shared" si="6"/>
        <v>1013.6552777777777</v>
      </c>
      <c r="F60" s="390">
        <f t="shared" si="7"/>
        <v>3</v>
      </c>
      <c r="G60" s="390">
        <v>36</v>
      </c>
      <c r="H60" s="391">
        <v>42673</v>
      </c>
      <c r="I60" s="395">
        <f t="shared" si="12"/>
        <v>43768</v>
      </c>
      <c r="J60" s="458"/>
      <c r="K60" s="393">
        <v>13617.4</v>
      </c>
      <c r="L60" s="394">
        <v>994.53</v>
      </c>
      <c r="M60" s="394">
        <v>994.53</v>
      </c>
      <c r="N60" s="394">
        <v>994.53</v>
      </c>
      <c r="O60" s="394">
        <v>994.53</v>
      </c>
      <c r="P60" s="394">
        <v>994.53</v>
      </c>
      <c r="Q60" s="394">
        <v>994.53</v>
      </c>
      <c r="R60" s="394">
        <v>994.53</v>
      </c>
      <c r="S60" s="394">
        <v>994.53</v>
      </c>
      <c r="T60" s="394">
        <v>994.53</v>
      </c>
      <c r="U60" s="394">
        <f t="shared" si="27"/>
        <v>1013.6552777777777</v>
      </c>
      <c r="V60" s="394">
        <f t="shared" si="27"/>
        <v>1013.6552777777777</v>
      </c>
      <c r="W60" s="394">
        <f t="shared" si="27"/>
        <v>1013.6552777777777</v>
      </c>
      <c r="X60" s="394">
        <f t="shared" si="27"/>
        <v>1013.6552777777777</v>
      </c>
      <c r="Y60" s="394">
        <v>612.01</v>
      </c>
      <c r="Z60" s="394">
        <f t="shared" si="27"/>
        <v>0</v>
      </c>
      <c r="AA60" s="394">
        <f t="shared" si="27"/>
        <v>0</v>
      </c>
      <c r="AB60" s="394">
        <f t="shared" si="27"/>
        <v>0</v>
      </c>
      <c r="AC60" s="394">
        <f t="shared" si="27"/>
        <v>0</v>
      </c>
      <c r="AD60" s="394">
        <f t="shared" si="27"/>
        <v>0</v>
      </c>
      <c r="AE60" s="394">
        <f t="shared" si="27"/>
        <v>0</v>
      </c>
      <c r="AF60" s="394">
        <f t="shared" si="27"/>
        <v>0</v>
      </c>
      <c r="AG60" s="394">
        <f t="shared" si="27"/>
        <v>0</v>
      </c>
      <c r="AH60" s="394">
        <f t="shared" si="27"/>
        <v>0</v>
      </c>
      <c r="AI60" s="394">
        <f t="shared" si="27"/>
        <v>0</v>
      </c>
      <c r="AJ60" s="394">
        <f t="shared" si="27"/>
        <v>0</v>
      </c>
      <c r="AK60" s="394">
        <f t="shared" si="28"/>
        <v>0</v>
      </c>
      <c r="AL60" s="394">
        <f t="shared" si="28"/>
        <v>0</v>
      </c>
      <c r="AM60" s="394">
        <f t="shared" si="28"/>
        <v>0</v>
      </c>
      <c r="AN60" s="394">
        <f t="shared" si="28"/>
        <v>0</v>
      </c>
      <c r="AO60" s="394">
        <f t="shared" si="28"/>
        <v>0</v>
      </c>
      <c r="AP60" s="394">
        <f t="shared" si="28"/>
        <v>0</v>
      </c>
      <c r="AQ60" s="394">
        <f t="shared" si="28"/>
        <v>0</v>
      </c>
      <c r="AR60" s="394">
        <f t="shared" si="28"/>
        <v>0</v>
      </c>
      <c r="AS60" s="394">
        <f t="shared" si="28"/>
        <v>0</v>
      </c>
      <c r="AT60" s="394">
        <f t="shared" si="28"/>
        <v>0</v>
      </c>
      <c r="AU60" s="394">
        <f t="shared" si="28"/>
        <v>0</v>
      </c>
      <c r="AV60" s="394">
        <f t="shared" si="28"/>
        <v>0</v>
      </c>
      <c r="AW60" s="394">
        <f t="shared" si="28"/>
        <v>0</v>
      </c>
      <c r="AX60" s="394">
        <f t="shared" si="28"/>
        <v>0</v>
      </c>
      <c r="AY60" s="394">
        <f t="shared" si="28"/>
        <v>0</v>
      </c>
      <c r="AZ60" s="394">
        <f t="shared" si="23"/>
        <v>0</v>
      </c>
      <c r="BA60" s="394">
        <f t="shared" si="23"/>
        <v>0</v>
      </c>
      <c r="BB60" s="394">
        <f t="shared" si="23"/>
        <v>0</v>
      </c>
      <c r="BC60" s="394">
        <f t="shared" si="23"/>
        <v>0</v>
      </c>
      <c r="BD60" s="394">
        <f t="shared" si="23"/>
        <v>0</v>
      </c>
      <c r="BE60" s="394">
        <f t="shared" si="23"/>
        <v>0</v>
      </c>
      <c r="BF60" s="394">
        <f t="shared" si="23"/>
        <v>0</v>
      </c>
      <c r="BG60" s="394">
        <f t="shared" si="23"/>
        <v>0</v>
      </c>
      <c r="BH60" s="394">
        <f t="shared" si="23"/>
        <v>0</v>
      </c>
      <c r="BI60" s="394">
        <f t="shared" si="23"/>
        <v>0</v>
      </c>
      <c r="BJ60" s="394">
        <f t="shared" si="23"/>
        <v>0</v>
      </c>
      <c r="BK60" s="394">
        <f t="shared" si="23"/>
        <v>0</v>
      </c>
      <c r="BL60" s="394">
        <f t="shared" si="23"/>
        <v>0</v>
      </c>
      <c r="BM60" s="394">
        <f t="shared" si="23"/>
        <v>0</v>
      </c>
      <c r="BN60" s="394">
        <f t="shared" si="23"/>
        <v>0</v>
      </c>
      <c r="BO60" s="394">
        <f t="shared" si="23"/>
        <v>0</v>
      </c>
      <c r="BP60" s="394">
        <f t="shared" si="26"/>
        <v>0</v>
      </c>
      <c r="BQ60" s="394">
        <f t="shared" si="26"/>
        <v>0</v>
      </c>
      <c r="BR60" s="394">
        <f t="shared" si="26"/>
        <v>0</v>
      </c>
      <c r="BS60" s="394">
        <f t="shared" si="26"/>
        <v>0</v>
      </c>
      <c r="BT60" s="394">
        <f t="shared" si="26"/>
        <v>0</v>
      </c>
      <c r="BU60" s="394">
        <f t="shared" si="26"/>
        <v>0</v>
      </c>
      <c r="BV60" s="394">
        <f t="shared" si="26"/>
        <v>0</v>
      </c>
      <c r="BW60" s="394">
        <f t="shared" si="26"/>
        <v>0</v>
      </c>
      <c r="BX60" s="394">
        <f t="shared" si="26"/>
        <v>0</v>
      </c>
      <c r="BY60" s="394">
        <f t="shared" si="26"/>
        <v>0</v>
      </c>
      <c r="BZ60" s="394">
        <f t="shared" si="26"/>
        <v>0</v>
      </c>
      <c r="CA60" s="394">
        <f t="shared" si="26"/>
        <v>0</v>
      </c>
      <c r="CB60" s="394">
        <f t="shared" si="26"/>
        <v>0</v>
      </c>
      <c r="CC60" s="394">
        <f t="shared" si="26"/>
        <v>0</v>
      </c>
      <c r="CD60" s="394">
        <f t="shared" si="26"/>
        <v>0</v>
      </c>
      <c r="CE60" s="394">
        <f t="shared" si="26"/>
        <v>0</v>
      </c>
      <c r="CF60" s="394">
        <f t="shared" si="22"/>
        <v>0</v>
      </c>
      <c r="CG60" s="394">
        <f t="shared" si="22"/>
        <v>0</v>
      </c>
      <c r="CH60" s="394">
        <f t="shared" si="22"/>
        <v>0</v>
      </c>
      <c r="CI60" s="394">
        <f t="shared" si="22"/>
        <v>0</v>
      </c>
      <c r="CJ60" s="394">
        <f t="shared" si="22"/>
        <v>0</v>
      </c>
      <c r="CK60" s="394">
        <f t="shared" si="22"/>
        <v>0</v>
      </c>
      <c r="CL60" s="394">
        <f t="shared" si="22"/>
        <v>0</v>
      </c>
      <c r="CM60" s="394">
        <f t="shared" si="22"/>
        <v>0</v>
      </c>
      <c r="CN60" s="394">
        <f t="shared" si="22"/>
        <v>0</v>
      </c>
      <c r="CO60" s="394">
        <f t="shared" si="22"/>
        <v>0</v>
      </c>
      <c r="CP60" s="394">
        <f t="shared" si="22"/>
        <v>0</v>
      </c>
      <c r="CQ60" s="394">
        <f t="shared" si="22"/>
        <v>0</v>
      </c>
      <c r="CR60" s="394">
        <f t="shared" si="8"/>
        <v>-1.1111111107311444E-3</v>
      </c>
    </row>
    <row r="61" spans="2:96">
      <c r="B61" s="456"/>
      <c r="C61" s="456"/>
      <c r="D61" s="390">
        <v>8458.9500000000007</v>
      </c>
      <c r="E61" s="390">
        <f t="shared" si="6"/>
        <v>234.97083333333336</v>
      </c>
      <c r="F61" s="390">
        <f t="shared" si="7"/>
        <v>3</v>
      </c>
      <c r="G61" s="390">
        <v>36</v>
      </c>
      <c r="H61" s="391">
        <v>42673</v>
      </c>
      <c r="I61" s="395">
        <f t="shared" si="12"/>
        <v>43768</v>
      </c>
      <c r="J61" s="458"/>
      <c r="K61" s="393">
        <v>3156.53</v>
      </c>
      <c r="L61" s="394">
        <v>230.54</v>
      </c>
      <c r="M61" s="394">
        <v>230.54</v>
      </c>
      <c r="N61" s="394">
        <v>230.54</v>
      </c>
      <c r="O61" s="394">
        <v>230.54</v>
      </c>
      <c r="P61" s="394">
        <v>230.54</v>
      </c>
      <c r="Q61" s="394">
        <v>230.54</v>
      </c>
      <c r="R61" s="394">
        <v>230.54</v>
      </c>
      <c r="S61" s="394">
        <v>230.54</v>
      </c>
      <c r="T61" s="394">
        <v>230.54</v>
      </c>
      <c r="U61" s="394">
        <f t="shared" si="27"/>
        <v>234.97083333333336</v>
      </c>
      <c r="V61" s="394">
        <f t="shared" si="27"/>
        <v>234.97083333333336</v>
      </c>
      <c r="W61" s="394">
        <f t="shared" si="27"/>
        <v>234.97083333333336</v>
      </c>
      <c r="X61" s="394">
        <f t="shared" si="27"/>
        <v>234.97083333333336</v>
      </c>
      <c r="Y61" s="394">
        <v>141.57</v>
      </c>
      <c r="Z61" s="394">
        <f t="shared" si="27"/>
        <v>0</v>
      </c>
      <c r="AA61" s="394">
        <f t="shared" si="27"/>
        <v>0</v>
      </c>
      <c r="AB61" s="394">
        <f t="shared" si="27"/>
        <v>0</v>
      </c>
      <c r="AC61" s="394">
        <f t="shared" si="27"/>
        <v>0</v>
      </c>
      <c r="AD61" s="394">
        <f t="shared" si="27"/>
        <v>0</v>
      </c>
      <c r="AE61" s="394">
        <f t="shared" si="27"/>
        <v>0</v>
      </c>
      <c r="AF61" s="394">
        <f t="shared" si="27"/>
        <v>0</v>
      </c>
      <c r="AG61" s="394">
        <f t="shared" si="27"/>
        <v>0</v>
      </c>
      <c r="AH61" s="394">
        <f t="shared" si="27"/>
        <v>0</v>
      </c>
      <c r="AI61" s="394">
        <f t="shared" si="27"/>
        <v>0</v>
      </c>
      <c r="AJ61" s="394">
        <f t="shared" si="27"/>
        <v>0</v>
      </c>
      <c r="AK61" s="394">
        <f t="shared" si="28"/>
        <v>0</v>
      </c>
      <c r="AL61" s="394">
        <f t="shared" si="28"/>
        <v>0</v>
      </c>
      <c r="AM61" s="394">
        <f t="shared" si="28"/>
        <v>0</v>
      </c>
      <c r="AN61" s="394">
        <f t="shared" si="28"/>
        <v>0</v>
      </c>
      <c r="AO61" s="394">
        <f t="shared" si="28"/>
        <v>0</v>
      </c>
      <c r="AP61" s="394">
        <f t="shared" si="28"/>
        <v>0</v>
      </c>
      <c r="AQ61" s="394">
        <f t="shared" si="28"/>
        <v>0</v>
      </c>
      <c r="AR61" s="394">
        <f t="shared" si="28"/>
        <v>0</v>
      </c>
      <c r="AS61" s="394">
        <f t="shared" si="28"/>
        <v>0</v>
      </c>
      <c r="AT61" s="394">
        <f t="shared" si="28"/>
        <v>0</v>
      </c>
      <c r="AU61" s="394">
        <f t="shared" si="28"/>
        <v>0</v>
      </c>
      <c r="AV61" s="394">
        <f t="shared" si="28"/>
        <v>0</v>
      </c>
      <c r="AW61" s="394">
        <f t="shared" si="28"/>
        <v>0</v>
      </c>
      <c r="AX61" s="394">
        <f t="shared" si="28"/>
        <v>0</v>
      </c>
      <c r="AY61" s="394">
        <f t="shared" si="28"/>
        <v>0</v>
      </c>
      <c r="AZ61" s="394">
        <f t="shared" si="23"/>
        <v>0</v>
      </c>
      <c r="BA61" s="394">
        <f t="shared" si="23"/>
        <v>0</v>
      </c>
      <c r="BB61" s="394">
        <f t="shared" si="23"/>
        <v>0</v>
      </c>
      <c r="BC61" s="394">
        <f t="shared" si="23"/>
        <v>0</v>
      </c>
      <c r="BD61" s="394">
        <f t="shared" si="23"/>
        <v>0</v>
      </c>
      <c r="BE61" s="394">
        <f t="shared" si="23"/>
        <v>0</v>
      </c>
      <c r="BF61" s="394">
        <f t="shared" si="23"/>
        <v>0</v>
      </c>
      <c r="BG61" s="394">
        <f t="shared" si="23"/>
        <v>0</v>
      </c>
      <c r="BH61" s="394">
        <f t="shared" si="23"/>
        <v>0</v>
      </c>
      <c r="BI61" s="394">
        <f t="shared" si="23"/>
        <v>0</v>
      </c>
      <c r="BJ61" s="394">
        <f t="shared" si="23"/>
        <v>0</v>
      </c>
      <c r="BK61" s="394">
        <f t="shared" si="23"/>
        <v>0</v>
      </c>
      <c r="BL61" s="394">
        <f t="shared" si="23"/>
        <v>0</v>
      </c>
      <c r="BM61" s="394">
        <f t="shared" si="23"/>
        <v>0</v>
      </c>
      <c r="BN61" s="394">
        <f t="shared" si="23"/>
        <v>0</v>
      </c>
      <c r="BO61" s="394">
        <f t="shared" si="23"/>
        <v>0</v>
      </c>
      <c r="BP61" s="394">
        <f t="shared" si="26"/>
        <v>0</v>
      </c>
      <c r="BQ61" s="394">
        <f t="shared" si="26"/>
        <v>0</v>
      </c>
      <c r="BR61" s="394">
        <f t="shared" si="26"/>
        <v>0</v>
      </c>
      <c r="BS61" s="394">
        <f t="shared" si="26"/>
        <v>0</v>
      </c>
      <c r="BT61" s="394">
        <f t="shared" si="26"/>
        <v>0</v>
      </c>
      <c r="BU61" s="394">
        <f t="shared" si="26"/>
        <v>0</v>
      </c>
      <c r="BV61" s="394">
        <f t="shared" si="26"/>
        <v>0</v>
      </c>
      <c r="BW61" s="394">
        <f t="shared" si="26"/>
        <v>0</v>
      </c>
      <c r="BX61" s="394">
        <f t="shared" si="26"/>
        <v>0</v>
      </c>
      <c r="BY61" s="394">
        <f t="shared" si="26"/>
        <v>0</v>
      </c>
      <c r="BZ61" s="394">
        <f t="shared" si="26"/>
        <v>0</v>
      </c>
      <c r="CA61" s="394">
        <f t="shared" si="26"/>
        <v>0</v>
      </c>
      <c r="CB61" s="394">
        <f t="shared" si="26"/>
        <v>0</v>
      </c>
      <c r="CC61" s="394">
        <f t="shared" si="26"/>
        <v>0</v>
      </c>
      <c r="CD61" s="394">
        <f t="shared" si="26"/>
        <v>0</v>
      </c>
      <c r="CE61" s="394">
        <f t="shared" si="26"/>
        <v>0</v>
      </c>
      <c r="CF61" s="394">
        <f t="shared" ref="CF61:CQ76" si="29">IF($I61&gt;CF$7-30,$E61,0)</f>
        <v>0</v>
      </c>
      <c r="CG61" s="394">
        <f t="shared" si="29"/>
        <v>0</v>
      </c>
      <c r="CH61" s="394">
        <f t="shared" si="29"/>
        <v>0</v>
      </c>
      <c r="CI61" s="394">
        <f t="shared" si="29"/>
        <v>0</v>
      </c>
      <c r="CJ61" s="394">
        <f t="shared" si="29"/>
        <v>0</v>
      </c>
      <c r="CK61" s="394">
        <f t="shared" si="29"/>
        <v>0</v>
      </c>
      <c r="CL61" s="394">
        <f t="shared" si="29"/>
        <v>0</v>
      </c>
      <c r="CM61" s="394">
        <f t="shared" si="29"/>
        <v>0</v>
      </c>
      <c r="CN61" s="394">
        <f t="shared" si="29"/>
        <v>0</v>
      </c>
      <c r="CO61" s="394">
        <f t="shared" si="29"/>
        <v>0</v>
      </c>
      <c r="CP61" s="394">
        <f t="shared" si="29"/>
        <v>0</v>
      </c>
      <c r="CQ61" s="394">
        <f t="shared" si="29"/>
        <v>0</v>
      </c>
      <c r="CR61" s="394">
        <f t="shared" si="8"/>
        <v>0.21666666666669698</v>
      </c>
    </row>
    <row r="62" spans="2:96">
      <c r="B62" s="456"/>
      <c r="C62" s="456"/>
      <c r="D62" s="390">
        <v>1074.1199999999999</v>
      </c>
      <c r="E62" s="390">
        <f t="shared" si="6"/>
        <v>29.836666666666662</v>
      </c>
      <c r="F62" s="390">
        <f t="shared" si="7"/>
        <v>3</v>
      </c>
      <c r="G62" s="390">
        <v>36</v>
      </c>
      <c r="H62" s="391">
        <v>42673</v>
      </c>
      <c r="I62" s="395">
        <f t="shared" si="12"/>
        <v>43768</v>
      </c>
      <c r="J62" s="458"/>
      <c r="K62" s="393">
        <v>400.91</v>
      </c>
      <c r="L62" s="394">
        <v>29.27</v>
      </c>
      <c r="M62" s="394">
        <v>29.27</v>
      </c>
      <c r="N62" s="394">
        <v>29.27</v>
      </c>
      <c r="O62" s="394">
        <v>29.27</v>
      </c>
      <c r="P62" s="394">
        <v>29.27</v>
      </c>
      <c r="Q62" s="394">
        <v>29.27</v>
      </c>
      <c r="R62" s="394">
        <v>29.27</v>
      </c>
      <c r="S62" s="394">
        <v>29.27</v>
      </c>
      <c r="T62" s="394">
        <v>29.27</v>
      </c>
      <c r="U62" s="394">
        <f t="shared" si="27"/>
        <v>29.836666666666662</v>
      </c>
      <c r="V62" s="394">
        <f t="shared" si="27"/>
        <v>29.836666666666662</v>
      </c>
      <c r="W62" s="394">
        <f t="shared" si="27"/>
        <v>29.836666666666662</v>
      </c>
      <c r="X62" s="394">
        <f t="shared" si="27"/>
        <v>29.836666666666662</v>
      </c>
      <c r="Y62" s="394">
        <v>18.37</v>
      </c>
      <c r="Z62" s="394">
        <f t="shared" si="27"/>
        <v>0</v>
      </c>
      <c r="AA62" s="394">
        <f t="shared" si="27"/>
        <v>0</v>
      </c>
      <c r="AB62" s="394">
        <f t="shared" si="27"/>
        <v>0</v>
      </c>
      <c r="AC62" s="394">
        <f t="shared" si="27"/>
        <v>0</v>
      </c>
      <c r="AD62" s="394">
        <f t="shared" si="27"/>
        <v>0</v>
      </c>
      <c r="AE62" s="394">
        <f t="shared" si="27"/>
        <v>0</v>
      </c>
      <c r="AF62" s="394">
        <f t="shared" si="27"/>
        <v>0</v>
      </c>
      <c r="AG62" s="394">
        <f t="shared" si="27"/>
        <v>0</v>
      </c>
      <c r="AH62" s="394">
        <f t="shared" si="27"/>
        <v>0</v>
      </c>
      <c r="AI62" s="394">
        <f t="shared" si="27"/>
        <v>0</v>
      </c>
      <c r="AJ62" s="394">
        <f t="shared" si="27"/>
        <v>0</v>
      </c>
      <c r="AK62" s="394">
        <f t="shared" si="28"/>
        <v>0</v>
      </c>
      <c r="AL62" s="394">
        <f t="shared" si="28"/>
        <v>0</v>
      </c>
      <c r="AM62" s="394">
        <f t="shared" si="28"/>
        <v>0</v>
      </c>
      <c r="AN62" s="394">
        <f t="shared" si="28"/>
        <v>0</v>
      </c>
      <c r="AO62" s="394">
        <f t="shared" si="28"/>
        <v>0</v>
      </c>
      <c r="AP62" s="394">
        <f t="shared" si="28"/>
        <v>0</v>
      </c>
      <c r="AQ62" s="394">
        <f t="shared" si="28"/>
        <v>0</v>
      </c>
      <c r="AR62" s="394">
        <f t="shared" si="28"/>
        <v>0</v>
      </c>
      <c r="AS62" s="394">
        <f t="shared" si="28"/>
        <v>0</v>
      </c>
      <c r="AT62" s="394">
        <f t="shared" si="28"/>
        <v>0</v>
      </c>
      <c r="AU62" s="394">
        <f t="shared" si="28"/>
        <v>0</v>
      </c>
      <c r="AV62" s="394">
        <f t="shared" si="28"/>
        <v>0</v>
      </c>
      <c r="AW62" s="394">
        <f t="shared" si="28"/>
        <v>0</v>
      </c>
      <c r="AX62" s="394">
        <f t="shared" si="28"/>
        <v>0</v>
      </c>
      <c r="AY62" s="394">
        <f t="shared" si="28"/>
        <v>0</v>
      </c>
      <c r="AZ62" s="394">
        <f t="shared" si="23"/>
        <v>0</v>
      </c>
      <c r="BA62" s="394">
        <f t="shared" si="23"/>
        <v>0</v>
      </c>
      <c r="BB62" s="394">
        <f t="shared" si="23"/>
        <v>0</v>
      </c>
      <c r="BC62" s="394">
        <f t="shared" si="23"/>
        <v>0</v>
      </c>
      <c r="BD62" s="394">
        <f t="shared" si="23"/>
        <v>0</v>
      </c>
      <c r="BE62" s="394">
        <f t="shared" si="23"/>
        <v>0</v>
      </c>
      <c r="BF62" s="394">
        <f t="shared" si="23"/>
        <v>0</v>
      </c>
      <c r="BG62" s="394">
        <f t="shared" si="23"/>
        <v>0</v>
      </c>
      <c r="BH62" s="394">
        <f t="shared" si="23"/>
        <v>0</v>
      </c>
      <c r="BI62" s="394">
        <f t="shared" si="23"/>
        <v>0</v>
      </c>
      <c r="BJ62" s="394">
        <f t="shared" si="23"/>
        <v>0</v>
      </c>
      <c r="BK62" s="394">
        <f t="shared" si="23"/>
        <v>0</v>
      </c>
      <c r="BL62" s="394">
        <f t="shared" si="23"/>
        <v>0</v>
      </c>
      <c r="BM62" s="394">
        <f t="shared" si="23"/>
        <v>0</v>
      </c>
      <c r="BN62" s="394">
        <f t="shared" si="23"/>
        <v>0</v>
      </c>
      <c r="BO62" s="394">
        <f t="shared" si="23"/>
        <v>0</v>
      </c>
      <c r="BP62" s="394">
        <f t="shared" si="26"/>
        <v>0</v>
      </c>
      <c r="BQ62" s="394">
        <f t="shared" si="26"/>
        <v>0</v>
      </c>
      <c r="BR62" s="394">
        <f t="shared" si="26"/>
        <v>0</v>
      </c>
      <c r="BS62" s="394">
        <f t="shared" si="26"/>
        <v>0</v>
      </c>
      <c r="BT62" s="394">
        <f t="shared" si="26"/>
        <v>0</v>
      </c>
      <c r="BU62" s="394">
        <f t="shared" si="26"/>
        <v>0</v>
      </c>
      <c r="BV62" s="394">
        <f t="shared" si="26"/>
        <v>0</v>
      </c>
      <c r="BW62" s="394">
        <f t="shared" si="26"/>
        <v>0</v>
      </c>
      <c r="BX62" s="394">
        <f t="shared" si="26"/>
        <v>0</v>
      </c>
      <c r="BY62" s="394">
        <f t="shared" si="26"/>
        <v>0</v>
      </c>
      <c r="BZ62" s="394">
        <f t="shared" si="26"/>
        <v>0</v>
      </c>
      <c r="CA62" s="394">
        <f t="shared" si="26"/>
        <v>0</v>
      </c>
      <c r="CB62" s="394">
        <f t="shared" si="26"/>
        <v>0</v>
      </c>
      <c r="CC62" s="394">
        <f t="shared" si="26"/>
        <v>0</v>
      </c>
      <c r="CD62" s="394">
        <f t="shared" si="26"/>
        <v>0</v>
      </c>
      <c r="CE62" s="394">
        <f t="shared" si="26"/>
        <v>0</v>
      </c>
      <c r="CF62" s="394">
        <f t="shared" si="29"/>
        <v>0</v>
      </c>
      <c r="CG62" s="394">
        <f t="shared" si="29"/>
        <v>0</v>
      </c>
      <c r="CH62" s="394">
        <f t="shared" si="29"/>
        <v>0</v>
      </c>
      <c r="CI62" s="394">
        <f t="shared" si="29"/>
        <v>0</v>
      </c>
      <c r="CJ62" s="394">
        <f t="shared" si="29"/>
        <v>0</v>
      </c>
      <c r="CK62" s="394">
        <f t="shared" si="29"/>
        <v>0</v>
      </c>
      <c r="CL62" s="394">
        <f t="shared" si="29"/>
        <v>0</v>
      </c>
      <c r="CM62" s="394">
        <f t="shared" si="29"/>
        <v>0</v>
      </c>
      <c r="CN62" s="394">
        <f t="shared" si="29"/>
        <v>0</v>
      </c>
      <c r="CO62" s="394">
        <f t="shared" si="29"/>
        <v>0</v>
      </c>
      <c r="CP62" s="394">
        <f t="shared" si="29"/>
        <v>0</v>
      </c>
      <c r="CQ62" s="394">
        <f t="shared" si="29"/>
        <v>0</v>
      </c>
      <c r="CR62" s="394">
        <f t="shared" si="8"/>
        <v>-0.23666666666656511</v>
      </c>
    </row>
    <row r="63" spans="2:96">
      <c r="B63" s="456"/>
      <c r="C63" s="456"/>
      <c r="D63" s="390">
        <v>50493.84</v>
      </c>
      <c r="E63" s="390">
        <f t="shared" si="6"/>
        <v>841.56399999999996</v>
      </c>
      <c r="F63" s="390">
        <f t="shared" si="7"/>
        <v>5</v>
      </c>
      <c r="G63" s="390">
        <v>60</v>
      </c>
      <c r="H63" s="391">
        <v>42820</v>
      </c>
      <c r="I63" s="392">
        <f t="shared" si="12"/>
        <v>44645</v>
      </c>
      <c r="J63" s="456"/>
      <c r="K63" s="393">
        <v>35935.42</v>
      </c>
      <c r="L63" s="394">
        <v>796.2</v>
      </c>
      <c r="M63" s="394">
        <v>796.2</v>
      </c>
      <c r="N63" s="394">
        <v>796.2</v>
      </c>
      <c r="O63" s="394">
        <v>796.2</v>
      </c>
      <c r="P63" s="394">
        <v>796.2</v>
      </c>
      <c r="Q63" s="394">
        <v>796.2</v>
      </c>
      <c r="R63" s="394">
        <v>796.2</v>
      </c>
      <c r="S63" s="394">
        <v>796.2</v>
      </c>
      <c r="T63" s="394">
        <v>796.2</v>
      </c>
      <c r="U63" s="394">
        <f t="shared" si="27"/>
        <v>841.56399999999996</v>
      </c>
      <c r="V63" s="394">
        <f t="shared" si="27"/>
        <v>841.56399999999996</v>
      </c>
      <c r="W63" s="394">
        <f t="shared" si="27"/>
        <v>841.56399999999996</v>
      </c>
      <c r="X63" s="394">
        <f t="shared" si="27"/>
        <v>841.56399999999996</v>
      </c>
      <c r="Y63" s="394">
        <f t="shared" si="27"/>
        <v>841.56399999999996</v>
      </c>
      <c r="Z63" s="394">
        <f t="shared" si="27"/>
        <v>841.56399999999996</v>
      </c>
      <c r="AA63" s="394">
        <f t="shared" si="27"/>
        <v>841.56399999999996</v>
      </c>
      <c r="AB63" s="394">
        <f t="shared" si="27"/>
        <v>841.56399999999996</v>
      </c>
      <c r="AC63" s="394">
        <f t="shared" si="27"/>
        <v>841.56399999999996</v>
      </c>
      <c r="AD63" s="394">
        <f t="shared" si="27"/>
        <v>841.56399999999996</v>
      </c>
      <c r="AE63" s="394">
        <f t="shared" si="27"/>
        <v>841.56399999999996</v>
      </c>
      <c r="AF63" s="394">
        <f t="shared" si="27"/>
        <v>841.56399999999996</v>
      </c>
      <c r="AG63" s="394">
        <f t="shared" si="27"/>
        <v>841.56399999999996</v>
      </c>
      <c r="AH63" s="394">
        <f t="shared" si="27"/>
        <v>841.56399999999996</v>
      </c>
      <c r="AI63" s="394">
        <f t="shared" si="27"/>
        <v>841.56399999999996</v>
      </c>
      <c r="AJ63" s="394">
        <f t="shared" si="27"/>
        <v>841.56399999999996</v>
      </c>
      <c r="AK63" s="394">
        <f t="shared" si="28"/>
        <v>841.56399999999996</v>
      </c>
      <c r="AL63" s="394">
        <f t="shared" si="28"/>
        <v>841.56399999999996</v>
      </c>
      <c r="AM63" s="394">
        <f t="shared" si="28"/>
        <v>841.56399999999996</v>
      </c>
      <c r="AN63" s="394">
        <f t="shared" si="28"/>
        <v>841.56399999999996</v>
      </c>
      <c r="AO63" s="394">
        <f t="shared" si="28"/>
        <v>841.56399999999996</v>
      </c>
      <c r="AP63" s="394">
        <f t="shared" si="28"/>
        <v>841.56399999999996</v>
      </c>
      <c r="AQ63" s="394">
        <f t="shared" si="28"/>
        <v>841.56399999999996</v>
      </c>
      <c r="AR63" s="394">
        <f t="shared" si="28"/>
        <v>841.56399999999996</v>
      </c>
      <c r="AS63" s="394">
        <f t="shared" si="28"/>
        <v>841.56399999999996</v>
      </c>
      <c r="AT63" s="394">
        <f t="shared" si="28"/>
        <v>841.56399999999996</v>
      </c>
      <c r="AU63" s="394">
        <f t="shared" si="28"/>
        <v>841.56399999999996</v>
      </c>
      <c r="AV63" s="394">
        <f t="shared" si="28"/>
        <v>841.56399999999996</v>
      </c>
      <c r="AW63" s="394">
        <f t="shared" si="28"/>
        <v>841.56399999999996</v>
      </c>
      <c r="AX63" s="394">
        <f t="shared" si="28"/>
        <v>841.56399999999996</v>
      </c>
      <c r="AY63" s="394">
        <f t="shared" si="28"/>
        <v>841.56399999999996</v>
      </c>
      <c r="AZ63" s="394">
        <f t="shared" si="23"/>
        <v>841.56399999999996</v>
      </c>
      <c r="BA63" s="394">
        <f t="shared" si="23"/>
        <v>841.56399999999996</v>
      </c>
      <c r="BB63" s="394">
        <v>998</v>
      </c>
      <c r="BC63" s="394">
        <f t="shared" si="23"/>
        <v>0</v>
      </c>
      <c r="BD63" s="394">
        <f t="shared" si="23"/>
        <v>0</v>
      </c>
      <c r="BE63" s="394">
        <f t="shared" si="23"/>
        <v>0</v>
      </c>
      <c r="BF63" s="394">
        <f t="shared" si="23"/>
        <v>0</v>
      </c>
      <c r="BG63" s="394">
        <f t="shared" si="23"/>
        <v>0</v>
      </c>
      <c r="BH63" s="394">
        <f t="shared" si="23"/>
        <v>0</v>
      </c>
      <c r="BI63" s="394">
        <f t="shared" si="23"/>
        <v>0</v>
      </c>
      <c r="BJ63" s="394">
        <f t="shared" si="23"/>
        <v>0</v>
      </c>
      <c r="BK63" s="394">
        <f t="shared" si="23"/>
        <v>0</v>
      </c>
      <c r="BL63" s="394">
        <f t="shared" si="23"/>
        <v>0</v>
      </c>
      <c r="BM63" s="394">
        <f t="shared" si="23"/>
        <v>0</v>
      </c>
      <c r="BN63" s="394">
        <f t="shared" si="23"/>
        <v>0</v>
      </c>
      <c r="BO63" s="394">
        <f t="shared" si="23"/>
        <v>0</v>
      </c>
      <c r="BP63" s="394">
        <f t="shared" si="26"/>
        <v>0</v>
      </c>
      <c r="BQ63" s="394">
        <f t="shared" si="26"/>
        <v>0</v>
      </c>
      <c r="BR63" s="394">
        <f t="shared" si="26"/>
        <v>0</v>
      </c>
      <c r="BS63" s="394">
        <f t="shared" si="26"/>
        <v>0</v>
      </c>
      <c r="BT63" s="394">
        <f t="shared" si="26"/>
        <v>0</v>
      </c>
      <c r="BU63" s="394">
        <f t="shared" si="26"/>
        <v>0</v>
      </c>
      <c r="BV63" s="394">
        <f t="shared" si="26"/>
        <v>0</v>
      </c>
      <c r="BW63" s="394">
        <f t="shared" si="26"/>
        <v>0</v>
      </c>
      <c r="BX63" s="394">
        <f t="shared" si="26"/>
        <v>0</v>
      </c>
      <c r="BY63" s="394">
        <f t="shared" si="26"/>
        <v>0</v>
      </c>
      <c r="BZ63" s="394">
        <f t="shared" si="26"/>
        <v>0</v>
      </c>
      <c r="CA63" s="394">
        <f t="shared" si="26"/>
        <v>0</v>
      </c>
      <c r="CB63" s="394">
        <f t="shared" si="26"/>
        <v>0</v>
      </c>
      <c r="CC63" s="394">
        <f t="shared" si="26"/>
        <v>0</v>
      </c>
      <c r="CD63" s="394">
        <f t="shared" si="26"/>
        <v>0</v>
      </c>
      <c r="CE63" s="394">
        <f t="shared" si="26"/>
        <v>0</v>
      </c>
      <c r="CF63" s="394">
        <f t="shared" si="29"/>
        <v>0</v>
      </c>
      <c r="CG63" s="394">
        <f t="shared" si="29"/>
        <v>0</v>
      </c>
      <c r="CH63" s="394">
        <f t="shared" si="29"/>
        <v>0</v>
      </c>
      <c r="CI63" s="394">
        <f t="shared" si="29"/>
        <v>0</v>
      </c>
      <c r="CJ63" s="394">
        <f t="shared" si="29"/>
        <v>0</v>
      </c>
      <c r="CK63" s="394">
        <f t="shared" si="29"/>
        <v>0</v>
      </c>
      <c r="CL63" s="394">
        <f t="shared" si="29"/>
        <v>0</v>
      </c>
      <c r="CM63" s="394">
        <f t="shared" si="29"/>
        <v>0</v>
      </c>
      <c r="CN63" s="394">
        <f t="shared" si="29"/>
        <v>0</v>
      </c>
      <c r="CO63" s="394">
        <f t="shared" si="29"/>
        <v>0</v>
      </c>
      <c r="CP63" s="394">
        <f t="shared" si="29"/>
        <v>0</v>
      </c>
      <c r="CQ63" s="394">
        <f t="shared" si="29"/>
        <v>0</v>
      </c>
      <c r="CR63" s="394">
        <f t="shared" si="8"/>
        <v>8.000000030733645E-3</v>
      </c>
    </row>
    <row r="64" spans="2:96">
      <c r="B64" s="456"/>
      <c r="C64" s="456"/>
      <c r="D64" s="390">
        <v>58587.94</v>
      </c>
      <c r="E64" s="390">
        <f t="shared" si="6"/>
        <v>976.46566666666672</v>
      </c>
      <c r="F64" s="390">
        <f t="shared" si="7"/>
        <v>5</v>
      </c>
      <c r="G64" s="390">
        <v>60</v>
      </c>
      <c r="H64" s="391">
        <v>42582</v>
      </c>
      <c r="I64" s="392">
        <f t="shared" si="12"/>
        <v>44407</v>
      </c>
      <c r="J64" s="456"/>
      <c r="K64" s="393">
        <v>33241.379999999997</v>
      </c>
      <c r="L64" s="394">
        <v>973.27</v>
      </c>
      <c r="M64" s="394">
        <v>973.27</v>
      </c>
      <c r="N64" s="394">
        <v>973.27</v>
      </c>
      <c r="O64" s="394">
        <v>973.27</v>
      </c>
      <c r="P64" s="394">
        <v>973.27</v>
      </c>
      <c r="Q64" s="394">
        <v>973.27</v>
      </c>
      <c r="R64" s="394">
        <v>973.27</v>
      </c>
      <c r="S64" s="394">
        <v>973.27</v>
      </c>
      <c r="T64" s="394">
        <v>973.27</v>
      </c>
      <c r="U64" s="394">
        <f t="shared" si="27"/>
        <v>976.46566666666672</v>
      </c>
      <c r="V64" s="394">
        <f t="shared" si="27"/>
        <v>976.46566666666672</v>
      </c>
      <c r="W64" s="394">
        <f t="shared" si="27"/>
        <v>976.46566666666672</v>
      </c>
      <c r="X64" s="394">
        <f t="shared" si="27"/>
        <v>976.46566666666672</v>
      </c>
      <c r="Y64" s="394">
        <f t="shared" si="27"/>
        <v>976.46566666666672</v>
      </c>
      <c r="Z64" s="394">
        <f t="shared" si="27"/>
        <v>976.46566666666672</v>
      </c>
      <c r="AA64" s="394">
        <f t="shared" si="27"/>
        <v>976.46566666666672</v>
      </c>
      <c r="AB64" s="394">
        <f t="shared" si="27"/>
        <v>976.46566666666672</v>
      </c>
      <c r="AC64" s="394">
        <f t="shared" si="27"/>
        <v>976.46566666666672</v>
      </c>
      <c r="AD64" s="394">
        <f t="shared" si="27"/>
        <v>976.46566666666672</v>
      </c>
      <c r="AE64" s="394">
        <f t="shared" si="27"/>
        <v>976.46566666666672</v>
      </c>
      <c r="AF64" s="394">
        <f t="shared" si="27"/>
        <v>976.46566666666672</v>
      </c>
      <c r="AG64" s="394">
        <f t="shared" si="27"/>
        <v>976.46566666666672</v>
      </c>
      <c r="AH64" s="394">
        <f t="shared" si="27"/>
        <v>976.46566666666672</v>
      </c>
      <c r="AI64" s="394">
        <f t="shared" si="27"/>
        <v>976.46566666666672</v>
      </c>
      <c r="AJ64" s="394">
        <f t="shared" si="27"/>
        <v>976.46566666666672</v>
      </c>
      <c r="AK64" s="394">
        <f t="shared" si="28"/>
        <v>976.46566666666672</v>
      </c>
      <c r="AL64" s="394">
        <f t="shared" si="28"/>
        <v>976.46566666666672</v>
      </c>
      <c r="AM64" s="394">
        <f t="shared" si="28"/>
        <v>976.46566666666672</v>
      </c>
      <c r="AN64" s="394">
        <f t="shared" si="28"/>
        <v>976.46566666666672</v>
      </c>
      <c r="AO64" s="394">
        <f t="shared" si="28"/>
        <v>976.46566666666672</v>
      </c>
      <c r="AP64" s="394">
        <f t="shared" si="28"/>
        <v>976.46566666666672</v>
      </c>
      <c r="AQ64" s="394">
        <f t="shared" si="28"/>
        <v>976.46566666666672</v>
      </c>
      <c r="AR64" s="394">
        <f t="shared" si="28"/>
        <v>976.46566666666672</v>
      </c>
      <c r="AS64" s="394">
        <f t="shared" si="28"/>
        <v>976.46566666666672</v>
      </c>
      <c r="AT64" s="394">
        <v>70.31</v>
      </c>
      <c r="AU64" s="394">
        <f t="shared" si="28"/>
        <v>0</v>
      </c>
      <c r="AV64" s="394">
        <f t="shared" si="28"/>
        <v>0</v>
      </c>
      <c r="AW64" s="394">
        <f t="shared" si="28"/>
        <v>0</v>
      </c>
      <c r="AX64" s="394">
        <f t="shared" si="28"/>
        <v>0</v>
      </c>
      <c r="AY64" s="394">
        <f t="shared" si="28"/>
        <v>0</v>
      </c>
      <c r="AZ64" s="394">
        <f t="shared" si="28"/>
        <v>0</v>
      </c>
      <c r="BA64" s="394">
        <f t="shared" ref="BA64:BP79" si="30">IF($I64&gt;BA$7-30,$E64,0)</f>
        <v>0</v>
      </c>
      <c r="BB64" s="394">
        <f t="shared" si="30"/>
        <v>0</v>
      </c>
      <c r="BC64" s="394">
        <f t="shared" si="30"/>
        <v>0</v>
      </c>
      <c r="BD64" s="394">
        <f t="shared" si="30"/>
        <v>0</v>
      </c>
      <c r="BE64" s="394">
        <f t="shared" si="30"/>
        <v>0</v>
      </c>
      <c r="BF64" s="394">
        <f t="shared" si="30"/>
        <v>0</v>
      </c>
      <c r="BG64" s="394">
        <f t="shared" si="30"/>
        <v>0</v>
      </c>
      <c r="BH64" s="394">
        <f t="shared" si="30"/>
        <v>0</v>
      </c>
      <c r="BI64" s="394">
        <f t="shared" si="30"/>
        <v>0</v>
      </c>
      <c r="BJ64" s="394">
        <f t="shared" si="30"/>
        <v>0</v>
      </c>
      <c r="BK64" s="394">
        <f t="shared" si="30"/>
        <v>0</v>
      </c>
      <c r="BL64" s="394">
        <f t="shared" si="30"/>
        <v>0</v>
      </c>
      <c r="BM64" s="394">
        <f t="shared" si="30"/>
        <v>0</v>
      </c>
      <c r="BN64" s="394">
        <f t="shared" si="30"/>
        <v>0</v>
      </c>
      <c r="BO64" s="394">
        <f t="shared" si="30"/>
        <v>0</v>
      </c>
      <c r="BP64" s="394">
        <f t="shared" si="26"/>
        <v>0</v>
      </c>
      <c r="BQ64" s="394">
        <f t="shared" si="26"/>
        <v>0</v>
      </c>
      <c r="BR64" s="394">
        <f t="shared" si="26"/>
        <v>0</v>
      </c>
      <c r="BS64" s="394">
        <f t="shared" si="26"/>
        <v>0</v>
      </c>
      <c r="BT64" s="394">
        <f t="shared" si="26"/>
        <v>0</v>
      </c>
      <c r="BU64" s="394">
        <f t="shared" si="26"/>
        <v>0</v>
      </c>
      <c r="BV64" s="394">
        <f t="shared" si="26"/>
        <v>0</v>
      </c>
      <c r="BW64" s="394">
        <f t="shared" si="26"/>
        <v>0</v>
      </c>
      <c r="BX64" s="394">
        <f t="shared" si="26"/>
        <v>0</v>
      </c>
      <c r="BY64" s="394">
        <f t="shared" si="26"/>
        <v>0</v>
      </c>
      <c r="BZ64" s="394">
        <f t="shared" si="26"/>
        <v>0</v>
      </c>
      <c r="CA64" s="394">
        <f t="shared" si="26"/>
        <v>0</v>
      </c>
      <c r="CB64" s="394">
        <f t="shared" si="26"/>
        <v>0</v>
      </c>
      <c r="CC64" s="394">
        <f t="shared" si="26"/>
        <v>0</v>
      </c>
      <c r="CD64" s="394">
        <f t="shared" si="26"/>
        <v>0</v>
      </c>
      <c r="CE64" s="394">
        <f t="shared" si="26"/>
        <v>0</v>
      </c>
      <c r="CF64" s="394">
        <f t="shared" si="29"/>
        <v>0</v>
      </c>
      <c r="CG64" s="394">
        <f t="shared" si="29"/>
        <v>0</v>
      </c>
      <c r="CH64" s="394">
        <f t="shared" si="29"/>
        <v>0</v>
      </c>
      <c r="CI64" s="394">
        <f t="shared" si="29"/>
        <v>0</v>
      </c>
      <c r="CJ64" s="394">
        <f t="shared" si="29"/>
        <v>0</v>
      </c>
      <c r="CK64" s="394">
        <f t="shared" si="29"/>
        <v>0</v>
      </c>
      <c r="CL64" s="394">
        <f t="shared" si="29"/>
        <v>0</v>
      </c>
      <c r="CM64" s="394">
        <f t="shared" si="29"/>
        <v>0</v>
      </c>
      <c r="CN64" s="394">
        <f t="shared" si="29"/>
        <v>0</v>
      </c>
      <c r="CO64" s="394">
        <f t="shared" si="29"/>
        <v>0</v>
      </c>
      <c r="CP64" s="394">
        <f t="shared" si="29"/>
        <v>0</v>
      </c>
      <c r="CQ64" s="394">
        <f t="shared" si="29"/>
        <v>0</v>
      </c>
      <c r="CR64" s="394">
        <f t="shared" si="8"/>
        <v>-1.6666666706441902E-3</v>
      </c>
    </row>
    <row r="65" spans="2:96">
      <c r="B65" s="456"/>
      <c r="C65" s="456"/>
      <c r="D65" s="390">
        <v>10493.52</v>
      </c>
      <c r="E65" s="390">
        <f t="shared" si="6"/>
        <v>291.48666666666668</v>
      </c>
      <c r="F65" s="390">
        <f t="shared" si="7"/>
        <v>3</v>
      </c>
      <c r="G65" s="390">
        <v>36</v>
      </c>
      <c r="H65" s="391">
        <v>43008</v>
      </c>
      <c r="I65" s="392">
        <f t="shared" si="12"/>
        <v>44103</v>
      </c>
      <c r="J65" s="456"/>
      <c r="K65" s="393">
        <v>7542.24</v>
      </c>
      <c r="L65" s="394">
        <v>327.92</v>
      </c>
      <c r="M65" s="394">
        <v>327.92</v>
      </c>
      <c r="N65" s="394">
        <v>327.92</v>
      </c>
      <c r="O65" s="394">
        <v>327.92</v>
      </c>
      <c r="P65" s="394">
        <v>327.92</v>
      </c>
      <c r="Q65" s="394">
        <v>327.92</v>
      </c>
      <c r="R65" s="394">
        <v>327.92</v>
      </c>
      <c r="S65" s="394">
        <v>327.92</v>
      </c>
      <c r="T65" s="394">
        <v>327.92</v>
      </c>
      <c r="U65" s="394">
        <f t="shared" si="27"/>
        <v>291.48666666666668</v>
      </c>
      <c r="V65" s="394">
        <f t="shared" si="27"/>
        <v>291.48666666666668</v>
      </c>
      <c r="W65" s="394">
        <f t="shared" si="27"/>
        <v>291.48666666666668</v>
      </c>
      <c r="X65" s="394">
        <f t="shared" si="27"/>
        <v>291.48666666666668</v>
      </c>
      <c r="Y65" s="394">
        <f t="shared" si="27"/>
        <v>291.48666666666668</v>
      </c>
      <c r="Z65" s="394">
        <f t="shared" si="27"/>
        <v>291.48666666666668</v>
      </c>
      <c r="AA65" s="394">
        <f t="shared" si="27"/>
        <v>291.48666666666668</v>
      </c>
      <c r="AB65" s="394">
        <f t="shared" si="27"/>
        <v>291.48666666666668</v>
      </c>
      <c r="AC65" s="394">
        <f t="shared" si="27"/>
        <v>291.48666666666668</v>
      </c>
      <c r="AD65" s="394">
        <f t="shared" si="27"/>
        <v>291.48666666666668</v>
      </c>
      <c r="AE65" s="394">
        <f t="shared" si="27"/>
        <v>291.48666666666668</v>
      </c>
      <c r="AF65" s="394">
        <f t="shared" si="27"/>
        <v>291.48666666666668</v>
      </c>
      <c r="AG65" s="394">
        <f t="shared" si="27"/>
        <v>291.48666666666668</v>
      </c>
      <c r="AH65" s="394">
        <f t="shared" si="27"/>
        <v>291.48666666666668</v>
      </c>
      <c r="AI65" s="394">
        <f t="shared" si="27"/>
        <v>291.48666666666668</v>
      </c>
      <c r="AJ65" s="394">
        <v>218.66</v>
      </c>
      <c r="AK65" s="394">
        <f t="shared" si="28"/>
        <v>0</v>
      </c>
      <c r="AL65" s="394">
        <f t="shared" si="28"/>
        <v>0</v>
      </c>
      <c r="AM65" s="394">
        <f t="shared" si="28"/>
        <v>0</v>
      </c>
      <c r="AN65" s="394">
        <f t="shared" si="28"/>
        <v>0</v>
      </c>
      <c r="AO65" s="394">
        <f t="shared" si="28"/>
        <v>0</v>
      </c>
      <c r="AP65" s="394">
        <f t="shared" si="28"/>
        <v>0</v>
      </c>
      <c r="AQ65" s="394">
        <f t="shared" si="28"/>
        <v>0</v>
      </c>
      <c r="AR65" s="394">
        <f t="shared" si="28"/>
        <v>0</v>
      </c>
      <c r="AS65" s="394">
        <f t="shared" si="28"/>
        <v>0</v>
      </c>
      <c r="AT65" s="394">
        <f t="shared" si="28"/>
        <v>0</v>
      </c>
      <c r="AU65" s="394">
        <f t="shared" si="28"/>
        <v>0</v>
      </c>
      <c r="AV65" s="394">
        <f t="shared" si="28"/>
        <v>0</v>
      </c>
      <c r="AW65" s="394">
        <f t="shared" si="28"/>
        <v>0</v>
      </c>
      <c r="AX65" s="394">
        <f t="shared" si="28"/>
        <v>0</v>
      </c>
      <c r="AY65" s="394">
        <f t="shared" si="28"/>
        <v>0</v>
      </c>
      <c r="AZ65" s="394">
        <f t="shared" si="28"/>
        <v>0</v>
      </c>
      <c r="BA65" s="394">
        <f t="shared" si="30"/>
        <v>0</v>
      </c>
      <c r="BB65" s="394">
        <f t="shared" si="30"/>
        <v>0</v>
      </c>
      <c r="BC65" s="394">
        <f t="shared" si="30"/>
        <v>0</v>
      </c>
      <c r="BD65" s="394">
        <f t="shared" si="30"/>
        <v>0</v>
      </c>
      <c r="BE65" s="394">
        <f t="shared" si="30"/>
        <v>0</v>
      </c>
      <c r="BF65" s="394">
        <f t="shared" si="30"/>
        <v>0</v>
      </c>
      <c r="BG65" s="394">
        <f t="shared" si="30"/>
        <v>0</v>
      </c>
      <c r="BH65" s="394">
        <f t="shared" si="30"/>
        <v>0</v>
      </c>
      <c r="BI65" s="394">
        <f t="shared" si="30"/>
        <v>0</v>
      </c>
      <c r="BJ65" s="394">
        <f t="shared" si="30"/>
        <v>0</v>
      </c>
      <c r="BK65" s="394">
        <f t="shared" si="30"/>
        <v>0</v>
      </c>
      <c r="BL65" s="394">
        <f t="shared" si="30"/>
        <v>0</v>
      </c>
      <c r="BM65" s="394">
        <f t="shared" si="30"/>
        <v>0</v>
      </c>
      <c r="BN65" s="394">
        <f t="shared" si="30"/>
        <v>0</v>
      </c>
      <c r="BO65" s="394">
        <f t="shared" si="30"/>
        <v>0</v>
      </c>
      <c r="BP65" s="394">
        <f t="shared" si="26"/>
        <v>0</v>
      </c>
      <c r="BQ65" s="394">
        <f t="shared" si="26"/>
        <v>0</v>
      </c>
      <c r="BR65" s="394">
        <f t="shared" si="26"/>
        <v>0</v>
      </c>
      <c r="BS65" s="394">
        <f t="shared" si="26"/>
        <v>0</v>
      </c>
      <c r="BT65" s="394">
        <f t="shared" si="26"/>
        <v>0</v>
      </c>
      <c r="BU65" s="394">
        <f t="shared" si="26"/>
        <v>0</v>
      </c>
      <c r="BV65" s="394">
        <f t="shared" si="26"/>
        <v>0</v>
      </c>
      <c r="BW65" s="394">
        <f t="shared" si="26"/>
        <v>0</v>
      </c>
      <c r="BX65" s="394">
        <f t="shared" si="26"/>
        <v>0</v>
      </c>
      <c r="BY65" s="394">
        <f t="shared" si="26"/>
        <v>0</v>
      </c>
      <c r="BZ65" s="394">
        <f t="shared" si="26"/>
        <v>0</v>
      </c>
      <c r="CA65" s="394">
        <f t="shared" si="26"/>
        <v>0</v>
      </c>
      <c r="CB65" s="394">
        <f t="shared" si="26"/>
        <v>0</v>
      </c>
      <c r="CC65" s="394">
        <f t="shared" si="26"/>
        <v>0</v>
      </c>
      <c r="CD65" s="394">
        <f t="shared" si="26"/>
        <v>0</v>
      </c>
      <c r="CE65" s="394">
        <f t="shared" si="26"/>
        <v>0</v>
      </c>
      <c r="CF65" s="394">
        <f t="shared" si="29"/>
        <v>0</v>
      </c>
      <c r="CG65" s="394">
        <f t="shared" si="29"/>
        <v>0</v>
      </c>
      <c r="CH65" s="394">
        <f t="shared" si="29"/>
        <v>0</v>
      </c>
      <c r="CI65" s="394">
        <f t="shared" si="29"/>
        <v>0</v>
      </c>
      <c r="CJ65" s="394">
        <f t="shared" si="29"/>
        <v>0</v>
      </c>
      <c r="CK65" s="394">
        <f t="shared" si="29"/>
        <v>0</v>
      </c>
      <c r="CL65" s="394">
        <f t="shared" si="29"/>
        <v>0</v>
      </c>
      <c r="CM65" s="394">
        <f t="shared" si="29"/>
        <v>0</v>
      </c>
      <c r="CN65" s="394">
        <f t="shared" si="29"/>
        <v>0</v>
      </c>
      <c r="CO65" s="394">
        <f t="shared" si="29"/>
        <v>0</v>
      </c>
      <c r="CP65" s="394">
        <f t="shared" si="29"/>
        <v>0</v>
      </c>
      <c r="CQ65" s="394">
        <f t="shared" si="29"/>
        <v>0</v>
      </c>
      <c r="CR65" s="394">
        <f t="shared" si="8"/>
        <v>0</v>
      </c>
    </row>
    <row r="66" spans="2:96">
      <c r="B66" s="456"/>
      <c r="C66" s="456"/>
      <c r="D66" s="390">
        <v>15696.07</v>
      </c>
      <c r="E66" s="390">
        <f t="shared" si="6"/>
        <v>436.00194444444446</v>
      </c>
      <c r="F66" s="390">
        <f t="shared" si="7"/>
        <v>3</v>
      </c>
      <c r="G66" s="390">
        <v>36</v>
      </c>
      <c r="H66" s="391">
        <v>43092</v>
      </c>
      <c r="I66" s="392">
        <f t="shared" si="12"/>
        <v>44187</v>
      </c>
      <c r="J66" s="456"/>
      <c r="K66" s="393">
        <v>11772.07</v>
      </c>
      <c r="L66" s="394">
        <v>436</v>
      </c>
      <c r="M66" s="394">
        <v>436</v>
      </c>
      <c r="N66" s="394">
        <v>436</v>
      </c>
      <c r="O66" s="394">
        <v>436</v>
      </c>
      <c r="P66" s="394">
        <v>436</v>
      </c>
      <c r="Q66" s="394">
        <v>436</v>
      </c>
      <c r="R66" s="394">
        <v>436</v>
      </c>
      <c r="S66" s="394">
        <v>436</v>
      </c>
      <c r="T66" s="394">
        <v>436</v>
      </c>
      <c r="U66" s="394">
        <f t="shared" si="27"/>
        <v>436.00194444444446</v>
      </c>
      <c r="V66" s="394">
        <f t="shared" si="27"/>
        <v>436.00194444444446</v>
      </c>
      <c r="W66" s="394">
        <f t="shared" si="27"/>
        <v>436.00194444444446</v>
      </c>
      <c r="X66" s="394">
        <f t="shared" si="27"/>
        <v>436.00194444444446</v>
      </c>
      <c r="Y66" s="394">
        <f t="shared" si="27"/>
        <v>436.00194444444446</v>
      </c>
      <c r="Z66" s="394">
        <f t="shared" si="27"/>
        <v>436.00194444444446</v>
      </c>
      <c r="AA66" s="394">
        <f t="shared" si="27"/>
        <v>436.00194444444446</v>
      </c>
      <c r="AB66" s="394">
        <f t="shared" si="27"/>
        <v>436.00194444444446</v>
      </c>
      <c r="AC66" s="394">
        <f t="shared" si="27"/>
        <v>436.00194444444446</v>
      </c>
      <c r="AD66" s="394">
        <f t="shared" si="27"/>
        <v>436.00194444444446</v>
      </c>
      <c r="AE66" s="394">
        <f t="shared" si="27"/>
        <v>436.00194444444446</v>
      </c>
      <c r="AF66" s="394">
        <f t="shared" si="27"/>
        <v>436.00194444444446</v>
      </c>
      <c r="AG66" s="394">
        <f t="shared" si="27"/>
        <v>436.00194444444446</v>
      </c>
      <c r="AH66" s="394">
        <f t="shared" si="27"/>
        <v>436.00194444444446</v>
      </c>
      <c r="AI66" s="394">
        <f t="shared" si="27"/>
        <v>436.00194444444446</v>
      </c>
      <c r="AJ66" s="394">
        <f t="shared" si="27"/>
        <v>436.00194444444446</v>
      </c>
      <c r="AK66" s="394">
        <f t="shared" si="28"/>
        <v>436.00194444444446</v>
      </c>
      <c r="AL66" s="394">
        <f t="shared" si="28"/>
        <v>436.00194444444446</v>
      </c>
      <c r="AM66" s="394">
        <f t="shared" si="28"/>
        <v>0</v>
      </c>
      <c r="AN66" s="394">
        <f t="shared" si="28"/>
        <v>0</v>
      </c>
      <c r="AO66" s="394">
        <f t="shared" si="28"/>
        <v>0</v>
      </c>
      <c r="AP66" s="394">
        <f t="shared" si="28"/>
        <v>0</v>
      </c>
      <c r="AQ66" s="394">
        <f t="shared" si="28"/>
        <v>0</v>
      </c>
      <c r="AR66" s="394">
        <f t="shared" si="28"/>
        <v>0</v>
      </c>
      <c r="AS66" s="394">
        <f t="shared" si="28"/>
        <v>0</v>
      </c>
      <c r="AT66" s="394">
        <f t="shared" si="28"/>
        <v>0</v>
      </c>
      <c r="AU66" s="394">
        <f t="shared" si="28"/>
        <v>0</v>
      </c>
      <c r="AV66" s="394">
        <f t="shared" si="28"/>
        <v>0</v>
      </c>
      <c r="AW66" s="394">
        <f t="shared" si="28"/>
        <v>0</v>
      </c>
      <c r="AX66" s="394">
        <f t="shared" si="28"/>
        <v>0</v>
      </c>
      <c r="AY66" s="394">
        <f t="shared" si="28"/>
        <v>0</v>
      </c>
      <c r="AZ66" s="394">
        <f t="shared" si="28"/>
        <v>0</v>
      </c>
      <c r="BA66" s="394">
        <f t="shared" si="30"/>
        <v>0</v>
      </c>
      <c r="BB66" s="394">
        <f t="shared" si="30"/>
        <v>0</v>
      </c>
      <c r="BC66" s="394">
        <f t="shared" si="30"/>
        <v>0</v>
      </c>
      <c r="BD66" s="394">
        <f t="shared" si="30"/>
        <v>0</v>
      </c>
      <c r="BE66" s="394">
        <f t="shared" si="30"/>
        <v>0</v>
      </c>
      <c r="BF66" s="394">
        <f t="shared" si="30"/>
        <v>0</v>
      </c>
      <c r="BG66" s="394">
        <f t="shared" si="30"/>
        <v>0</v>
      </c>
      <c r="BH66" s="394">
        <f t="shared" si="30"/>
        <v>0</v>
      </c>
      <c r="BI66" s="394">
        <f t="shared" si="30"/>
        <v>0</v>
      </c>
      <c r="BJ66" s="394">
        <f t="shared" si="30"/>
        <v>0</v>
      </c>
      <c r="BK66" s="394">
        <f t="shared" si="30"/>
        <v>0</v>
      </c>
      <c r="BL66" s="394">
        <f t="shared" si="30"/>
        <v>0</v>
      </c>
      <c r="BM66" s="394">
        <f t="shared" si="30"/>
        <v>0</v>
      </c>
      <c r="BN66" s="394">
        <f t="shared" si="30"/>
        <v>0</v>
      </c>
      <c r="BO66" s="394">
        <f t="shared" si="30"/>
        <v>0</v>
      </c>
      <c r="BP66" s="394">
        <f t="shared" si="26"/>
        <v>0</v>
      </c>
      <c r="BQ66" s="394">
        <f t="shared" si="26"/>
        <v>0</v>
      </c>
      <c r="BR66" s="394">
        <f t="shared" si="26"/>
        <v>0</v>
      </c>
      <c r="BS66" s="394">
        <f t="shared" si="26"/>
        <v>0</v>
      </c>
      <c r="BT66" s="394">
        <f t="shared" si="26"/>
        <v>0</v>
      </c>
      <c r="BU66" s="394">
        <f t="shared" si="26"/>
        <v>0</v>
      </c>
      <c r="BV66" s="394">
        <f t="shared" si="26"/>
        <v>0</v>
      </c>
      <c r="BW66" s="394">
        <f t="shared" si="26"/>
        <v>0</v>
      </c>
      <c r="BX66" s="394">
        <f t="shared" si="26"/>
        <v>0</v>
      </c>
      <c r="BY66" s="394">
        <f t="shared" si="26"/>
        <v>0</v>
      </c>
      <c r="BZ66" s="394">
        <f t="shared" si="26"/>
        <v>0</v>
      </c>
      <c r="CA66" s="394">
        <f t="shared" si="26"/>
        <v>0</v>
      </c>
      <c r="CB66" s="394">
        <f t="shared" si="26"/>
        <v>0</v>
      </c>
      <c r="CC66" s="394">
        <f t="shared" si="26"/>
        <v>0</v>
      </c>
      <c r="CD66" s="394">
        <f t="shared" si="26"/>
        <v>0</v>
      </c>
      <c r="CE66" s="394">
        <f t="shared" si="26"/>
        <v>0</v>
      </c>
      <c r="CF66" s="394">
        <f t="shared" si="29"/>
        <v>0</v>
      </c>
      <c r="CG66" s="394">
        <f t="shared" si="29"/>
        <v>0</v>
      </c>
      <c r="CH66" s="394">
        <f t="shared" si="29"/>
        <v>0</v>
      </c>
      <c r="CI66" s="394">
        <f t="shared" si="29"/>
        <v>0</v>
      </c>
      <c r="CJ66" s="394">
        <f t="shared" si="29"/>
        <v>0</v>
      </c>
      <c r="CK66" s="394">
        <f t="shared" si="29"/>
        <v>0</v>
      </c>
      <c r="CL66" s="394">
        <f t="shared" si="29"/>
        <v>0</v>
      </c>
      <c r="CM66" s="394">
        <f t="shared" si="29"/>
        <v>0</v>
      </c>
      <c r="CN66" s="394">
        <f t="shared" si="29"/>
        <v>0</v>
      </c>
      <c r="CO66" s="394">
        <f t="shared" si="29"/>
        <v>0</v>
      </c>
      <c r="CP66" s="394">
        <f t="shared" si="29"/>
        <v>0</v>
      </c>
      <c r="CQ66" s="394">
        <f t="shared" si="29"/>
        <v>0</v>
      </c>
      <c r="CR66" s="394">
        <f t="shared" si="8"/>
        <v>3.500000000349246E-2</v>
      </c>
    </row>
    <row r="67" spans="2:96">
      <c r="B67" s="456"/>
      <c r="C67" s="456"/>
      <c r="D67" s="390">
        <v>53377.22</v>
      </c>
      <c r="E67" s="390">
        <f t="shared" si="6"/>
        <v>1482.7005555555556</v>
      </c>
      <c r="F67" s="390">
        <f t="shared" si="7"/>
        <v>3</v>
      </c>
      <c r="G67" s="390">
        <v>36</v>
      </c>
      <c r="H67" s="391">
        <v>42855</v>
      </c>
      <c r="I67" s="392">
        <f t="shared" si="12"/>
        <v>43950</v>
      </c>
      <c r="J67" s="456"/>
      <c r="K67" s="393">
        <v>28171.37</v>
      </c>
      <c r="L67" s="394">
        <v>1482.7</v>
      </c>
      <c r="M67" s="394">
        <v>1482.7</v>
      </c>
      <c r="N67" s="394">
        <v>1482.7</v>
      </c>
      <c r="O67" s="394">
        <v>1482.7</v>
      </c>
      <c r="P67" s="394">
        <v>1482.7</v>
      </c>
      <c r="Q67" s="394">
        <v>1482.7</v>
      </c>
      <c r="R67" s="394">
        <v>1482.7</v>
      </c>
      <c r="S67" s="394">
        <v>1482.7</v>
      </c>
      <c r="T67" s="394">
        <v>1482.7</v>
      </c>
      <c r="U67" s="394">
        <f t="shared" si="27"/>
        <v>1482.7005555555556</v>
      </c>
      <c r="V67" s="394">
        <f t="shared" si="27"/>
        <v>1482.7005555555556</v>
      </c>
      <c r="W67" s="394">
        <f t="shared" si="27"/>
        <v>1482.7005555555556</v>
      </c>
      <c r="X67" s="394">
        <f t="shared" si="27"/>
        <v>1482.7005555555556</v>
      </c>
      <c r="Y67" s="394">
        <f t="shared" si="27"/>
        <v>1482.7005555555556</v>
      </c>
      <c r="Z67" s="394">
        <f t="shared" si="27"/>
        <v>1482.7005555555556</v>
      </c>
      <c r="AA67" s="394">
        <f t="shared" si="27"/>
        <v>1482.7005555555556</v>
      </c>
      <c r="AB67" s="394">
        <f t="shared" si="27"/>
        <v>1482.7005555555556</v>
      </c>
      <c r="AC67" s="394">
        <f t="shared" si="27"/>
        <v>1482.7005555555556</v>
      </c>
      <c r="AD67" s="394">
        <f t="shared" si="27"/>
        <v>1482.7005555555556</v>
      </c>
      <c r="AE67" s="394">
        <f t="shared" si="27"/>
        <v>0</v>
      </c>
      <c r="AF67" s="394">
        <f t="shared" si="27"/>
        <v>0</v>
      </c>
      <c r="AG67" s="394">
        <f t="shared" si="27"/>
        <v>0</v>
      </c>
      <c r="AH67" s="394">
        <f t="shared" si="27"/>
        <v>0</v>
      </c>
      <c r="AI67" s="394">
        <f t="shared" si="27"/>
        <v>0</v>
      </c>
      <c r="AJ67" s="394">
        <f t="shared" si="27"/>
        <v>0</v>
      </c>
      <c r="AK67" s="394">
        <f t="shared" si="28"/>
        <v>0</v>
      </c>
      <c r="AL67" s="394">
        <f t="shared" si="28"/>
        <v>0</v>
      </c>
      <c r="AM67" s="394">
        <f t="shared" si="28"/>
        <v>0</v>
      </c>
      <c r="AN67" s="394">
        <f t="shared" si="28"/>
        <v>0</v>
      </c>
      <c r="AO67" s="394">
        <f t="shared" si="28"/>
        <v>0</v>
      </c>
      <c r="AP67" s="394">
        <f t="shared" si="28"/>
        <v>0</v>
      </c>
      <c r="AQ67" s="394">
        <f t="shared" si="28"/>
        <v>0</v>
      </c>
      <c r="AR67" s="394">
        <f t="shared" si="28"/>
        <v>0</v>
      </c>
      <c r="AS67" s="394">
        <f t="shared" si="28"/>
        <v>0</v>
      </c>
      <c r="AT67" s="394">
        <f t="shared" si="28"/>
        <v>0</v>
      </c>
      <c r="AU67" s="394">
        <f t="shared" si="28"/>
        <v>0</v>
      </c>
      <c r="AV67" s="394">
        <f t="shared" si="28"/>
        <v>0</v>
      </c>
      <c r="AW67" s="394">
        <f t="shared" si="28"/>
        <v>0</v>
      </c>
      <c r="AX67" s="394">
        <f t="shared" si="28"/>
        <v>0</v>
      </c>
      <c r="AY67" s="394">
        <f t="shared" si="28"/>
        <v>0</v>
      </c>
      <c r="AZ67" s="394">
        <f t="shared" si="28"/>
        <v>0</v>
      </c>
      <c r="BA67" s="394">
        <f t="shared" si="30"/>
        <v>0</v>
      </c>
      <c r="BB67" s="394">
        <f t="shared" si="30"/>
        <v>0</v>
      </c>
      <c r="BC67" s="394">
        <f t="shared" si="30"/>
        <v>0</v>
      </c>
      <c r="BD67" s="394">
        <f t="shared" si="30"/>
        <v>0</v>
      </c>
      <c r="BE67" s="394">
        <f t="shared" si="30"/>
        <v>0</v>
      </c>
      <c r="BF67" s="394">
        <f t="shared" si="30"/>
        <v>0</v>
      </c>
      <c r="BG67" s="394">
        <f t="shared" si="30"/>
        <v>0</v>
      </c>
      <c r="BH67" s="394">
        <f t="shared" si="30"/>
        <v>0</v>
      </c>
      <c r="BI67" s="394">
        <f t="shared" si="30"/>
        <v>0</v>
      </c>
      <c r="BJ67" s="394">
        <f t="shared" si="30"/>
        <v>0</v>
      </c>
      <c r="BK67" s="394">
        <f t="shared" si="30"/>
        <v>0</v>
      </c>
      <c r="BL67" s="394">
        <f t="shared" si="30"/>
        <v>0</v>
      </c>
      <c r="BM67" s="394">
        <f t="shared" si="30"/>
        <v>0</v>
      </c>
      <c r="BN67" s="394">
        <f t="shared" si="30"/>
        <v>0</v>
      </c>
      <c r="BO67" s="394">
        <f t="shared" si="30"/>
        <v>0</v>
      </c>
      <c r="BP67" s="394">
        <f t="shared" si="26"/>
        <v>0</v>
      </c>
      <c r="BQ67" s="394">
        <f t="shared" si="26"/>
        <v>0</v>
      </c>
      <c r="BR67" s="394">
        <f t="shared" si="26"/>
        <v>0</v>
      </c>
      <c r="BS67" s="394">
        <f t="shared" si="26"/>
        <v>0</v>
      </c>
      <c r="BT67" s="394">
        <f t="shared" si="26"/>
        <v>0</v>
      </c>
      <c r="BU67" s="394">
        <f t="shared" si="26"/>
        <v>0</v>
      </c>
      <c r="BV67" s="394">
        <f t="shared" si="26"/>
        <v>0</v>
      </c>
      <c r="BW67" s="394">
        <f t="shared" si="26"/>
        <v>0</v>
      </c>
      <c r="BX67" s="394">
        <f t="shared" si="26"/>
        <v>0</v>
      </c>
      <c r="BY67" s="394">
        <f t="shared" si="26"/>
        <v>0</v>
      </c>
      <c r="BZ67" s="394">
        <f t="shared" si="26"/>
        <v>0</v>
      </c>
      <c r="CA67" s="394">
        <f t="shared" si="26"/>
        <v>0</v>
      </c>
      <c r="CB67" s="394">
        <f t="shared" si="26"/>
        <v>0</v>
      </c>
      <c r="CC67" s="394">
        <f t="shared" si="26"/>
        <v>0</v>
      </c>
      <c r="CD67" s="394">
        <f t="shared" si="26"/>
        <v>0</v>
      </c>
      <c r="CE67" s="394">
        <f t="shared" si="26"/>
        <v>0</v>
      </c>
      <c r="CF67" s="394">
        <f t="shared" si="29"/>
        <v>0</v>
      </c>
      <c r="CG67" s="394">
        <f t="shared" si="29"/>
        <v>0</v>
      </c>
      <c r="CH67" s="394">
        <f t="shared" si="29"/>
        <v>0</v>
      </c>
      <c r="CI67" s="394">
        <f t="shared" si="29"/>
        <v>0</v>
      </c>
      <c r="CJ67" s="394">
        <f t="shared" si="29"/>
        <v>0</v>
      </c>
      <c r="CK67" s="394">
        <f t="shared" si="29"/>
        <v>0</v>
      </c>
      <c r="CL67" s="394">
        <f t="shared" si="29"/>
        <v>0</v>
      </c>
      <c r="CM67" s="394">
        <f t="shared" si="29"/>
        <v>0</v>
      </c>
      <c r="CN67" s="394">
        <f t="shared" si="29"/>
        <v>0</v>
      </c>
      <c r="CO67" s="394">
        <f t="shared" si="29"/>
        <v>0</v>
      </c>
      <c r="CP67" s="394">
        <f t="shared" si="29"/>
        <v>0</v>
      </c>
      <c r="CQ67" s="394">
        <f t="shared" si="29"/>
        <v>0</v>
      </c>
      <c r="CR67" s="394">
        <f t="shared" si="8"/>
        <v>6.444444444423425E-2</v>
      </c>
    </row>
    <row r="68" spans="2:96">
      <c r="B68" s="456"/>
      <c r="C68" s="456"/>
      <c r="D68" s="390">
        <v>22446.04</v>
      </c>
      <c r="E68" s="390">
        <f t="shared" si="6"/>
        <v>623.50111111111119</v>
      </c>
      <c r="F68" s="390">
        <f t="shared" si="7"/>
        <v>3</v>
      </c>
      <c r="G68" s="390">
        <v>36</v>
      </c>
      <c r="H68" s="391">
        <v>42826</v>
      </c>
      <c r="I68" s="392">
        <f t="shared" si="12"/>
        <v>43921</v>
      </c>
      <c r="J68" s="456"/>
      <c r="K68" s="393">
        <v>14340.53</v>
      </c>
      <c r="L68" s="394">
        <v>623.5</v>
      </c>
      <c r="M68" s="394">
        <v>623.5</v>
      </c>
      <c r="N68" s="394">
        <v>623.5</v>
      </c>
      <c r="O68" s="394">
        <v>623.5</v>
      </c>
      <c r="P68" s="394">
        <v>623.5</v>
      </c>
      <c r="Q68" s="394">
        <v>623.5</v>
      </c>
      <c r="R68" s="394">
        <v>623.5</v>
      </c>
      <c r="S68" s="394">
        <v>623.5</v>
      </c>
      <c r="T68" s="394">
        <v>623.5</v>
      </c>
      <c r="U68" s="394">
        <f t="shared" si="27"/>
        <v>623.50111111111119</v>
      </c>
      <c r="V68" s="394">
        <f t="shared" si="27"/>
        <v>623.50111111111119</v>
      </c>
      <c r="W68" s="394">
        <f t="shared" si="27"/>
        <v>623.50111111111119</v>
      </c>
      <c r="X68" s="394">
        <f t="shared" si="27"/>
        <v>623.50111111111119</v>
      </c>
      <c r="Y68" s="394">
        <f t="shared" si="27"/>
        <v>623.50111111111119</v>
      </c>
      <c r="Z68" s="394">
        <f t="shared" si="27"/>
        <v>623.50111111111119</v>
      </c>
      <c r="AA68" s="394">
        <f t="shared" si="27"/>
        <v>623.50111111111119</v>
      </c>
      <c r="AB68" s="394">
        <f t="shared" si="27"/>
        <v>623.50111111111119</v>
      </c>
      <c r="AC68" s="394">
        <f t="shared" si="27"/>
        <v>623.50111111111119</v>
      </c>
      <c r="AD68" s="394">
        <v>623.50111111111119</v>
      </c>
      <c r="AE68" s="394">
        <v>623.50111111111119</v>
      </c>
      <c r="AF68" s="394">
        <v>623.50111111111119</v>
      </c>
      <c r="AG68" s="394">
        <v>623.50111111111119</v>
      </c>
      <c r="AH68" s="394">
        <v>623.50111111111119</v>
      </c>
      <c r="AI68" s="394">
        <f t="shared" si="27"/>
        <v>0</v>
      </c>
      <c r="AJ68" s="394">
        <f t="shared" si="27"/>
        <v>0</v>
      </c>
      <c r="AK68" s="394">
        <f t="shared" si="28"/>
        <v>0</v>
      </c>
      <c r="AL68" s="394">
        <f t="shared" si="28"/>
        <v>0</v>
      </c>
      <c r="AM68" s="394">
        <f t="shared" si="28"/>
        <v>0</v>
      </c>
      <c r="AN68" s="394">
        <f t="shared" si="28"/>
        <v>0</v>
      </c>
      <c r="AO68" s="394">
        <f t="shared" si="28"/>
        <v>0</v>
      </c>
      <c r="AP68" s="394">
        <f t="shared" si="28"/>
        <v>0</v>
      </c>
      <c r="AQ68" s="394">
        <f t="shared" si="28"/>
        <v>0</v>
      </c>
      <c r="AR68" s="394">
        <f t="shared" si="28"/>
        <v>0</v>
      </c>
      <c r="AS68" s="394">
        <f t="shared" si="28"/>
        <v>0</v>
      </c>
      <c r="AT68" s="394">
        <f t="shared" si="28"/>
        <v>0</v>
      </c>
      <c r="AU68" s="394">
        <f t="shared" si="28"/>
        <v>0</v>
      </c>
      <c r="AV68" s="394">
        <f t="shared" si="28"/>
        <v>0</v>
      </c>
      <c r="AW68" s="394">
        <f t="shared" si="28"/>
        <v>0</v>
      </c>
      <c r="AX68" s="394">
        <f t="shared" si="28"/>
        <v>0</v>
      </c>
      <c r="AY68" s="394">
        <f t="shared" si="28"/>
        <v>0</v>
      </c>
      <c r="AZ68" s="394">
        <f t="shared" si="28"/>
        <v>0</v>
      </c>
      <c r="BA68" s="394">
        <f t="shared" si="30"/>
        <v>0</v>
      </c>
      <c r="BB68" s="394">
        <f t="shared" si="30"/>
        <v>0</v>
      </c>
      <c r="BC68" s="394">
        <f t="shared" si="30"/>
        <v>0</v>
      </c>
      <c r="BD68" s="394">
        <f t="shared" si="30"/>
        <v>0</v>
      </c>
      <c r="BE68" s="394">
        <f t="shared" si="30"/>
        <v>0</v>
      </c>
      <c r="BF68" s="394">
        <f t="shared" si="30"/>
        <v>0</v>
      </c>
      <c r="BG68" s="394">
        <f t="shared" si="30"/>
        <v>0</v>
      </c>
      <c r="BH68" s="394">
        <f t="shared" si="30"/>
        <v>0</v>
      </c>
      <c r="BI68" s="394">
        <f t="shared" si="30"/>
        <v>0</v>
      </c>
      <c r="BJ68" s="394">
        <f t="shared" si="30"/>
        <v>0</v>
      </c>
      <c r="BK68" s="394">
        <f t="shared" si="30"/>
        <v>0</v>
      </c>
      <c r="BL68" s="394">
        <f t="shared" si="30"/>
        <v>0</v>
      </c>
      <c r="BM68" s="394">
        <f t="shared" si="30"/>
        <v>0</v>
      </c>
      <c r="BN68" s="394">
        <f t="shared" si="30"/>
        <v>0</v>
      </c>
      <c r="BO68" s="394">
        <f t="shared" si="30"/>
        <v>0</v>
      </c>
      <c r="BP68" s="394">
        <f t="shared" si="26"/>
        <v>0</v>
      </c>
      <c r="BQ68" s="394">
        <f t="shared" si="26"/>
        <v>0</v>
      </c>
      <c r="BR68" s="394">
        <f t="shared" si="26"/>
        <v>0</v>
      </c>
      <c r="BS68" s="394">
        <f t="shared" si="26"/>
        <v>0</v>
      </c>
      <c r="BT68" s="394">
        <f t="shared" si="26"/>
        <v>0</v>
      </c>
      <c r="BU68" s="394">
        <f t="shared" si="26"/>
        <v>0</v>
      </c>
      <c r="BV68" s="394">
        <f t="shared" si="26"/>
        <v>0</v>
      </c>
      <c r="BW68" s="394">
        <f t="shared" si="26"/>
        <v>0</v>
      </c>
      <c r="BX68" s="394">
        <f t="shared" si="26"/>
        <v>0</v>
      </c>
      <c r="BY68" s="394">
        <f t="shared" si="26"/>
        <v>0</v>
      </c>
      <c r="BZ68" s="394">
        <f t="shared" si="26"/>
        <v>0</v>
      </c>
      <c r="CA68" s="394">
        <f t="shared" si="26"/>
        <v>0</v>
      </c>
      <c r="CB68" s="394">
        <f t="shared" si="26"/>
        <v>0</v>
      </c>
      <c r="CC68" s="394">
        <f t="shared" si="26"/>
        <v>0</v>
      </c>
      <c r="CD68" s="394">
        <f t="shared" si="26"/>
        <v>0</v>
      </c>
      <c r="CE68" s="394">
        <f t="shared" si="26"/>
        <v>0</v>
      </c>
      <c r="CF68" s="394">
        <f t="shared" si="29"/>
        <v>0</v>
      </c>
      <c r="CG68" s="394">
        <f t="shared" si="29"/>
        <v>0</v>
      </c>
      <c r="CH68" s="394">
        <f t="shared" si="29"/>
        <v>0</v>
      </c>
      <c r="CI68" s="394">
        <f t="shared" si="29"/>
        <v>0</v>
      </c>
      <c r="CJ68" s="394">
        <f t="shared" si="29"/>
        <v>0</v>
      </c>
      <c r="CK68" s="394">
        <f t="shared" si="29"/>
        <v>0</v>
      </c>
      <c r="CL68" s="394">
        <f t="shared" si="29"/>
        <v>0</v>
      </c>
      <c r="CM68" s="394">
        <f t="shared" si="29"/>
        <v>0</v>
      </c>
      <c r="CN68" s="394">
        <f t="shared" si="29"/>
        <v>0</v>
      </c>
      <c r="CO68" s="394">
        <f t="shared" si="29"/>
        <v>0</v>
      </c>
      <c r="CP68" s="394">
        <f t="shared" si="29"/>
        <v>0</v>
      </c>
      <c r="CQ68" s="394">
        <f t="shared" si="29"/>
        <v>0</v>
      </c>
      <c r="CR68" s="394">
        <f t="shared" si="8"/>
        <v>1.4444444450418814E-2</v>
      </c>
    </row>
    <row r="69" spans="2:96">
      <c r="B69" s="456"/>
      <c r="C69" s="456"/>
      <c r="D69" s="390">
        <v>62329.66</v>
      </c>
      <c r="E69" s="390">
        <f t="shared" si="6"/>
        <v>1684.5854054054055</v>
      </c>
      <c r="F69" s="390">
        <f t="shared" si="7"/>
        <v>3.0833333333333335</v>
      </c>
      <c r="G69" s="390">
        <v>37</v>
      </c>
      <c r="H69" s="391">
        <v>43183</v>
      </c>
      <c r="I69" s="392">
        <f t="shared" si="12"/>
        <v>44308.416666666664</v>
      </c>
      <c r="J69" s="456"/>
      <c r="K69" s="393">
        <v>36359.11</v>
      </c>
      <c r="L69" s="394">
        <v>1731.37</v>
      </c>
      <c r="M69" s="394">
        <v>1731.37</v>
      </c>
      <c r="N69" s="394">
        <v>1731.37</v>
      </c>
      <c r="O69" s="394">
        <v>1731.37</v>
      </c>
      <c r="P69" s="394">
        <v>1731.37</v>
      </c>
      <c r="Q69" s="394">
        <v>1731.37</v>
      </c>
      <c r="R69" s="394">
        <v>1731.37</v>
      </c>
      <c r="S69" s="394">
        <v>1731.37</v>
      </c>
      <c r="T69" s="394">
        <v>1731.37</v>
      </c>
      <c r="U69" s="394">
        <f t="shared" si="27"/>
        <v>1684.5854054054055</v>
      </c>
      <c r="V69" s="394">
        <f t="shared" si="27"/>
        <v>1684.5854054054055</v>
      </c>
      <c r="W69" s="394">
        <f t="shared" si="27"/>
        <v>1684.5854054054055</v>
      </c>
      <c r="X69" s="394">
        <f t="shared" si="27"/>
        <v>1684.5854054054055</v>
      </c>
      <c r="Y69" s="394">
        <f t="shared" si="27"/>
        <v>1684.5854054054055</v>
      </c>
      <c r="Z69" s="394">
        <f t="shared" si="27"/>
        <v>1684.5854054054055</v>
      </c>
      <c r="AA69" s="394">
        <f t="shared" si="27"/>
        <v>1684.5854054054055</v>
      </c>
      <c r="AB69" s="394">
        <f t="shared" si="27"/>
        <v>1684.5854054054055</v>
      </c>
      <c r="AC69" s="394">
        <f t="shared" si="27"/>
        <v>1684.5854054054055</v>
      </c>
      <c r="AD69" s="394">
        <f t="shared" si="27"/>
        <v>1684.5854054054055</v>
      </c>
      <c r="AE69" s="394">
        <f t="shared" si="27"/>
        <v>1684.5854054054055</v>
      </c>
      <c r="AF69" s="394">
        <f t="shared" si="27"/>
        <v>1684.5854054054055</v>
      </c>
      <c r="AG69" s="394">
        <v>561.76</v>
      </c>
      <c r="AH69" s="394">
        <v>0</v>
      </c>
      <c r="AI69" s="394">
        <v>0</v>
      </c>
      <c r="AJ69" s="394">
        <v>0</v>
      </c>
      <c r="AK69" s="394">
        <v>0</v>
      </c>
      <c r="AL69" s="394">
        <v>0</v>
      </c>
      <c r="AM69" s="394">
        <v>0</v>
      </c>
      <c r="AN69" s="394">
        <v>0</v>
      </c>
      <c r="AO69" s="394">
        <v>0</v>
      </c>
      <c r="AP69" s="394">
        <v>0</v>
      </c>
      <c r="AQ69" s="394">
        <f t="shared" si="28"/>
        <v>0</v>
      </c>
      <c r="AR69" s="394">
        <f t="shared" si="28"/>
        <v>0</v>
      </c>
      <c r="AS69" s="394">
        <f t="shared" si="28"/>
        <v>0</v>
      </c>
      <c r="AT69" s="394">
        <f t="shared" si="28"/>
        <v>0</v>
      </c>
      <c r="AU69" s="394">
        <f t="shared" si="28"/>
        <v>0</v>
      </c>
      <c r="AV69" s="394">
        <f t="shared" si="28"/>
        <v>0</v>
      </c>
      <c r="AW69" s="394">
        <f t="shared" si="28"/>
        <v>0</v>
      </c>
      <c r="AX69" s="394">
        <f t="shared" si="28"/>
        <v>0</v>
      </c>
      <c r="AY69" s="394">
        <f t="shared" si="28"/>
        <v>0</v>
      </c>
      <c r="AZ69" s="394">
        <f t="shared" si="28"/>
        <v>0</v>
      </c>
      <c r="BA69" s="394">
        <f t="shared" si="30"/>
        <v>0</v>
      </c>
      <c r="BB69" s="394">
        <f t="shared" si="30"/>
        <v>0</v>
      </c>
      <c r="BC69" s="394">
        <f t="shared" si="30"/>
        <v>0</v>
      </c>
      <c r="BD69" s="394">
        <f t="shared" si="30"/>
        <v>0</v>
      </c>
      <c r="BE69" s="394">
        <f t="shared" si="30"/>
        <v>0</v>
      </c>
      <c r="BF69" s="394">
        <f t="shared" si="30"/>
        <v>0</v>
      </c>
      <c r="BG69" s="394">
        <f t="shared" si="30"/>
        <v>0</v>
      </c>
      <c r="BH69" s="394">
        <f t="shared" si="30"/>
        <v>0</v>
      </c>
      <c r="BI69" s="394">
        <f t="shared" si="30"/>
        <v>0</v>
      </c>
      <c r="BJ69" s="394">
        <f t="shared" si="30"/>
        <v>0</v>
      </c>
      <c r="BK69" s="394">
        <f t="shared" si="30"/>
        <v>0</v>
      </c>
      <c r="BL69" s="394">
        <f t="shared" si="30"/>
        <v>0</v>
      </c>
      <c r="BM69" s="394">
        <f t="shared" si="30"/>
        <v>0</v>
      </c>
      <c r="BN69" s="394">
        <f t="shared" si="30"/>
        <v>0</v>
      </c>
      <c r="BO69" s="394">
        <f t="shared" si="30"/>
        <v>0</v>
      </c>
      <c r="BP69" s="394">
        <f t="shared" si="26"/>
        <v>0</v>
      </c>
      <c r="BQ69" s="394">
        <f t="shared" si="26"/>
        <v>0</v>
      </c>
      <c r="BR69" s="394">
        <f t="shared" si="26"/>
        <v>0</v>
      </c>
      <c r="BS69" s="394">
        <f t="shared" si="26"/>
        <v>0</v>
      </c>
      <c r="BT69" s="394">
        <f t="shared" si="26"/>
        <v>0</v>
      </c>
      <c r="BU69" s="394">
        <f t="shared" si="26"/>
        <v>0</v>
      </c>
      <c r="BV69" s="394">
        <f t="shared" si="26"/>
        <v>0</v>
      </c>
      <c r="BW69" s="394">
        <f t="shared" si="26"/>
        <v>0</v>
      </c>
      <c r="BX69" s="394">
        <f t="shared" si="26"/>
        <v>0</v>
      </c>
      <c r="BY69" s="394">
        <f t="shared" si="26"/>
        <v>0</v>
      </c>
      <c r="BZ69" s="394">
        <f t="shared" si="26"/>
        <v>0</v>
      </c>
      <c r="CA69" s="394">
        <f t="shared" si="26"/>
        <v>0</v>
      </c>
      <c r="CB69" s="394">
        <f t="shared" si="26"/>
        <v>0</v>
      </c>
      <c r="CC69" s="394">
        <f t="shared" si="26"/>
        <v>0</v>
      </c>
      <c r="CD69" s="394">
        <f t="shared" si="26"/>
        <v>0</v>
      </c>
      <c r="CE69" s="394">
        <f t="shared" si="26"/>
        <v>0</v>
      </c>
      <c r="CF69" s="394">
        <f t="shared" si="29"/>
        <v>0</v>
      </c>
      <c r="CG69" s="394">
        <f t="shared" si="29"/>
        <v>0</v>
      </c>
      <c r="CH69" s="394">
        <f t="shared" si="29"/>
        <v>0</v>
      </c>
      <c r="CI69" s="394">
        <f t="shared" si="29"/>
        <v>0</v>
      </c>
      <c r="CJ69" s="394">
        <f t="shared" si="29"/>
        <v>0</v>
      </c>
      <c r="CK69" s="394">
        <f t="shared" si="29"/>
        <v>0</v>
      </c>
      <c r="CL69" s="394">
        <f t="shared" si="29"/>
        <v>0</v>
      </c>
      <c r="CM69" s="394">
        <f t="shared" si="29"/>
        <v>0</v>
      </c>
      <c r="CN69" s="394">
        <f t="shared" si="29"/>
        <v>0</v>
      </c>
      <c r="CO69" s="394">
        <f t="shared" si="29"/>
        <v>0</v>
      </c>
      <c r="CP69" s="394">
        <f t="shared" si="29"/>
        <v>0</v>
      </c>
      <c r="CQ69" s="394">
        <f t="shared" si="29"/>
        <v>0</v>
      </c>
      <c r="CR69" s="394">
        <f t="shared" si="8"/>
        <v>-4.8648648808011785E-3</v>
      </c>
    </row>
    <row r="70" spans="2:96">
      <c r="B70" s="456"/>
      <c r="C70" s="456"/>
      <c r="D70" s="390">
        <v>11288.16</v>
      </c>
      <c r="E70" s="390">
        <f t="shared" si="6"/>
        <v>313.56</v>
      </c>
      <c r="F70" s="390">
        <f t="shared" si="7"/>
        <v>3</v>
      </c>
      <c r="G70" s="390">
        <v>36</v>
      </c>
      <c r="H70" s="391">
        <v>43037</v>
      </c>
      <c r="I70" s="392">
        <f t="shared" si="12"/>
        <v>44132</v>
      </c>
      <c r="J70" s="456"/>
      <c r="K70" s="393">
        <v>7839</v>
      </c>
      <c r="L70" s="394">
        <v>313.56</v>
      </c>
      <c r="M70" s="394">
        <v>313.56</v>
      </c>
      <c r="N70" s="394">
        <v>313.56</v>
      </c>
      <c r="O70" s="394">
        <v>313.56</v>
      </c>
      <c r="P70" s="394">
        <v>313.56</v>
      </c>
      <c r="Q70" s="394">
        <v>313.56</v>
      </c>
      <c r="R70" s="394">
        <v>313.56</v>
      </c>
      <c r="S70" s="394">
        <v>313.56</v>
      </c>
      <c r="T70" s="394">
        <v>313.56</v>
      </c>
      <c r="U70" s="394">
        <f t="shared" si="27"/>
        <v>313.56</v>
      </c>
      <c r="V70" s="394">
        <f t="shared" si="27"/>
        <v>313.56</v>
      </c>
      <c r="W70" s="394">
        <f t="shared" si="27"/>
        <v>313.56</v>
      </c>
      <c r="X70" s="394">
        <f t="shared" si="27"/>
        <v>313.56</v>
      </c>
      <c r="Y70" s="394">
        <f t="shared" si="27"/>
        <v>313.56</v>
      </c>
      <c r="Z70" s="394">
        <f t="shared" si="27"/>
        <v>313.56</v>
      </c>
      <c r="AA70" s="394">
        <f t="shared" si="27"/>
        <v>313.56</v>
      </c>
      <c r="AB70" s="394">
        <f t="shared" si="27"/>
        <v>313.56</v>
      </c>
      <c r="AC70" s="394">
        <f t="shared" si="27"/>
        <v>313.56</v>
      </c>
      <c r="AD70" s="394">
        <f t="shared" si="27"/>
        <v>313.56</v>
      </c>
      <c r="AE70" s="394">
        <f t="shared" si="27"/>
        <v>313.56</v>
      </c>
      <c r="AF70" s="394">
        <f t="shared" si="27"/>
        <v>313.56</v>
      </c>
      <c r="AG70" s="394">
        <f t="shared" si="27"/>
        <v>313.56</v>
      </c>
      <c r="AH70" s="394">
        <f t="shared" si="27"/>
        <v>313.56</v>
      </c>
      <c r="AI70" s="394">
        <f t="shared" si="27"/>
        <v>313.56</v>
      </c>
      <c r="AJ70" s="394">
        <f t="shared" si="27"/>
        <v>313.56</v>
      </c>
      <c r="AK70" s="394">
        <f t="shared" si="28"/>
        <v>0</v>
      </c>
      <c r="AL70" s="394">
        <f t="shared" si="28"/>
        <v>0</v>
      </c>
      <c r="AM70" s="394">
        <f t="shared" si="28"/>
        <v>0</v>
      </c>
      <c r="AN70" s="394">
        <f t="shared" si="28"/>
        <v>0</v>
      </c>
      <c r="AO70" s="394">
        <f t="shared" si="28"/>
        <v>0</v>
      </c>
      <c r="AP70" s="394">
        <f t="shared" si="28"/>
        <v>0</v>
      </c>
      <c r="AQ70" s="394">
        <f t="shared" si="28"/>
        <v>0</v>
      </c>
      <c r="AR70" s="394">
        <f t="shared" si="28"/>
        <v>0</v>
      </c>
      <c r="AS70" s="394">
        <f t="shared" si="28"/>
        <v>0</v>
      </c>
      <c r="AT70" s="394">
        <f t="shared" si="28"/>
        <v>0</v>
      </c>
      <c r="AU70" s="394">
        <f t="shared" si="28"/>
        <v>0</v>
      </c>
      <c r="AV70" s="394">
        <f t="shared" si="28"/>
        <v>0</v>
      </c>
      <c r="AW70" s="394">
        <f t="shared" si="28"/>
        <v>0</v>
      </c>
      <c r="AX70" s="394">
        <f t="shared" si="28"/>
        <v>0</v>
      </c>
      <c r="AY70" s="394">
        <f t="shared" si="28"/>
        <v>0</v>
      </c>
      <c r="AZ70" s="394">
        <f t="shared" si="28"/>
        <v>0</v>
      </c>
      <c r="BA70" s="394">
        <f t="shared" si="30"/>
        <v>0</v>
      </c>
      <c r="BB70" s="394">
        <f t="shared" si="30"/>
        <v>0</v>
      </c>
      <c r="BC70" s="394">
        <f t="shared" si="30"/>
        <v>0</v>
      </c>
      <c r="BD70" s="394">
        <f t="shared" si="30"/>
        <v>0</v>
      </c>
      <c r="BE70" s="394">
        <f t="shared" si="30"/>
        <v>0</v>
      </c>
      <c r="BF70" s="394">
        <f t="shared" si="30"/>
        <v>0</v>
      </c>
      <c r="BG70" s="394">
        <f t="shared" si="30"/>
        <v>0</v>
      </c>
      <c r="BH70" s="394">
        <f t="shared" si="30"/>
        <v>0</v>
      </c>
      <c r="BI70" s="394">
        <f t="shared" si="30"/>
        <v>0</v>
      </c>
      <c r="BJ70" s="394">
        <f t="shared" si="30"/>
        <v>0</v>
      </c>
      <c r="BK70" s="394">
        <f t="shared" si="30"/>
        <v>0</v>
      </c>
      <c r="BL70" s="394">
        <f t="shared" si="30"/>
        <v>0</v>
      </c>
      <c r="BM70" s="394">
        <f t="shared" si="30"/>
        <v>0</v>
      </c>
      <c r="BN70" s="394">
        <f t="shared" si="30"/>
        <v>0</v>
      </c>
      <c r="BO70" s="394">
        <f t="shared" si="30"/>
        <v>0</v>
      </c>
      <c r="BP70" s="394">
        <f t="shared" si="30"/>
        <v>0</v>
      </c>
      <c r="BQ70" s="394">
        <f t="shared" si="26"/>
        <v>0</v>
      </c>
      <c r="BR70" s="394">
        <f t="shared" si="26"/>
        <v>0</v>
      </c>
      <c r="BS70" s="394">
        <f t="shared" si="26"/>
        <v>0</v>
      </c>
      <c r="BT70" s="394">
        <f t="shared" si="26"/>
        <v>0</v>
      </c>
      <c r="BU70" s="394">
        <f t="shared" si="26"/>
        <v>0</v>
      </c>
      <c r="BV70" s="394">
        <f t="shared" si="26"/>
        <v>0</v>
      </c>
      <c r="BW70" s="394">
        <f t="shared" si="26"/>
        <v>0</v>
      </c>
      <c r="BX70" s="394">
        <f t="shared" si="26"/>
        <v>0</v>
      </c>
      <c r="BY70" s="394">
        <f t="shared" si="26"/>
        <v>0</v>
      </c>
      <c r="BZ70" s="394">
        <f t="shared" si="26"/>
        <v>0</v>
      </c>
      <c r="CA70" s="394">
        <f t="shared" si="26"/>
        <v>0</v>
      </c>
      <c r="CB70" s="394">
        <f t="shared" si="26"/>
        <v>0</v>
      </c>
      <c r="CC70" s="394">
        <f t="shared" si="26"/>
        <v>0</v>
      </c>
      <c r="CD70" s="394">
        <f t="shared" si="26"/>
        <v>0</v>
      </c>
      <c r="CE70" s="394">
        <f t="shared" si="26"/>
        <v>0</v>
      </c>
      <c r="CF70" s="394">
        <f t="shared" si="29"/>
        <v>0</v>
      </c>
      <c r="CG70" s="394">
        <f t="shared" si="29"/>
        <v>0</v>
      </c>
      <c r="CH70" s="394">
        <f t="shared" si="29"/>
        <v>0</v>
      </c>
      <c r="CI70" s="394">
        <f t="shared" si="29"/>
        <v>0</v>
      </c>
      <c r="CJ70" s="394">
        <f t="shared" si="29"/>
        <v>0</v>
      </c>
      <c r="CK70" s="394">
        <f t="shared" si="29"/>
        <v>0</v>
      </c>
      <c r="CL70" s="394">
        <f t="shared" si="29"/>
        <v>0</v>
      </c>
      <c r="CM70" s="394">
        <f t="shared" si="29"/>
        <v>0</v>
      </c>
      <c r="CN70" s="394">
        <f t="shared" si="29"/>
        <v>0</v>
      </c>
      <c r="CO70" s="394">
        <f t="shared" si="29"/>
        <v>0</v>
      </c>
      <c r="CP70" s="394">
        <f t="shared" si="29"/>
        <v>0</v>
      </c>
      <c r="CQ70" s="394">
        <f t="shared" si="29"/>
        <v>0</v>
      </c>
      <c r="CR70" s="394">
        <f t="shared" si="8"/>
        <v>0</v>
      </c>
    </row>
    <row r="71" spans="2:96">
      <c r="B71" s="456"/>
      <c r="C71" s="456"/>
      <c r="D71" s="390">
        <v>103869.77</v>
      </c>
      <c r="E71" s="390">
        <f t="shared" si="6"/>
        <v>2807.2910810810813</v>
      </c>
      <c r="F71" s="390">
        <f t="shared" si="7"/>
        <v>3.0833333333333335</v>
      </c>
      <c r="G71" s="390">
        <v>37</v>
      </c>
      <c r="H71" s="391">
        <v>43274</v>
      </c>
      <c r="I71" s="392">
        <f t="shared" si="12"/>
        <v>44399.416666666664</v>
      </c>
      <c r="J71" s="456"/>
      <c r="K71" s="393">
        <v>63475.97</v>
      </c>
      <c r="L71" s="394">
        <v>2885.27</v>
      </c>
      <c r="M71" s="394">
        <v>2885.27</v>
      </c>
      <c r="N71" s="394">
        <v>2885.27</v>
      </c>
      <c r="O71" s="394">
        <v>2885.27</v>
      </c>
      <c r="P71" s="394">
        <v>2885.27</v>
      </c>
      <c r="Q71" s="394">
        <v>2885.27</v>
      </c>
      <c r="R71" s="394">
        <v>2885.27</v>
      </c>
      <c r="S71" s="394">
        <v>2885.27</v>
      </c>
      <c r="T71" s="394">
        <v>2885.27</v>
      </c>
      <c r="U71" s="394">
        <f t="shared" si="27"/>
        <v>2807.2910810810813</v>
      </c>
      <c r="V71" s="394">
        <f t="shared" si="27"/>
        <v>2807.2910810810813</v>
      </c>
      <c r="W71" s="394">
        <f t="shared" si="27"/>
        <v>2807.2910810810813</v>
      </c>
      <c r="X71" s="394">
        <f t="shared" si="27"/>
        <v>2807.2910810810813</v>
      </c>
      <c r="Y71" s="394">
        <f t="shared" si="27"/>
        <v>2807.2910810810813</v>
      </c>
      <c r="Z71" s="394">
        <f t="shared" si="27"/>
        <v>2807.2910810810813</v>
      </c>
      <c r="AA71" s="394">
        <f t="shared" si="27"/>
        <v>2807.2910810810813</v>
      </c>
      <c r="AB71" s="394">
        <f t="shared" si="27"/>
        <v>2807.2910810810813</v>
      </c>
      <c r="AC71" s="394">
        <f t="shared" si="27"/>
        <v>2807.2910810810813</v>
      </c>
      <c r="AD71" s="394">
        <f t="shared" si="27"/>
        <v>2807.2910810810813</v>
      </c>
      <c r="AE71" s="394">
        <f t="shared" si="27"/>
        <v>2807.2910810810813</v>
      </c>
      <c r="AF71" s="394">
        <f t="shared" si="27"/>
        <v>2807.2910810810813</v>
      </c>
      <c r="AG71" s="394">
        <f t="shared" si="27"/>
        <v>2807.2910810810813</v>
      </c>
      <c r="AH71" s="394">
        <v>1013.76</v>
      </c>
      <c r="AI71" s="394">
        <v>0</v>
      </c>
      <c r="AJ71" s="394">
        <v>0</v>
      </c>
      <c r="AK71" s="394">
        <v>0</v>
      </c>
      <c r="AL71" s="394">
        <v>0</v>
      </c>
      <c r="AM71" s="394">
        <v>0</v>
      </c>
      <c r="AN71" s="394">
        <v>0</v>
      </c>
      <c r="AO71" s="394">
        <v>0</v>
      </c>
      <c r="AP71" s="394">
        <v>0</v>
      </c>
      <c r="AQ71" s="394">
        <v>0</v>
      </c>
      <c r="AR71" s="394">
        <v>0</v>
      </c>
      <c r="AS71" s="394">
        <v>0</v>
      </c>
      <c r="AT71" s="394">
        <f t="shared" si="28"/>
        <v>0</v>
      </c>
      <c r="AU71" s="394">
        <f t="shared" si="28"/>
        <v>0</v>
      </c>
      <c r="AV71" s="394">
        <f t="shared" si="28"/>
        <v>0</v>
      </c>
      <c r="AW71" s="394">
        <f t="shared" si="28"/>
        <v>0</v>
      </c>
      <c r="AX71" s="394">
        <f t="shared" si="28"/>
        <v>0</v>
      </c>
      <c r="AY71" s="394">
        <f t="shared" si="28"/>
        <v>0</v>
      </c>
      <c r="AZ71" s="394">
        <f t="shared" si="28"/>
        <v>0</v>
      </c>
      <c r="BA71" s="394">
        <f t="shared" si="30"/>
        <v>0</v>
      </c>
      <c r="BB71" s="394">
        <f t="shared" si="30"/>
        <v>0</v>
      </c>
      <c r="BC71" s="394">
        <f t="shared" si="30"/>
        <v>0</v>
      </c>
      <c r="BD71" s="394">
        <f t="shared" si="30"/>
        <v>0</v>
      </c>
      <c r="BE71" s="394">
        <f t="shared" si="30"/>
        <v>0</v>
      </c>
      <c r="BF71" s="394">
        <f t="shared" si="30"/>
        <v>0</v>
      </c>
      <c r="BG71" s="394">
        <f t="shared" si="30"/>
        <v>0</v>
      </c>
      <c r="BH71" s="394">
        <f t="shared" si="30"/>
        <v>0</v>
      </c>
      <c r="BI71" s="394">
        <f t="shared" si="30"/>
        <v>0</v>
      </c>
      <c r="BJ71" s="394">
        <f t="shared" si="30"/>
        <v>0</v>
      </c>
      <c r="BK71" s="394">
        <f t="shared" si="30"/>
        <v>0</v>
      </c>
      <c r="BL71" s="394">
        <f t="shared" si="30"/>
        <v>0</v>
      </c>
      <c r="BM71" s="394">
        <f t="shared" si="30"/>
        <v>0</v>
      </c>
      <c r="BN71" s="394">
        <f t="shared" si="30"/>
        <v>0</v>
      </c>
      <c r="BO71" s="394">
        <f t="shared" si="30"/>
        <v>0</v>
      </c>
      <c r="BP71" s="394">
        <f t="shared" si="30"/>
        <v>0</v>
      </c>
      <c r="BQ71" s="394">
        <f t="shared" ref="BQ71:CF83" si="31">IF($I71&gt;BQ$7-30,$E71,0)</f>
        <v>0</v>
      </c>
      <c r="BR71" s="394">
        <f t="shared" si="31"/>
        <v>0</v>
      </c>
      <c r="BS71" s="394">
        <f t="shared" si="31"/>
        <v>0</v>
      </c>
      <c r="BT71" s="394">
        <f t="shared" si="31"/>
        <v>0</v>
      </c>
      <c r="BU71" s="394">
        <f t="shared" si="31"/>
        <v>0</v>
      </c>
      <c r="BV71" s="394">
        <f t="shared" si="31"/>
        <v>0</v>
      </c>
      <c r="BW71" s="394">
        <f t="shared" si="31"/>
        <v>0</v>
      </c>
      <c r="BX71" s="394">
        <f t="shared" si="31"/>
        <v>0</v>
      </c>
      <c r="BY71" s="394">
        <f t="shared" si="31"/>
        <v>0</v>
      </c>
      <c r="BZ71" s="394">
        <f t="shared" si="31"/>
        <v>0</v>
      </c>
      <c r="CA71" s="394">
        <f t="shared" si="31"/>
        <v>0</v>
      </c>
      <c r="CB71" s="394">
        <f t="shared" si="31"/>
        <v>0</v>
      </c>
      <c r="CC71" s="394">
        <f t="shared" si="31"/>
        <v>0</v>
      </c>
      <c r="CD71" s="394">
        <f t="shared" si="31"/>
        <v>0</v>
      </c>
      <c r="CE71" s="394">
        <f t="shared" si="31"/>
        <v>0</v>
      </c>
      <c r="CF71" s="394">
        <f t="shared" si="31"/>
        <v>0</v>
      </c>
      <c r="CG71" s="394">
        <f t="shared" si="29"/>
        <v>0</v>
      </c>
      <c r="CH71" s="394">
        <f t="shared" si="29"/>
        <v>0</v>
      </c>
      <c r="CI71" s="394">
        <f t="shared" si="29"/>
        <v>0</v>
      </c>
      <c r="CJ71" s="394">
        <f t="shared" si="29"/>
        <v>0</v>
      </c>
      <c r="CK71" s="394">
        <f t="shared" si="29"/>
        <v>0</v>
      </c>
      <c r="CL71" s="394">
        <f t="shared" si="29"/>
        <v>0</v>
      </c>
      <c r="CM71" s="394">
        <f t="shared" si="29"/>
        <v>0</v>
      </c>
      <c r="CN71" s="394">
        <f t="shared" si="29"/>
        <v>0</v>
      </c>
      <c r="CO71" s="394">
        <f t="shared" si="29"/>
        <v>0</v>
      </c>
      <c r="CP71" s="394">
        <f t="shared" si="29"/>
        <v>0</v>
      </c>
      <c r="CQ71" s="394">
        <f t="shared" si="29"/>
        <v>0</v>
      </c>
      <c r="CR71" s="394">
        <f t="shared" si="8"/>
        <v>-4.0540540358051658E-3</v>
      </c>
    </row>
    <row r="72" spans="2:96">
      <c r="B72" s="456"/>
      <c r="C72" s="456"/>
      <c r="D72" s="390">
        <v>57481.63</v>
      </c>
      <c r="E72" s="390">
        <f t="shared" si="6"/>
        <v>1596.7119444444443</v>
      </c>
      <c r="F72" s="390">
        <f t="shared" si="7"/>
        <v>3</v>
      </c>
      <c r="G72" s="390">
        <v>36</v>
      </c>
      <c r="H72" s="391">
        <v>43274</v>
      </c>
      <c r="I72" s="392">
        <f t="shared" si="12"/>
        <v>44369</v>
      </c>
      <c r="J72" s="456"/>
      <c r="K72" s="393">
        <v>33530.959999999999</v>
      </c>
      <c r="L72" s="394">
        <v>1596.71</v>
      </c>
      <c r="M72" s="394">
        <v>1596.71</v>
      </c>
      <c r="N72" s="394">
        <v>1596.71</v>
      </c>
      <c r="O72" s="394">
        <v>1596.71</v>
      </c>
      <c r="P72" s="394">
        <v>1596.71</v>
      </c>
      <c r="Q72" s="394">
        <v>1596.71</v>
      </c>
      <c r="R72" s="394">
        <v>1596.71</v>
      </c>
      <c r="S72" s="394">
        <v>1596.71</v>
      </c>
      <c r="T72" s="394">
        <v>1596.71</v>
      </c>
      <c r="U72" s="394">
        <f t="shared" si="27"/>
        <v>1596.7119444444443</v>
      </c>
      <c r="V72" s="394">
        <f t="shared" si="27"/>
        <v>1596.7119444444443</v>
      </c>
      <c r="W72" s="394">
        <f t="shared" si="27"/>
        <v>1596.7119444444443</v>
      </c>
      <c r="X72" s="394">
        <f t="shared" si="27"/>
        <v>1596.7119444444443</v>
      </c>
      <c r="Y72" s="394">
        <f t="shared" si="27"/>
        <v>1596.7119444444443</v>
      </c>
      <c r="Z72" s="394">
        <f t="shared" si="27"/>
        <v>1596.7119444444443</v>
      </c>
      <c r="AA72" s="394">
        <f t="shared" si="27"/>
        <v>1596.7119444444443</v>
      </c>
      <c r="AB72" s="394">
        <f t="shared" si="27"/>
        <v>1596.7119444444443</v>
      </c>
      <c r="AC72" s="394">
        <f t="shared" si="27"/>
        <v>1596.7119444444443</v>
      </c>
      <c r="AD72" s="394">
        <f t="shared" si="27"/>
        <v>1596.7119444444443</v>
      </c>
      <c r="AE72" s="394">
        <f>IF($I72&gt;AE$7-30,$E72,0)</f>
        <v>1596.7119444444443</v>
      </c>
      <c r="AF72" s="394">
        <f>IF($I72&gt;AF$7-30,$E72,0)</f>
        <v>1596.7119444444443</v>
      </c>
      <c r="AG72" s="394">
        <v>0</v>
      </c>
      <c r="AH72" s="394">
        <v>0</v>
      </c>
      <c r="AI72" s="394">
        <v>0</v>
      </c>
      <c r="AJ72" s="394">
        <v>0</v>
      </c>
      <c r="AK72" s="394">
        <v>0</v>
      </c>
      <c r="AL72" s="394">
        <v>0</v>
      </c>
      <c r="AM72" s="394">
        <v>0</v>
      </c>
      <c r="AN72" s="394">
        <v>0</v>
      </c>
      <c r="AO72" s="394">
        <v>0</v>
      </c>
      <c r="AP72" s="394">
        <v>0</v>
      </c>
      <c r="AQ72" s="394">
        <v>0</v>
      </c>
      <c r="AR72" s="394">
        <v>0</v>
      </c>
      <c r="AS72" s="394">
        <f t="shared" ref="AS72:AY72" si="32">IF($I72&gt;AS$7-30,$E72,0)</f>
        <v>0</v>
      </c>
      <c r="AT72" s="394">
        <f t="shared" si="32"/>
        <v>0</v>
      </c>
      <c r="AU72" s="394">
        <f t="shared" si="32"/>
        <v>0</v>
      </c>
      <c r="AV72" s="394">
        <f t="shared" si="32"/>
        <v>0</v>
      </c>
      <c r="AW72" s="394">
        <f t="shared" si="32"/>
        <v>0</v>
      </c>
      <c r="AX72" s="394">
        <f t="shared" si="32"/>
        <v>0</v>
      </c>
      <c r="AY72" s="394">
        <f t="shared" si="32"/>
        <v>0</v>
      </c>
      <c r="AZ72" s="394">
        <f t="shared" si="28"/>
        <v>0</v>
      </c>
      <c r="BA72" s="394">
        <f t="shared" si="30"/>
        <v>0</v>
      </c>
      <c r="BB72" s="394">
        <f t="shared" si="30"/>
        <v>0</v>
      </c>
      <c r="BC72" s="394">
        <f t="shared" si="30"/>
        <v>0</v>
      </c>
      <c r="BD72" s="394">
        <f t="shared" si="30"/>
        <v>0</v>
      </c>
      <c r="BE72" s="394">
        <f t="shared" si="30"/>
        <v>0</v>
      </c>
      <c r="BF72" s="394">
        <f t="shared" si="30"/>
        <v>0</v>
      </c>
      <c r="BG72" s="394">
        <f t="shared" si="30"/>
        <v>0</v>
      </c>
      <c r="BH72" s="394">
        <f t="shared" si="30"/>
        <v>0</v>
      </c>
      <c r="BI72" s="394">
        <f t="shared" si="30"/>
        <v>0</v>
      </c>
      <c r="BJ72" s="394">
        <f t="shared" si="30"/>
        <v>0</v>
      </c>
      <c r="BK72" s="394">
        <f t="shared" si="30"/>
        <v>0</v>
      </c>
      <c r="BL72" s="394">
        <f t="shared" si="30"/>
        <v>0</v>
      </c>
      <c r="BM72" s="394">
        <f t="shared" si="30"/>
        <v>0</v>
      </c>
      <c r="BN72" s="394">
        <f t="shared" si="30"/>
        <v>0</v>
      </c>
      <c r="BO72" s="394">
        <f t="shared" si="30"/>
        <v>0</v>
      </c>
      <c r="BP72" s="394">
        <f t="shared" si="30"/>
        <v>0</v>
      </c>
      <c r="BQ72" s="394">
        <f t="shared" si="31"/>
        <v>0</v>
      </c>
      <c r="BR72" s="394">
        <f t="shared" si="31"/>
        <v>0</v>
      </c>
      <c r="BS72" s="394">
        <f t="shared" si="31"/>
        <v>0</v>
      </c>
      <c r="BT72" s="394">
        <f t="shared" si="31"/>
        <v>0</v>
      </c>
      <c r="BU72" s="394">
        <f t="shared" si="31"/>
        <v>0</v>
      </c>
      <c r="BV72" s="394">
        <f t="shared" si="31"/>
        <v>0</v>
      </c>
      <c r="BW72" s="394">
        <f t="shared" si="31"/>
        <v>0</v>
      </c>
      <c r="BX72" s="394">
        <f t="shared" si="31"/>
        <v>0</v>
      </c>
      <c r="BY72" s="394">
        <f t="shared" si="31"/>
        <v>0</v>
      </c>
      <c r="BZ72" s="394">
        <f t="shared" si="31"/>
        <v>0</v>
      </c>
      <c r="CA72" s="394">
        <f t="shared" si="31"/>
        <v>0</v>
      </c>
      <c r="CB72" s="394">
        <f t="shared" si="31"/>
        <v>0</v>
      </c>
      <c r="CC72" s="394">
        <f t="shared" si="31"/>
        <v>0</v>
      </c>
      <c r="CD72" s="394">
        <f t="shared" si="31"/>
        <v>0</v>
      </c>
      <c r="CE72" s="394">
        <f t="shared" si="31"/>
        <v>0</v>
      </c>
      <c r="CF72" s="394">
        <f t="shared" si="31"/>
        <v>0</v>
      </c>
      <c r="CG72" s="394">
        <f t="shared" si="29"/>
        <v>0</v>
      </c>
      <c r="CH72" s="394">
        <f t="shared" si="29"/>
        <v>0</v>
      </c>
      <c r="CI72" s="394">
        <f t="shared" si="29"/>
        <v>0</v>
      </c>
      <c r="CJ72" s="394">
        <f t="shared" si="29"/>
        <v>0</v>
      </c>
      <c r="CK72" s="394">
        <f t="shared" si="29"/>
        <v>0</v>
      </c>
      <c r="CL72" s="394">
        <f t="shared" si="29"/>
        <v>0</v>
      </c>
      <c r="CM72" s="394">
        <f t="shared" si="29"/>
        <v>0</v>
      </c>
      <c r="CN72" s="394">
        <f t="shared" si="29"/>
        <v>0</v>
      </c>
      <c r="CO72" s="394">
        <f t="shared" si="29"/>
        <v>0</v>
      </c>
      <c r="CP72" s="394">
        <f t="shared" si="29"/>
        <v>0</v>
      </c>
      <c r="CQ72" s="394">
        <f t="shared" si="29"/>
        <v>0</v>
      </c>
      <c r="CR72" s="394">
        <f t="shared" si="8"/>
        <v>2.6666666679375339E-2</v>
      </c>
    </row>
    <row r="73" spans="2:96">
      <c r="B73" s="456"/>
      <c r="C73" s="456"/>
      <c r="D73" s="390">
        <v>48556.46</v>
      </c>
      <c r="E73" s="390">
        <f t="shared" ref="E73:E83" si="33">D73/G73</f>
        <v>1348.7905555555556</v>
      </c>
      <c r="F73" s="390">
        <f t="shared" ref="F73:F83" si="34">G73/12</f>
        <v>3</v>
      </c>
      <c r="G73" s="390">
        <v>36</v>
      </c>
      <c r="H73" s="391">
        <v>43373</v>
      </c>
      <c r="I73" s="392">
        <f t="shared" si="12"/>
        <v>44468</v>
      </c>
      <c r="J73" s="456"/>
      <c r="K73" s="393">
        <v>47207.67</v>
      </c>
      <c r="L73" s="394">
        <v>1348.79</v>
      </c>
      <c r="M73" s="394">
        <v>1348.79</v>
      </c>
      <c r="N73" s="394">
        <v>1348.79</v>
      </c>
      <c r="O73" s="394">
        <v>1348.79</v>
      </c>
      <c r="P73" s="394">
        <v>1348.79</v>
      </c>
      <c r="Q73" s="394">
        <v>1348.79</v>
      </c>
      <c r="R73" s="394">
        <v>1348.79</v>
      </c>
      <c r="S73" s="394">
        <v>1348.79</v>
      </c>
      <c r="T73" s="394">
        <v>1348.79</v>
      </c>
      <c r="U73" s="394">
        <f t="shared" ref="U73:AJ83" si="35">IF($I73&gt;U$7-30,$E73,0)</f>
        <v>1348.7905555555556</v>
      </c>
      <c r="V73" s="394">
        <f t="shared" si="35"/>
        <v>1348.7905555555556</v>
      </c>
      <c r="W73" s="394">
        <f t="shared" si="35"/>
        <v>1348.7905555555556</v>
      </c>
      <c r="X73" s="394">
        <f t="shared" si="35"/>
        <v>1348.7905555555556</v>
      </c>
      <c r="Y73" s="394">
        <f t="shared" si="35"/>
        <v>1348.7905555555556</v>
      </c>
      <c r="Z73" s="394">
        <f t="shared" si="35"/>
        <v>1348.7905555555556</v>
      </c>
      <c r="AA73" s="394">
        <f t="shared" si="35"/>
        <v>1348.7905555555556</v>
      </c>
      <c r="AB73" s="394">
        <f t="shared" si="35"/>
        <v>1348.7905555555556</v>
      </c>
      <c r="AC73" s="394">
        <f t="shared" si="35"/>
        <v>1348.7905555555556</v>
      </c>
      <c r="AD73" s="394">
        <f t="shared" si="35"/>
        <v>1348.7905555555556</v>
      </c>
      <c r="AE73" s="394">
        <f t="shared" si="35"/>
        <v>1348.7905555555556</v>
      </c>
      <c r="AF73" s="394">
        <f t="shared" si="35"/>
        <v>1348.7905555555556</v>
      </c>
      <c r="AG73" s="394">
        <f t="shared" si="35"/>
        <v>1348.7905555555556</v>
      </c>
      <c r="AH73" s="394">
        <f t="shared" si="35"/>
        <v>1348.7905555555556</v>
      </c>
      <c r="AI73" s="394">
        <f t="shared" si="35"/>
        <v>1348.7905555555556</v>
      </c>
      <c r="AJ73" s="394">
        <f t="shared" si="35"/>
        <v>1348.7905555555556</v>
      </c>
      <c r="AK73" s="394">
        <f t="shared" ref="AK73:AZ83" si="36">IF($I73&gt;AK$7-30,$E73,0)</f>
        <v>1348.7905555555556</v>
      </c>
      <c r="AL73" s="394">
        <f t="shared" si="36"/>
        <v>1348.7905555555556</v>
      </c>
      <c r="AM73" s="394">
        <f t="shared" si="36"/>
        <v>1348.7905555555556</v>
      </c>
      <c r="AN73" s="394">
        <f t="shared" si="36"/>
        <v>1348.7905555555556</v>
      </c>
      <c r="AO73" s="394">
        <f t="shared" si="36"/>
        <v>1348.7905555555556</v>
      </c>
      <c r="AP73" s="394">
        <f t="shared" si="36"/>
        <v>1348.7905555555556</v>
      </c>
      <c r="AQ73" s="394">
        <f t="shared" si="36"/>
        <v>1348.7905555555556</v>
      </c>
      <c r="AR73" s="394">
        <f t="shared" si="36"/>
        <v>1348.7905555555556</v>
      </c>
      <c r="AS73" s="394">
        <f t="shared" si="36"/>
        <v>1348.7905555555556</v>
      </c>
      <c r="AT73" s="394">
        <f t="shared" si="36"/>
        <v>1348.7905555555556</v>
      </c>
      <c r="AU73" s="394">
        <v>0</v>
      </c>
      <c r="AV73" s="394">
        <f t="shared" si="36"/>
        <v>0</v>
      </c>
      <c r="AW73" s="394">
        <f t="shared" si="36"/>
        <v>0</v>
      </c>
      <c r="AX73" s="394">
        <f t="shared" si="36"/>
        <v>0</v>
      </c>
      <c r="AY73" s="394">
        <f t="shared" si="36"/>
        <v>0</v>
      </c>
      <c r="AZ73" s="394">
        <f t="shared" si="36"/>
        <v>0</v>
      </c>
      <c r="BA73" s="394">
        <f t="shared" si="30"/>
        <v>0</v>
      </c>
      <c r="BB73" s="394">
        <f t="shared" si="30"/>
        <v>0</v>
      </c>
      <c r="BC73" s="394">
        <f t="shared" si="30"/>
        <v>0</v>
      </c>
      <c r="BD73" s="394">
        <f t="shared" si="30"/>
        <v>0</v>
      </c>
      <c r="BE73" s="394">
        <f t="shared" si="30"/>
        <v>0</v>
      </c>
      <c r="BF73" s="394">
        <f t="shared" si="30"/>
        <v>0</v>
      </c>
      <c r="BG73" s="394">
        <f t="shared" si="30"/>
        <v>0</v>
      </c>
      <c r="BH73" s="394">
        <f t="shared" si="30"/>
        <v>0</v>
      </c>
      <c r="BI73" s="394">
        <f t="shared" si="30"/>
        <v>0</v>
      </c>
      <c r="BJ73" s="394">
        <f t="shared" si="30"/>
        <v>0</v>
      </c>
      <c r="BK73" s="394">
        <f t="shared" si="30"/>
        <v>0</v>
      </c>
      <c r="BL73" s="394">
        <f t="shared" si="30"/>
        <v>0</v>
      </c>
      <c r="BM73" s="394">
        <f t="shared" si="30"/>
        <v>0</v>
      </c>
      <c r="BN73" s="394">
        <f t="shared" si="30"/>
        <v>0</v>
      </c>
      <c r="BO73" s="394">
        <f t="shared" si="30"/>
        <v>0</v>
      </c>
      <c r="BP73" s="394">
        <f t="shared" si="30"/>
        <v>0</v>
      </c>
      <c r="BQ73" s="394">
        <f t="shared" si="31"/>
        <v>0</v>
      </c>
      <c r="BR73" s="394">
        <f t="shared" si="31"/>
        <v>0</v>
      </c>
      <c r="BS73" s="394">
        <f t="shared" si="31"/>
        <v>0</v>
      </c>
      <c r="BT73" s="394">
        <f t="shared" si="31"/>
        <v>0</v>
      </c>
      <c r="BU73" s="394">
        <f t="shared" si="31"/>
        <v>0</v>
      </c>
      <c r="BV73" s="394">
        <f t="shared" si="31"/>
        <v>0</v>
      </c>
      <c r="BW73" s="394">
        <f t="shared" si="31"/>
        <v>0</v>
      </c>
      <c r="BX73" s="394">
        <f t="shared" si="31"/>
        <v>0</v>
      </c>
      <c r="BY73" s="394">
        <f t="shared" si="31"/>
        <v>0</v>
      </c>
      <c r="BZ73" s="394">
        <f t="shared" si="31"/>
        <v>0</v>
      </c>
      <c r="CA73" s="394">
        <f t="shared" si="31"/>
        <v>0</v>
      </c>
      <c r="CB73" s="394">
        <f t="shared" si="31"/>
        <v>0</v>
      </c>
      <c r="CC73" s="394">
        <f t="shared" si="31"/>
        <v>0</v>
      </c>
      <c r="CD73" s="394">
        <f t="shared" si="31"/>
        <v>0</v>
      </c>
      <c r="CE73" s="394">
        <f t="shared" si="31"/>
        <v>0</v>
      </c>
      <c r="CF73" s="394">
        <f t="shared" si="31"/>
        <v>0</v>
      </c>
      <c r="CG73" s="394">
        <f t="shared" si="29"/>
        <v>0</v>
      </c>
      <c r="CH73" s="394">
        <f t="shared" si="29"/>
        <v>0</v>
      </c>
      <c r="CI73" s="394">
        <f t="shared" si="29"/>
        <v>0</v>
      </c>
      <c r="CJ73" s="394">
        <f t="shared" si="29"/>
        <v>0</v>
      </c>
      <c r="CK73" s="394">
        <f t="shared" si="29"/>
        <v>0</v>
      </c>
      <c r="CL73" s="394">
        <f t="shared" si="29"/>
        <v>0</v>
      </c>
      <c r="CM73" s="394">
        <f t="shared" si="29"/>
        <v>0</v>
      </c>
      <c r="CN73" s="394">
        <f t="shared" si="29"/>
        <v>0</v>
      </c>
      <c r="CO73" s="394">
        <f t="shared" si="29"/>
        <v>0</v>
      </c>
      <c r="CP73" s="394">
        <f t="shared" si="29"/>
        <v>0</v>
      </c>
      <c r="CQ73" s="394">
        <f t="shared" si="29"/>
        <v>0</v>
      </c>
      <c r="CR73" s="394">
        <f t="shared" ref="CR73:CR83" si="37">K73-(SUM(L73:CQ73))</f>
        <v>5.5555555591126904E-3</v>
      </c>
    </row>
    <row r="74" spans="2:96">
      <c r="B74" s="456"/>
      <c r="C74" s="456"/>
      <c r="D74" s="390">
        <v>19206.45</v>
      </c>
      <c r="E74" s="390">
        <f t="shared" si="33"/>
        <v>533.51250000000005</v>
      </c>
      <c r="F74" s="390">
        <f t="shared" si="34"/>
        <v>3</v>
      </c>
      <c r="G74" s="390">
        <v>36</v>
      </c>
      <c r="H74" s="391">
        <v>43373</v>
      </c>
      <c r="I74" s="392">
        <f t="shared" si="12"/>
        <v>44468</v>
      </c>
      <c r="J74" s="456"/>
      <c r="K74" s="393">
        <v>15471.86</v>
      </c>
      <c r="L74" s="394">
        <v>533.51</v>
      </c>
      <c r="M74" s="394">
        <v>533.51</v>
      </c>
      <c r="N74" s="394">
        <v>533.51</v>
      </c>
      <c r="O74" s="394">
        <v>533.51</v>
      </c>
      <c r="P74" s="394">
        <v>533.51</v>
      </c>
      <c r="Q74" s="394">
        <v>533.51</v>
      </c>
      <c r="R74" s="394">
        <v>533.51</v>
      </c>
      <c r="S74" s="394">
        <v>533.51</v>
      </c>
      <c r="T74" s="394">
        <v>533.51</v>
      </c>
      <c r="U74" s="394">
        <f t="shared" si="35"/>
        <v>533.51250000000005</v>
      </c>
      <c r="V74" s="394">
        <f t="shared" si="35"/>
        <v>533.51250000000005</v>
      </c>
      <c r="W74" s="394">
        <f t="shared" si="35"/>
        <v>533.51250000000005</v>
      </c>
      <c r="X74" s="394">
        <f t="shared" si="35"/>
        <v>533.51250000000005</v>
      </c>
      <c r="Y74" s="394">
        <f t="shared" si="35"/>
        <v>533.51250000000005</v>
      </c>
      <c r="Z74" s="394">
        <f t="shared" si="35"/>
        <v>533.51250000000005</v>
      </c>
      <c r="AA74" s="394">
        <f t="shared" si="35"/>
        <v>533.51250000000005</v>
      </c>
      <c r="AB74" s="394">
        <f t="shared" si="35"/>
        <v>533.51250000000005</v>
      </c>
      <c r="AC74" s="394">
        <f t="shared" si="35"/>
        <v>533.51250000000005</v>
      </c>
      <c r="AD74" s="394">
        <f t="shared" si="35"/>
        <v>533.51250000000005</v>
      </c>
      <c r="AE74" s="394">
        <f t="shared" si="35"/>
        <v>533.51250000000005</v>
      </c>
      <c r="AF74" s="394">
        <f t="shared" si="35"/>
        <v>533.51250000000005</v>
      </c>
      <c r="AG74" s="394">
        <f t="shared" si="35"/>
        <v>533.51250000000005</v>
      </c>
      <c r="AH74" s="394">
        <f t="shared" si="35"/>
        <v>533.51250000000005</v>
      </c>
      <c r="AI74" s="394">
        <f t="shared" si="35"/>
        <v>533.51250000000005</v>
      </c>
      <c r="AJ74" s="394">
        <f t="shared" si="35"/>
        <v>533.51250000000005</v>
      </c>
      <c r="AK74" s="394">
        <f t="shared" si="36"/>
        <v>533.51250000000005</v>
      </c>
      <c r="AL74" s="394">
        <f t="shared" si="36"/>
        <v>533.51250000000005</v>
      </c>
      <c r="AM74" s="394">
        <f t="shared" si="36"/>
        <v>533.51250000000005</v>
      </c>
      <c r="AN74" s="394">
        <f t="shared" si="36"/>
        <v>533.51250000000005</v>
      </c>
      <c r="AO74" s="394">
        <v>0</v>
      </c>
      <c r="AP74" s="394">
        <v>0</v>
      </c>
      <c r="AQ74" s="394">
        <v>0</v>
      </c>
      <c r="AR74" s="394">
        <v>0</v>
      </c>
      <c r="AS74" s="394">
        <v>0</v>
      </c>
      <c r="AT74" s="394">
        <v>0</v>
      </c>
      <c r="AU74" s="394">
        <v>0</v>
      </c>
      <c r="AV74" s="394">
        <f t="shared" si="36"/>
        <v>0</v>
      </c>
      <c r="AW74" s="394">
        <f t="shared" si="36"/>
        <v>0</v>
      </c>
      <c r="AX74" s="394">
        <f t="shared" si="36"/>
        <v>0</v>
      </c>
      <c r="AY74" s="394">
        <f t="shared" si="36"/>
        <v>0</v>
      </c>
      <c r="AZ74" s="394">
        <f t="shared" si="36"/>
        <v>0</v>
      </c>
      <c r="BA74" s="394">
        <f t="shared" si="30"/>
        <v>0</v>
      </c>
      <c r="BB74" s="394">
        <f t="shared" si="30"/>
        <v>0</v>
      </c>
      <c r="BC74" s="394">
        <f t="shared" si="30"/>
        <v>0</v>
      </c>
      <c r="BD74" s="394">
        <f t="shared" si="30"/>
        <v>0</v>
      </c>
      <c r="BE74" s="394">
        <f t="shared" si="30"/>
        <v>0</v>
      </c>
      <c r="BF74" s="394">
        <f t="shared" si="30"/>
        <v>0</v>
      </c>
      <c r="BG74" s="394">
        <f t="shared" si="30"/>
        <v>0</v>
      </c>
      <c r="BH74" s="394">
        <f t="shared" si="30"/>
        <v>0</v>
      </c>
      <c r="BI74" s="394">
        <f t="shared" si="30"/>
        <v>0</v>
      </c>
      <c r="BJ74" s="394">
        <f t="shared" si="30"/>
        <v>0</v>
      </c>
      <c r="BK74" s="394">
        <f t="shared" si="30"/>
        <v>0</v>
      </c>
      <c r="BL74" s="394">
        <f t="shared" si="30"/>
        <v>0</v>
      </c>
      <c r="BM74" s="394">
        <f t="shared" si="30"/>
        <v>0</v>
      </c>
      <c r="BN74" s="394">
        <f t="shared" si="30"/>
        <v>0</v>
      </c>
      <c r="BO74" s="394">
        <f t="shared" si="30"/>
        <v>0</v>
      </c>
      <c r="BP74" s="394">
        <f t="shared" si="30"/>
        <v>0</v>
      </c>
      <c r="BQ74" s="394">
        <f t="shared" si="31"/>
        <v>0</v>
      </c>
      <c r="BR74" s="394">
        <f t="shared" si="31"/>
        <v>0</v>
      </c>
      <c r="BS74" s="394">
        <f t="shared" si="31"/>
        <v>0</v>
      </c>
      <c r="BT74" s="394">
        <f t="shared" si="31"/>
        <v>0</v>
      </c>
      <c r="BU74" s="394">
        <f t="shared" si="31"/>
        <v>0</v>
      </c>
      <c r="BV74" s="394">
        <f t="shared" si="31"/>
        <v>0</v>
      </c>
      <c r="BW74" s="394">
        <f t="shared" si="31"/>
        <v>0</v>
      </c>
      <c r="BX74" s="394">
        <f t="shared" si="31"/>
        <v>0</v>
      </c>
      <c r="BY74" s="394">
        <f t="shared" si="31"/>
        <v>0</v>
      </c>
      <c r="BZ74" s="394">
        <f t="shared" si="31"/>
        <v>0</v>
      </c>
      <c r="CA74" s="394">
        <f t="shared" si="31"/>
        <v>0</v>
      </c>
      <c r="CB74" s="394">
        <f t="shared" si="31"/>
        <v>0</v>
      </c>
      <c r="CC74" s="394">
        <f t="shared" si="31"/>
        <v>0</v>
      </c>
      <c r="CD74" s="394">
        <f t="shared" si="31"/>
        <v>0</v>
      </c>
      <c r="CE74" s="394">
        <f t="shared" si="31"/>
        <v>0</v>
      </c>
      <c r="CF74" s="394">
        <f t="shared" si="31"/>
        <v>0</v>
      </c>
      <c r="CG74" s="394">
        <f t="shared" si="29"/>
        <v>0</v>
      </c>
      <c r="CH74" s="394">
        <f t="shared" si="29"/>
        <v>0</v>
      </c>
      <c r="CI74" s="394">
        <f t="shared" si="29"/>
        <v>0</v>
      </c>
      <c r="CJ74" s="394">
        <f t="shared" si="29"/>
        <v>0</v>
      </c>
      <c r="CK74" s="394">
        <f t="shared" si="29"/>
        <v>0</v>
      </c>
      <c r="CL74" s="394">
        <f t="shared" si="29"/>
        <v>0</v>
      </c>
      <c r="CM74" s="394">
        <f t="shared" si="29"/>
        <v>0</v>
      </c>
      <c r="CN74" s="394">
        <f t="shared" si="29"/>
        <v>0</v>
      </c>
      <c r="CO74" s="394">
        <f t="shared" si="29"/>
        <v>0</v>
      </c>
      <c r="CP74" s="394">
        <f t="shared" si="29"/>
        <v>0</v>
      </c>
      <c r="CQ74" s="394">
        <f t="shared" si="29"/>
        <v>0</v>
      </c>
      <c r="CR74" s="394">
        <f t="shared" si="37"/>
        <v>1.999999999134161E-2</v>
      </c>
    </row>
    <row r="75" spans="2:96">
      <c r="B75" s="456"/>
      <c r="C75" s="456"/>
      <c r="D75" s="390">
        <v>316588</v>
      </c>
      <c r="E75" s="390">
        <f t="shared" si="33"/>
        <v>8794.1111111111113</v>
      </c>
      <c r="F75" s="390">
        <f t="shared" si="34"/>
        <v>3</v>
      </c>
      <c r="G75" s="390">
        <v>36</v>
      </c>
      <c r="H75" s="391">
        <v>43373</v>
      </c>
      <c r="I75" s="392">
        <f t="shared" si="12"/>
        <v>44468</v>
      </c>
      <c r="J75" s="456"/>
      <c r="K75" s="393">
        <v>298999.78000000003</v>
      </c>
      <c r="L75" s="394">
        <v>8794.11</v>
      </c>
      <c r="M75" s="394">
        <v>4397.0600000000004</v>
      </c>
      <c r="N75" s="394">
        <v>4397.0600000000004</v>
      </c>
      <c r="O75" s="394">
        <v>4397.0600000000004</v>
      </c>
      <c r="P75" s="394">
        <v>4397.0600000000004</v>
      </c>
      <c r="Q75" s="394">
        <v>26382.31</v>
      </c>
      <c r="R75" s="394">
        <f>K75/36</f>
        <v>8305.5494444444448</v>
      </c>
      <c r="S75" s="394">
        <v>8305.5494444444448</v>
      </c>
      <c r="T75" s="394">
        <v>8305.5494444444448</v>
      </c>
      <c r="U75" s="394">
        <f t="shared" si="35"/>
        <v>8794.1111111111113</v>
      </c>
      <c r="V75" s="394">
        <f t="shared" si="35"/>
        <v>8794.1111111111113</v>
      </c>
      <c r="W75" s="394">
        <f t="shared" si="35"/>
        <v>8794.1111111111113</v>
      </c>
      <c r="X75" s="394">
        <f t="shared" si="35"/>
        <v>8794.1111111111113</v>
      </c>
      <c r="Y75" s="394">
        <f t="shared" si="35"/>
        <v>8794.1111111111113</v>
      </c>
      <c r="Z75" s="394">
        <f t="shared" si="35"/>
        <v>8794.1111111111113</v>
      </c>
      <c r="AA75" s="394">
        <f t="shared" si="35"/>
        <v>8794.1111111111113</v>
      </c>
      <c r="AB75" s="394">
        <f t="shared" si="35"/>
        <v>8794.1111111111113</v>
      </c>
      <c r="AC75" s="394">
        <f t="shared" si="35"/>
        <v>8794.1111111111113</v>
      </c>
      <c r="AD75" s="394">
        <f t="shared" si="35"/>
        <v>8794.1111111111113</v>
      </c>
      <c r="AE75" s="394">
        <f t="shared" si="35"/>
        <v>8794.1111111111113</v>
      </c>
      <c r="AF75" s="394">
        <f t="shared" si="35"/>
        <v>8794.1111111111113</v>
      </c>
      <c r="AG75" s="394">
        <f t="shared" si="35"/>
        <v>8794.1111111111113</v>
      </c>
      <c r="AH75" s="394">
        <f t="shared" si="35"/>
        <v>8794.1111111111113</v>
      </c>
      <c r="AI75" s="394">
        <f t="shared" si="35"/>
        <v>8794.1111111111113</v>
      </c>
      <c r="AJ75" s="394">
        <f t="shared" si="35"/>
        <v>8794.1111111111113</v>
      </c>
      <c r="AK75" s="394">
        <f t="shared" si="36"/>
        <v>8794.1111111111113</v>
      </c>
      <c r="AL75" s="394">
        <f t="shared" si="36"/>
        <v>8794.1111111111113</v>
      </c>
      <c r="AM75" s="394">
        <f t="shared" si="36"/>
        <v>8794.1111111111113</v>
      </c>
      <c r="AN75" s="394">
        <f t="shared" si="36"/>
        <v>8794.1111111111113</v>
      </c>
      <c r="AO75" s="394">
        <f t="shared" si="36"/>
        <v>8794.1111111111113</v>
      </c>
      <c r="AP75" s="394">
        <f t="shared" si="36"/>
        <v>8794.1111111111113</v>
      </c>
      <c r="AQ75" s="394">
        <f t="shared" si="36"/>
        <v>8794.1111111111113</v>
      </c>
      <c r="AR75" s="394">
        <f t="shared" si="36"/>
        <v>8794.1111111111113</v>
      </c>
      <c r="AS75" s="394">
        <f t="shared" si="36"/>
        <v>8794.1111111111113</v>
      </c>
      <c r="AT75" s="394">
        <v>1465.69</v>
      </c>
      <c r="AU75" s="394">
        <v>0</v>
      </c>
      <c r="AV75" s="394">
        <f t="shared" si="36"/>
        <v>0</v>
      </c>
      <c r="AW75" s="394">
        <f t="shared" si="36"/>
        <v>0</v>
      </c>
      <c r="AX75" s="394">
        <f t="shared" si="36"/>
        <v>0</v>
      </c>
      <c r="AY75" s="394">
        <f t="shared" si="36"/>
        <v>0</v>
      </c>
      <c r="AZ75" s="394">
        <f t="shared" si="36"/>
        <v>0</v>
      </c>
      <c r="BA75" s="394">
        <f t="shared" si="30"/>
        <v>0</v>
      </c>
      <c r="BB75" s="394">
        <f t="shared" si="30"/>
        <v>0</v>
      </c>
      <c r="BC75" s="394">
        <f t="shared" si="30"/>
        <v>0</v>
      </c>
      <c r="BD75" s="394">
        <f t="shared" si="30"/>
        <v>0</v>
      </c>
      <c r="BE75" s="394">
        <f t="shared" si="30"/>
        <v>0</v>
      </c>
      <c r="BF75" s="394">
        <f t="shared" si="30"/>
        <v>0</v>
      </c>
      <c r="BG75" s="394">
        <f t="shared" si="30"/>
        <v>0</v>
      </c>
      <c r="BH75" s="394">
        <f t="shared" si="30"/>
        <v>0</v>
      </c>
      <c r="BI75" s="394">
        <f t="shared" si="30"/>
        <v>0</v>
      </c>
      <c r="BJ75" s="394">
        <f t="shared" si="30"/>
        <v>0</v>
      </c>
      <c r="BK75" s="394">
        <f t="shared" si="30"/>
        <v>0</v>
      </c>
      <c r="BL75" s="394">
        <f t="shared" si="30"/>
        <v>0</v>
      </c>
      <c r="BM75" s="394">
        <f t="shared" si="30"/>
        <v>0</v>
      </c>
      <c r="BN75" s="394">
        <f t="shared" si="30"/>
        <v>0</v>
      </c>
      <c r="BO75" s="394">
        <f t="shared" si="30"/>
        <v>0</v>
      </c>
      <c r="BP75" s="394">
        <f t="shared" si="30"/>
        <v>0</v>
      </c>
      <c r="BQ75" s="394">
        <f t="shared" si="31"/>
        <v>0</v>
      </c>
      <c r="BR75" s="394">
        <f t="shared" si="31"/>
        <v>0</v>
      </c>
      <c r="BS75" s="394">
        <f t="shared" si="31"/>
        <v>0</v>
      </c>
      <c r="BT75" s="394">
        <f t="shared" si="31"/>
        <v>0</v>
      </c>
      <c r="BU75" s="394">
        <f t="shared" si="31"/>
        <v>0</v>
      </c>
      <c r="BV75" s="394">
        <f t="shared" si="31"/>
        <v>0</v>
      </c>
      <c r="BW75" s="394">
        <f t="shared" si="31"/>
        <v>0</v>
      </c>
      <c r="BX75" s="394">
        <f t="shared" si="31"/>
        <v>0</v>
      </c>
      <c r="BY75" s="394">
        <f t="shared" si="31"/>
        <v>0</v>
      </c>
      <c r="BZ75" s="394">
        <f t="shared" si="31"/>
        <v>0</v>
      </c>
      <c r="CA75" s="394">
        <f t="shared" si="31"/>
        <v>0</v>
      </c>
      <c r="CB75" s="394">
        <f t="shared" si="31"/>
        <v>0</v>
      </c>
      <c r="CC75" s="394">
        <f t="shared" si="31"/>
        <v>0</v>
      </c>
      <c r="CD75" s="394">
        <f t="shared" si="31"/>
        <v>0</v>
      </c>
      <c r="CE75" s="394">
        <f t="shared" si="31"/>
        <v>0</v>
      </c>
      <c r="CF75" s="394">
        <f t="shared" si="31"/>
        <v>0</v>
      </c>
      <c r="CG75" s="394">
        <f t="shared" si="29"/>
        <v>0</v>
      </c>
      <c r="CH75" s="394">
        <f t="shared" si="29"/>
        <v>0</v>
      </c>
      <c r="CI75" s="394">
        <f t="shared" si="29"/>
        <v>0</v>
      </c>
      <c r="CJ75" s="394">
        <f t="shared" si="29"/>
        <v>0</v>
      </c>
      <c r="CK75" s="394">
        <f t="shared" si="29"/>
        <v>0</v>
      </c>
      <c r="CL75" s="394">
        <f t="shared" si="29"/>
        <v>0</v>
      </c>
      <c r="CM75" s="394">
        <f t="shared" si="29"/>
        <v>0</v>
      </c>
      <c r="CN75" s="394">
        <f t="shared" si="29"/>
        <v>0</v>
      </c>
      <c r="CO75" s="394">
        <f t="shared" si="29"/>
        <v>0</v>
      </c>
      <c r="CP75" s="394">
        <f t="shared" si="29"/>
        <v>0</v>
      </c>
      <c r="CQ75" s="394">
        <f t="shared" si="29"/>
        <v>0</v>
      </c>
      <c r="CR75" s="394">
        <f t="shared" si="37"/>
        <v>3.8888886920176446E-3</v>
      </c>
    </row>
    <row r="76" spans="2:96">
      <c r="B76" s="456"/>
      <c r="C76" s="456"/>
      <c r="D76" s="390">
        <v>10419.120000000001</v>
      </c>
      <c r="E76" s="390">
        <f t="shared" si="33"/>
        <v>289.42</v>
      </c>
      <c r="F76" s="390">
        <f t="shared" si="34"/>
        <v>3</v>
      </c>
      <c r="G76" s="390">
        <v>36</v>
      </c>
      <c r="H76" s="391">
        <v>43429</v>
      </c>
      <c r="I76" s="392">
        <f t="shared" si="12"/>
        <v>44524</v>
      </c>
      <c r="J76" s="456"/>
      <c r="K76" s="393">
        <v>10419.120000000001</v>
      </c>
      <c r="L76" s="376"/>
      <c r="M76" s="376"/>
      <c r="N76" s="376"/>
      <c r="O76" s="376"/>
      <c r="P76" s="376"/>
      <c r="Q76" s="394">
        <v>1157.68</v>
      </c>
      <c r="R76" s="394">
        <f>K76/36</f>
        <v>289.42</v>
      </c>
      <c r="S76" s="394">
        <v>289.42</v>
      </c>
      <c r="T76" s="394">
        <v>289.42</v>
      </c>
      <c r="U76" s="394">
        <f t="shared" si="35"/>
        <v>289.42</v>
      </c>
      <c r="V76" s="394">
        <f t="shared" si="35"/>
        <v>289.42</v>
      </c>
      <c r="W76" s="394">
        <f t="shared" si="35"/>
        <v>289.42</v>
      </c>
      <c r="X76" s="394">
        <f t="shared" si="35"/>
        <v>289.42</v>
      </c>
      <c r="Y76" s="394">
        <f t="shared" si="35"/>
        <v>289.42</v>
      </c>
      <c r="Z76" s="394">
        <f t="shared" si="35"/>
        <v>289.42</v>
      </c>
      <c r="AA76" s="394">
        <f t="shared" si="35"/>
        <v>289.42</v>
      </c>
      <c r="AB76" s="394">
        <f t="shared" si="35"/>
        <v>289.42</v>
      </c>
      <c r="AC76" s="394">
        <f t="shared" si="35"/>
        <v>289.42</v>
      </c>
      <c r="AD76" s="394">
        <f t="shared" si="35"/>
        <v>289.42</v>
      </c>
      <c r="AE76" s="394">
        <f t="shared" si="35"/>
        <v>289.42</v>
      </c>
      <c r="AF76" s="394">
        <f t="shared" si="35"/>
        <v>289.42</v>
      </c>
      <c r="AG76" s="394">
        <f t="shared" si="35"/>
        <v>289.42</v>
      </c>
      <c r="AH76" s="394">
        <f t="shared" si="35"/>
        <v>289.42</v>
      </c>
      <c r="AI76" s="394">
        <f t="shared" si="35"/>
        <v>289.42</v>
      </c>
      <c r="AJ76" s="394">
        <f t="shared" si="35"/>
        <v>289.42</v>
      </c>
      <c r="AK76" s="394">
        <f t="shared" si="36"/>
        <v>289.42</v>
      </c>
      <c r="AL76" s="394">
        <f t="shared" si="36"/>
        <v>289.42</v>
      </c>
      <c r="AM76" s="394">
        <f t="shared" si="36"/>
        <v>289.42</v>
      </c>
      <c r="AN76" s="394">
        <f t="shared" si="36"/>
        <v>289.42</v>
      </c>
      <c r="AO76" s="394">
        <f t="shared" si="36"/>
        <v>289.42</v>
      </c>
      <c r="AP76" s="394">
        <f t="shared" si="36"/>
        <v>289.42</v>
      </c>
      <c r="AQ76" s="394">
        <f t="shared" si="36"/>
        <v>289.42</v>
      </c>
      <c r="AR76" s="394">
        <f t="shared" si="36"/>
        <v>289.42</v>
      </c>
      <c r="AS76" s="394">
        <f t="shared" si="36"/>
        <v>289.42</v>
      </c>
      <c r="AT76" s="394">
        <f t="shared" si="36"/>
        <v>289.42</v>
      </c>
      <c r="AU76" s="394">
        <f t="shared" si="36"/>
        <v>289.42</v>
      </c>
      <c r="AV76" s="394">
        <f t="shared" si="36"/>
        <v>289.42</v>
      </c>
      <c r="AW76" s="394">
        <f t="shared" si="36"/>
        <v>289.42</v>
      </c>
      <c r="AX76" s="394">
        <f t="shared" si="36"/>
        <v>0</v>
      </c>
      <c r="AY76" s="394">
        <f t="shared" si="36"/>
        <v>0</v>
      </c>
      <c r="AZ76" s="394">
        <f t="shared" si="36"/>
        <v>0</v>
      </c>
      <c r="BA76" s="394">
        <f t="shared" si="30"/>
        <v>0</v>
      </c>
      <c r="BB76" s="394">
        <f t="shared" si="30"/>
        <v>0</v>
      </c>
      <c r="BC76" s="394">
        <f t="shared" si="30"/>
        <v>0</v>
      </c>
      <c r="BD76" s="394">
        <f t="shared" si="30"/>
        <v>0</v>
      </c>
      <c r="BE76" s="394">
        <f t="shared" si="30"/>
        <v>0</v>
      </c>
      <c r="BF76" s="394">
        <f t="shared" si="30"/>
        <v>0</v>
      </c>
      <c r="BG76" s="394">
        <f t="shared" si="30"/>
        <v>0</v>
      </c>
      <c r="BH76" s="394">
        <f t="shared" si="30"/>
        <v>0</v>
      </c>
      <c r="BI76" s="394">
        <f t="shared" si="30"/>
        <v>0</v>
      </c>
      <c r="BJ76" s="394">
        <f t="shared" si="30"/>
        <v>0</v>
      </c>
      <c r="BK76" s="394">
        <f t="shared" si="30"/>
        <v>0</v>
      </c>
      <c r="BL76" s="394">
        <f t="shared" si="30"/>
        <v>0</v>
      </c>
      <c r="BM76" s="394">
        <f t="shared" si="30"/>
        <v>0</v>
      </c>
      <c r="BN76" s="394">
        <f t="shared" si="30"/>
        <v>0</v>
      </c>
      <c r="BO76" s="394">
        <f t="shared" si="30"/>
        <v>0</v>
      </c>
      <c r="BP76" s="394">
        <f t="shared" si="30"/>
        <v>0</v>
      </c>
      <c r="BQ76" s="394">
        <f t="shared" si="31"/>
        <v>0</v>
      </c>
      <c r="BR76" s="394">
        <f t="shared" si="31"/>
        <v>0</v>
      </c>
      <c r="BS76" s="394">
        <f t="shared" si="31"/>
        <v>0</v>
      </c>
      <c r="BT76" s="394">
        <f t="shared" si="31"/>
        <v>0</v>
      </c>
      <c r="BU76" s="394">
        <f t="shared" si="31"/>
        <v>0</v>
      </c>
      <c r="BV76" s="394">
        <f t="shared" si="31"/>
        <v>0</v>
      </c>
      <c r="BW76" s="394">
        <f t="shared" si="31"/>
        <v>0</v>
      </c>
      <c r="BX76" s="394">
        <f t="shared" si="31"/>
        <v>0</v>
      </c>
      <c r="BY76" s="394">
        <f t="shared" si="31"/>
        <v>0</v>
      </c>
      <c r="BZ76" s="394">
        <f t="shared" si="31"/>
        <v>0</v>
      </c>
      <c r="CA76" s="394">
        <f t="shared" si="31"/>
        <v>0</v>
      </c>
      <c r="CB76" s="394">
        <f t="shared" si="31"/>
        <v>0</v>
      </c>
      <c r="CC76" s="394">
        <f t="shared" si="31"/>
        <v>0</v>
      </c>
      <c r="CD76" s="394">
        <f t="shared" si="31"/>
        <v>0</v>
      </c>
      <c r="CE76" s="394">
        <f t="shared" si="31"/>
        <v>0</v>
      </c>
      <c r="CF76" s="394">
        <f t="shared" si="31"/>
        <v>0</v>
      </c>
      <c r="CG76" s="394">
        <f t="shared" si="29"/>
        <v>0</v>
      </c>
      <c r="CH76" s="394">
        <f t="shared" si="29"/>
        <v>0</v>
      </c>
      <c r="CI76" s="394">
        <f t="shared" si="29"/>
        <v>0</v>
      </c>
      <c r="CJ76" s="394">
        <f t="shared" si="29"/>
        <v>0</v>
      </c>
      <c r="CK76" s="394">
        <f t="shared" si="29"/>
        <v>0</v>
      </c>
      <c r="CL76" s="394">
        <f t="shared" si="29"/>
        <v>0</v>
      </c>
      <c r="CM76" s="394">
        <f t="shared" si="29"/>
        <v>0</v>
      </c>
      <c r="CN76" s="394">
        <f t="shared" si="29"/>
        <v>0</v>
      </c>
      <c r="CO76" s="394">
        <f t="shared" si="29"/>
        <v>0</v>
      </c>
      <c r="CP76" s="394">
        <f t="shared" si="29"/>
        <v>0</v>
      </c>
      <c r="CQ76" s="394">
        <f t="shared" si="29"/>
        <v>0</v>
      </c>
      <c r="CR76" s="394">
        <f t="shared" si="37"/>
        <v>0</v>
      </c>
    </row>
    <row r="77" spans="2:96">
      <c r="B77" s="456"/>
      <c r="C77" s="456"/>
      <c r="D77" s="390">
        <v>28086.080000000002</v>
      </c>
      <c r="E77" s="390">
        <f t="shared" si="33"/>
        <v>780.16888888888889</v>
      </c>
      <c r="F77" s="390">
        <f t="shared" si="34"/>
        <v>3</v>
      </c>
      <c r="G77" s="390">
        <v>36</v>
      </c>
      <c r="H77" s="391">
        <v>43429</v>
      </c>
      <c r="I77" s="392">
        <f t="shared" si="12"/>
        <v>44524</v>
      </c>
      <c r="J77" s="456"/>
      <c r="K77" s="393">
        <v>28086.080000000002</v>
      </c>
      <c r="L77" s="376"/>
      <c r="M77" s="376"/>
      <c r="N77" s="376"/>
      <c r="O77" s="376"/>
      <c r="P77" s="376"/>
      <c r="Q77" s="394">
        <f>K77/36*4</f>
        <v>3120.6755555555555</v>
      </c>
      <c r="R77" s="394">
        <f>K77/36</f>
        <v>780.16888888888889</v>
      </c>
      <c r="S77" s="394">
        <v>780.16888888888889</v>
      </c>
      <c r="T77" s="394">
        <v>780.16888888888889</v>
      </c>
      <c r="U77" s="394">
        <f t="shared" si="35"/>
        <v>780.16888888888889</v>
      </c>
      <c r="V77" s="394">
        <f t="shared" si="35"/>
        <v>780.16888888888889</v>
      </c>
      <c r="W77" s="394">
        <f t="shared" si="35"/>
        <v>780.16888888888889</v>
      </c>
      <c r="X77" s="394">
        <f t="shared" si="35"/>
        <v>780.16888888888889</v>
      </c>
      <c r="Y77" s="394">
        <f t="shared" si="35"/>
        <v>780.16888888888889</v>
      </c>
      <c r="Z77" s="394">
        <f t="shared" si="35"/>
        <v>780.16888888888889</v>
      </c>
      <c r="AA77" s="394">
        <f t="shared" si="35"/>
        <v>780.16888888888889</v>
      </c>
      <c r="AB77" s="394">
        <f t="shared" si="35"/>
        <v>780.16888888888889</v>
      </c>
      <c r="AC77" s="394">
        <f t="shared" si="35"/>
        <v>780.16888888888889</v>
      </c>
      <c r="AD77" s="394">
        <f t="shared" si="35"/>
        <v>780.16888888888889</v>
      </c>
      <c r="AE77" s="394">
        <f t="shared" si="35"/>
        <v>780.16888888888889</v>
      </c>
      <c r="AF77" s="394">
        <f t="shared" si="35"/>
        <v>780.16888888888889</v>
      </c>
      <c r="AG77" s="394">
        <f t="shared" si="35"/>
        <v>780.16888888888889</v>
      </c>
      <c r="AH77" s="394">
        <f t="shared" si="35"/>
        <v>780.16888888888889</v>
      </c>
      <c r="AI77" s="394">
        <f t="shared" si="35"/>
        <v>780.16888888888889</v>
      </c>
      <c r="AJ77" s="394">
        <f t="shared" si="35"/>
        <v>780.16888888888889</v>
      </c>
      <c r="AK77" s="394">
        <f t="shared" si="36"/>
        <v>780.16888888888889</v>
      </c>
      <c r="AL77" s="394">
        <f t="shared" si="36"/>
        <v>780.16888888888889</v>
      </c>
      <c r="AM77" s="394">
        <f t="shared" si="36"/>
        <v>780.16888888888889</v>
      </c>
      <c r="AN77" s="394">
        <f t="shared" si="36"/>
        <v>780.16888888888889</v>
      </c>
      <c r="AO77" s="394">
        <f t="shared" si="36"/>
        <v>780.16888888888889</v>
      </c>
      <c r="AP77" s="394">
        <f t="shared" si="36"/>
        <v>780.16888888888889</v>
      </c>
      <c r="AQ77" s="394">
        <f t="shared" si="36"/>
        <v>780.16888888888889</v>
      </c>
      <c r="AR77" s="394">
        <f t="shared" si="36"/>
        <v>780.16888888888889</v>
      </c>
      <c r="AS77" s="394">
        <f t="shared" si="36"/>
        <v>780.16888888888889</v>
      </c>
      <c r="AT77" s="394">
        <f t="shared" si="36"/>
        <v>780.16888888888889</v>
      </c>
      <c r="AU77" s="394">
        <f t="shared" si="36"/>
        <v>780.16888888888889</v>
      </c>
      <c r="AV77" s="394">
        <f t="shared" si="36"/>
        <v>780.16888888888889</v>
      </c>
      <c r="AW77" s="394">
        <f t="shared" si="36"/>
        <v>780.16888888888889</v>
      </c>
      <c r="AX77" s="394">
        <f t="shared" si="36"/>
        <v>0</v>
      </c>
      <c r="AY77" s="394">
        <f t="shared" si="36"/>
        <v>0</v>
      </c>
      <c r="AZ77" s="394">
        <f t="shared" si="36"/>
        <v>0</v>
      </c>
      <c r="BA77" s="394">
        <f t="shared" si="30"/>
        <v>0</v>
      </c>
      <c r="BB77" s="394">
        <f t="shared" si="30"/>
        <v>0</v>
      </c>
      <c r="BC77" s="394">
        <f t="shared" si="30"/>
        <v>0</v>
      </c>
      <c r="BD77" s="394">
        <f t="shared" si="30"/>
        <v>0</v>
      </c>
      <c r="BE77" s="394">
        <f t="shared" si="30"/>
        <v>0</v>
      </c>
      <c r="BF77" s="394">
        <f t="shared" si="30"/>
        <v>0</v>
      </c>
      <c r="BG77" s="394">
        <f t="shared" si="30"/>
        <v>0</v>
      </c>
      <c r="BH77" s="394">
        <f t="shared" si="30"/>
        <v>0</v>
      </c>
      <c r="BI77" s="394">
        <f t="shared" si="30"/>
        <v>0</v>
      </c>
      <c r="BJ77" s="394">
        <f t="shared" si="30"/>
        <v>0</v>
      </c>
      <c r="BK77" s="394">
        <f t="shared" si="30"/>
        <v>0</v>
      </c>
      <c r="BL77" s="394">
        <f t="shared" si="30"/>
        <v>0</v>
      </c>
      <c r="BM77" s="394">
        <f t="shared" si="30"/>
        <v>0</v>
      </c>
      <c r="BN77" s="394">
        <f t="shared" si="30"/>
        <v>0</v>
      </c>
      <c r="BO77" s="394">
        <f t="shared" si="30"/>
        <v>0</v>
      </c>
      <c r="BP77" s="394">
        <f t="shared" si="30"/>
        <v>0</v>
      </c>
      <c r="BQ77" s="394">
        <f t="shared" si="31"/>
        <v>0</v>
      </c>
      <c r="BR77" s="394">
        <f t="shared" si="31"/>
        <v>0</v>
      </c>
      <c r="BS77" s="394">
        <f t="shared" si="31"/>
        <v>0</v>
      </c>
      <c r="BT77" s="394">
        <f t="shared" si="31"/>
        <v>0</v>
      </c>
      <c r="BU77" s="394">
        <f t="shared" si="31"/>
        <v>0</v>
      </c>
      <c r="BV77" s="394">
        <f t="shared" si="31"/>
        <v>0</v>
      </c>
      <c r="BW77" s="394">
        <f t="shared" si="31"/>
        <v>0</v>
      </c>
      <c r="BX77" s="394">
        <f t="shared" si="31"/>
        <v>0</v>
      </c>
      <c r="BY77" s="394">
        <f t="shared" si="31"/>
        <v>0</v>
      </c>
      <c r="BZ77" s="394">
        <f t="shared" si="31"/>
        <v>0</v>
      </c>
      <c r="CA77" s="394">
        <f t="shared" si="31"/>
        <v>0</v>
      </c>
      <c r="CB77" s="394">
        <f t="shared" si="31"/>
        <v>0</v>
      </c>
      <c r="CC77" s="394">
        <f t="shared" si="31"/>
        <v>0</v>
      </c>
      <c r="CD77" s="394">
        <f t="shared" si="31"/>
        <v>0</v>
      </c>
      <c r="CE77" s="394">
        <f t="shared" si="31"/>
        <v>0</v>
      </c>
      <c r="CF77" s="394">
        <f t="shared" si="31"/>
        <v>0</v>
      </c>
      <c r="CG77" s="394">
        <f t="shared" ref="CG77:CQ83" si="38">IF($I77&gt;CG$7-30,$E77,0)</f>
        <v>0</v>
      </c>
      <c r="CH77" s="394">
        <f t="shared" si="38"/>
        <v>0</v>
      </c>
      <c r="CI77" s="394">
        <f t="shared" si="38"/>
        <v>0</v>
      </c>
      <c r="CJ77" s="394">
        <f t="shared" si="38"/>
        <v>0</v>
      </c>
      <c r="CK77" s="394">
        <f t="shared" si="38"/>
        <v>0</v>
      </c>
      <c r="CL77" s="394">
        <f t="shared" si="38"/>
        <v>0</v>
      </c>
      <c r="CM77" s="394">
        <f t="shared" si="38"/>
        <v>0</v>
      </c>
      <c r="CN77" s="394">
        <f t="shared" si="38"/>
        <v>0</v>
      </c>
      <c r="CO77" s="394">
        <f t="shared" si="38"/>
        <v>0</v>
      </c>
      <c r="CP77" s="394">
        <f t="shared" si="38"/>
        <v>0</v>
      </c>
      <c r="CQ77" s="394">
        <f t="shared" si="38"/>
        <v>0</v>
      </c>
      <c r="CR77" s="394">
        <f t="shared" si="37"/>
        <v>0</v>
      </c>
    </row>
    <row r="78" spans="2:96">
      <c r="B78" s="456"/>
      <c r="C78" s="456"/>
      <c r="D78" s="390">
        <v>13285.48</v>
      </c>
      <c r="E78" s="390">
        <f t="shared" si="33"/>
        <v>369.04111111111109</v>
      </c>
      <c r="F78" s="390">
        <f t="shared" si="34"/>
        <v>3</v>
      </c>
      <c r="G78" s="390">
        <v>36</v>
      </c>
      <c r="H78" s="391">
        <v>43429</v>
      </c>
      <c r="I78" s="392">
        <f t="shared" si="12"/>
        <v>44524</v>
      </c>
      <c r="J78" s="456"/>
      <c r="K78" s="393">
        <v>13285.48</v>
      </c>
      <c r="L78" s="376"/>
      <c r="M78" s="376"/>
      <c r="N78" s="376"/>
      <c r="O78" s="376"/>
      <c r="P78" s="376"/>
      <c r="Q78" s="394">
        <f>K78/36*4</f>
        <v>1476.1644444444444</v>
      </c>
      <c r="R78" s="394">
        <f>K78/36</f>
        <v>369.04111111111109</v>
      </c>
      <c r="S78" s="394">
        <v>369.04111111111109</v>
      </c>
      <c r="T78" s="394">
        <v>369.04111111111109</v>
      </c>
      <c r="U78" s="394">
        <f t="shared" si="35"/>
        <v>369.04111111111109</v>
      </c>
      <c r="V78" s="394">
        <f t="shared" si="35"/>
        <v>369.04111111111109</v>
      </c>
      <c r="W78" s="394">
        <f t="shared" si="35"/>
        <v>369.04111111111109</v>
      </c>
      <c r="X78" s="394">
        <f t="shared" si="35"/>
        <v>369.04111111111109</v>
      </c>
      <c r="Y78" s="394">
        <f t="shared" si="35"/>
        <v>369.04111111111109</v>
      </c>
      <c r="Z78" s="394">
        <f t="shared" si="35"/>
        <v>369.04111111111109</v>
      </c>
      <c r="AA78" s="394">
        <f t="shared" si="35"/>
        <v>369.04111111111109</v>
      </c>
      <c r="AB78" s="394">
        <f t="shared" si="35"/>
        <v>369.04111111111109</v>
      </c>
      <c r="AC78" s="394">
        <f t="shared" si="35"/>
        <v>369.04111111111109</v>
      </c>
      <c r="AD78" s="394">
        <f t="shared" si="35"/>
        <v>369.04111111111109</v>
      </c>
      <c r="AE78" s="394">
        <f t="shared" si="35"/>
        <v>369.04111111111109</v>
      </c>
      <c r="AF78" s="394">
        <f t="shared" si="35"/>
        <v>369.04111111111109</v>
      </c>
      <c r="AG78" s="394">
        <f t="shared" si="35"/>
        <v>369.04111111111109</v>
      </c>
      <c r="AH78" s="394">
        <f t="shared" si="35"/>
        <v>369.04111111111109</v>
      </c>
      <c r="AI78" s="394">
        <f t="shared" si="35"/>
        <v>369.04111111111109</v>
      </c>
      <c r="AJ78" s="394">
        <f t="shared" si="35"/>
        <v>369.04111111111109</v>
      </c>
      <c r="AK78" s="394">
        <f t="shared" si="36"/>
        <v>369.04111111111109</v>
      </c>
      <c r="AL78" s="394">
        <f t="shared" si="36"/>
        <v>369.04111111111109</v>
      </c>
      <c r="AM78" s="394">
        <f t="shared" si="36"/>
        <v>369.04111111111109</v>
      </c>
      <c r="AN78" s="394">
        <f t="shared" si="36"/>
        <v>369.04111111111109</v>
      </c>
      <c r="AO78" s="394">
        <f t="shared" si="36"/>
        <v>369.04111111111109</v>
      </c>
      <c r="AP78" s="394">
        <f t="shared" si="36"/>
        <v>369.04111111111109</v>
      </c>
      <c r="AQ78" s="394">
        <f t="shared" si="36"/>
        <v>369.04111111111109</v>
      </c>
      <c r="AR78" s="394">
        <f t="shared" si="36"/>
        <v>369.04111111111109</v>
      </c>
      <c r="AS78" s="394">
        <f t="shared" si="36"/>
        <v>369.04111111111109</v>
      </c>
      <c r="AT78" s="394">
        <f t="shared" si="36"/>
        <v>369.04111111111109</v>
      </c>
      <c r="AU78" s="394">
        <f t="shared" si="36"/>
        <v>369.04111111111109</v>
      </c>
      <c r="AV78" s="394">
        <f t="shared" si="36"/>
        <v>369.04111111111109</v>
      </c>
      <c r="AW78" s="394">
        <f t="shared" si="36"/>
        <v>369.04111111111109</v>
      </c>
      <c r="AX78" s="394">
        <f t="shared" si="36"/>
        <v>0</v>
      </c>
      <c r="AY78" s="394">
        <f t="shared" si="36"/>
        <v>0</v>
      </c>
      <c r="AZ78" s="394">
        <f t="shared" si="36"/>
        <v>0</v>
      </c>
      <c r="BA78" s="394">
        <f t="shared" si="30"/>
        <v>0</v>
      </c>
      <c r="BB78" s="394">
        <f t="shared" si="30"/>
        <v>0</v>
      </c>
      <c r="BC78" s="394">
        <f t="shared" si="30"/>
        <v>0</v>
      </c>
      <c r="BD78" s="394">
        <f t="shared" si="30"/>
        <v>0</v>
      </c>
      <c r="BE78" s="394">
        <f t="shared" si="30"/>
        <v>0</v>
      </c>
      <c r="BF78" s="394">
        <f t="shared" si="30"/>
        <v>0</v>
      </c>
      <c r="BG78" s="394">
        <f t="shared" si="30"/>
        <v>0</v>
      </c>
      <c r="BH78" s="394">
        <f t="shared" si="30"/>
        <v>0</v>
      </c>
      <c r="BI78" s="394">
        <f t="shared" si="30"/>
        <v>0</v>
      </c>
      <c r="BJ78" s="394">
        <f t="shared" si="30"/>
        <v>0</v>
      </c>
      <c r="BK78" s="394">
        <f t="shared" si="30"/>
        <v>0</v>
      </c>
      <c r="BL78" s="394">
        <f t="shared" si="30"/>
        <v>0</v>
      </c>
      <c r="BM78" s="394">
        <f t="shared" si="30"/>
        <v>0</v>
      </c>
      <c r="BN78" s="394">
        <f t="shared" si="30"/>
        <v>0</v>
      </c>
      <c r="BO78" s="394">
        <f t="shared" si="30"/>
        <v>0</v>
      </c>
      <c r="BP78" s="394">
        <f t="shared" si="30"/>
        <v>0</v>
      </c>
      <c r="BQ78" s="394">
        <f t="shared" si="31"/>
        <v>0</v>
      </c>
      <c r="BR78" s="394">
        <f t="shared" si="31"/>
        <v>0</v>
      </c>
      <c r="BS78" s="394">
        <f t="shared" si="31"/>
        <v>0</v>
      </c>
      <c r="BT78" s="394">
        <f t="shared" si="31"/>
        <v>0</v>
      </c>
      <c r="BU78" s="394">
        <f t="shared" si="31"/>
        <v>0</v>
      </c>
      <c r="BV78" s="394">
        <f t="shared" si="31"/>
        <v>0</v>
      </c>
      <c r="BW78" s="394">
        <f t="shared" si="31"/>
        <v>0</v>
      </c>
      <c r="BX78" s="394">
        <f t="shared" si="31"/>
        <v>0</v>
      </c>
      <c r="BY78" s="394">
        <f t="shared" si="31"/>
        <v>0</v>
      </c>
      <c r="BZ78" s="394">
        <f t="shared" si="31"/>
        <v>0</v>
      </c>
      <c r="CA78" s="394">
        <f t="shared" si="31"/>
        <v>0</v>
      </c>
      <c r="CB78" s="394">
        <f t="shared" si="31"/>
        <v>0</v>
      </c>
      <c r="CC78" s="394">
        <f t="shared" si="31"/>
        <v>0</v>
      </c>
      <c r="CD78" s="394">
        <f t="shared" si="31"/>
        <v>0</v>
      </c>
      <c r="CE78" s="394">
        <f t="shared" si="31"/>
        <v>0</v>
      </c>
      <c r="CF78" s="394">
        <f t="shared" si="31"/>
        <v>0</v>
      </c>
      <c r="CG78" s="394">
        <f t="shared" si="38"/>
        <v>0</v>
      </c>
      <c r="CH78" s="394">
        <f t="shared" si="38"/>
        <v>0</v>
      </c>
      <c r="CI78" s="394">
        <f t="shared" si="38"/>
        <v>0</v>
      </c>
      <c r="CJ78" s="394">
        <f t="shared" si="38"/>
        <v>0</v>
      </c>
      <c r="CK78" s="394">
        <f t="shared" si="38"/>
        <v>0</v>
      </c>
      <c r="CL78" s="394">
        <f t="shared" si="38"/>
        <v>0</v>
      </c>
      <c r="CM78" s="394">
        <f t="shared" si="38"/>
        <v>0</v>
      </c>
      <c r="CN78" s="394">
        <f t="shared" si="38"/>
        <v>0</v>
      </c>
      <c r="CO78" s="394">
        <f t="shared" si="38"/>
        <v>0</v>
      </c>
      <c r="CP78" s="394">
        <f t="shared" si="38"/>
        <v>0</v>
      </c>
      <c r="CQ78" s="394">
        <f t="shared" si="38"/>
        <v>0</v>
      </c>
      <c r="CR78" s="394">
        <f t="shared" si="37"/>
        <v>0</v>
      </c>
    </row>
    <row r="79" spans="2:96">
      <c r="B79" s="456"/>
      <c r="C79" s="456"/>
      <c r="D79" s="390">
        <v>42359.41</v>
      </c>
      <c r="E79" s="390">
        <f t="shared" si="33"/>
        <v>1176.6502777777778</v>
      </c>
      <c r="F79" s="390">
        <f t="shared" si="34"/>
        <v>3</v>
      </c>
      <c r="G79" s="390">
        <v>36</v>
      </c>
      <c r="H79" s="391">
        <v>43492</v>
      </c>
      <c r="I79" s="392">
        <f t="shared" si="12"/>
        <v>44587</v>
      </c>
      <c r="J79" s="456"/>
      <c r="K79" s="393">
        <v>42359.41</v>
      </c>
      <c r="L79" s="376"/>
      <c r="M79" s="376"/>
      <c r="N79" s="376"/>
      <c r="O79" s="376"/>
      <c r="P79" s="376"/>
      <c r="Q79" s="376"/>
      <c r="R79" s="376"/>
      <c r="S79" s="376"/>
      <c r="T79" s="394">
        <f>K79/36*5</f>
        <v>5883.2513888888889</v>
      </c>
      <c r="U79" s="394">
        <f t="shared" si="35"/>
        <v>1176.6502777777778</v>
      </c>
      <c r="V79" s="394">
        <f t="shared" si="35"/>
        <v>1176.6502777777778</v>
      </c>
      <c r="W79" s="394">
        <f t="shared" si="35"/>
        <v>1176.6502777777778</v>
      </c>
      <c r="X79" s="394">
        <f t="shared" si="35"/>
        <v>1176.6502777777778</v>
      </c>
      <c r="Y79" s="394">
        <f t="shared" si="35"/>
        <v>1176.6502777777778</v>
      </c>
      <c r="Z79" s="394">
        <f t="shared" si="35"/>
        <v>1176.6502777777778</v>
      </c>
      <c r="AA79" s="394">
        <f t="shared" si="35"/>
        <v>1176.6502777777778</v>
      </c>
      <c r="AB79" s="394">
        <f t="shared" si="35"/>
        <v>1176.6502777777778</v>
      </c>
      <c r="AC79" s="394">
        <f t="shared" si="35"/>
        <v>1176.6502777777778</v>
      </c>
      <c r="AD79" s="394">
        <f t="shared" si="35"/>
        <v>1176.6502777777778</v>
      </c>
      <c r="AE79" s="394">
        <f t="shared" si="35"/>
        <v>1176.6502777777778</v>
      </c>
      <c r="AF79" s="394">
        <f t="shared" si="35"/>
        <v>1176.6502777777778</v>
      </c>
      <c r="AG79" s="394">
        <f t="shared" si="35"/>
        <v>1176.6502777777778</v>
      </c>
      <c r="AH79" s="394">
        <f t="shared" si="35"/>
        <v>1176.6502777777778</v>
      </c>
      <c r="AI79" s="394">
        <f t="shared" si="35"/>
        <v>1176.6502777777778</v>
      </c>
      <c r="AJ79" s="394">
        <f t="shared" si="35"/>
        <v>1176.6502777777778</v>
      </c>
      <c r="AK79" s="394">
        <f t="shared" si="36"/>
        <v>1176.6502777777778</v>
      </c>
      <c r="AL79" s="394">
        <f t="shared" si="36"/>
        <v>1176.6502777777778</v>
      </c>
      <c r="AM79" s="394">
        <f t="shared" si="36"/>
        <v>1176.6502777777778</v>
      </c>
      <c r="AN79" s="394">
        <f t="shared" si="36"/>
        <v>1176.6502777777778</v>
      </c>
      <c r="AO79" s="394">
        <f t="shared" si="36"/>
        <v>1176.6502777777778</v>
      </c>
      <c r="AP79" s="394">
        <f t="shared" si="36"/>
        <v>1176.6502777777778</v>
      </c>
      <c r="AQ79" s="394">
        <f t="shared" si="36"/>
        <v>1176.6502777777778</v>
      </c>
      <c r="AR79" s="394">
        <f t="shared" si="36"/>
        <v>1176.6502777777778</v>
      </c>
      <c r="AS79" s="394">
        <f t="shared" si="36"/>
        <v>1176.6502777777778</v>
      </c>
      <c r="AT79" s="394">
        <f t="shared" si="36"/>
        <v>1176.6502777777778</v>
      </c>
      <c r="AU79" s="394">
        <f t="shared" si="36"/>
        <v>1176.6502777777778</v>
      </c>
      <c r="AV79" s="394">
        <f t="shared" si="36"/>
        <v>1176.6502777777778</v>
      </c>
      <c r="AW79" s="394">
        <f t="shared" si="36"/>
        <v>1176.6502777777778</v>
      </c>
      <c r="AX79" s="394">
        <f t="shared" si="36"/>
        <v>1176.6502777777778</v>
      </c>
      <c r="AY79" s="394">
        <f t="shared" si="36"/>
        <v>1176.6502777777778</v>
      </c>
      <c r="AZ79" s="394">
        <f t="shared" si="36"/>
        <v>0</v>
      </c>
      <c r="BA79" s="394">
        <f t="shared" si="30"/>
        <v>0</v>
      </c>
      <c r="BB79" s="394">
        <f t="shared" si="30"/>
        <v>0</v>
      </c>
      <c r="BC79" s="394">
        <f t="shared" si="30"/>
        <v>0</v>
      </c>
      <c r="BD79" s="394">
        <f t="shared" si="30"/>
        <v>0</v>
      </c>
      <c r="BE79" s="394">
        <f t="shared" si="30"/>
        <v>0</v>
      </c>
      <c r="BF79" s="394">
        <f t="shared" si="30"/>
        <v>0</v>
      </c>
      <c r="BG79" s="394">
        <f t="shared" si="30"/>
        <v>0</v>
      </c>
      <c r="BH79" s="394">
        <f t="shared" si="30"/>
        <v>0</v>
      </c>
      <c r="BI79" s="394">
        <f t="shared" si="30"/>
        <v>0</v>
      </c>
      <c r="BJ79" s="394">
        <f t="shared" si="30"/>
        <v>0</v>
      </c>
      <c r="BK79" s="394">
        <f t="shared" si="30"/>
        <v>0</v>
      </c>
      <c r="BL79" s="394">
        <f t="shared" si="30"/>
        <v>0</v>
      </c>
      <c r="BM79" s="394">
        <f t="shared" si="30"/>
        <v>0</v>
      </c>
      <c r="BN79" s="394">
        <f t="shared" si="30"/>
        <v>0</v>
      </c>
      <c r="BO79" s="394">
        <f t="shared" si="30"/>
        <v>0</v>
      </c>
      <c r="BP79" s="394">
        <f t="shared" si="30"/>
        <v>0</v>
      </c>
      <c r="BQ79" s="394">
        <f t="shared" si="31"/>
        <v>0</v>
      </c>
      <c r="BR79" s="394">
        <f t="shared" si="31"/>
        <v>0</v>
      </c>
      <c r="BS79" s="394">
        <f t="shared" si="31"/>
        <v>0</v>
      </c>
      <c r="BT79" s="394">
        <f t="shared" si="31"/>
        <v>0</v>
      </c>
      <c r="BU79" s="394">
        <f t="shared" si="31"/>
        <v>0</v>
      </c>
      <c r="BV79" s="394">
        <f t="shared" si="31"/>
        <v>0</v>
      </c>
      <c r="BW79" s="394">
        <f t="shared" si="31"/>
        <v>0</v>
      </c>
      <c r="BX79" s="394">
        <f t="shared" si="31"/>
        <v>0</v>
      </c>
      <c r="BY79" s="394">
        <f t="shared" si="31"/>
        <v>0</v>
      </c>
      <c r="BZ79" s="394">
        <f t="shared" si="31"/>
        <v>0</v>
      </c>
      <c r="CA79" s="394">
        <f t="shared" si="31"/>
        <v>0</v>
      </c>
      <c r="CB79" s="394">
        <f t="shared" si="31"/>
        <v>0</v>
      </c>
      <c r="CC79" s="394">
        <f t="shared" si="31"/>
        <v>0</v>
      </c>
      <c r="CD79" s="394">
        <f t="shared" si="31"/>
        <v>0</v>
      </c>
      <c r="CE79" s="394">
        <f t="shared" si="31"/>
        <v>0</v>
      </c>
      <c r="CF79" s="394">
        <f t="shared" si="31"/>
        <v>0</v>
      </c>
      <c r="CG79" s="394">
        <f t="shared" si="38"/>
        <v>0</v>
      </c>
      <c r="CH79" s="394">
        <f t="shared" si="38"/>
        <v>0</v>
      </c>
      <c r="CI79" s="394">
        <f t="shared" si="38"/>
        <v>0</v>
      </c>
      <c r="CJ79" s="394">
        <f t="shared" si="38"/>
        <v>0</v>
      </c>
      <c r="CK79" s="394">
        <f t="shared" si="38"/>
        <v>0</v>
      </c>
      <c r="CL79" s="394">
        <f t="shared" si="38"/>
        <v>0</v>
      </c>
      <c r="CM79" s="394">
        <f t="shared" si="38"/>
        <v>0</v>
      </c>
      <c r="CN79" s="394">
        <f t="shared" si="38"/>
        <v>0</v>
      </c>
      <c r="CO79" s="394">
        <f t="shared" si="38"/>
        <v>0</v>
      </c>
      <c r="CP79" s="394">
        <f t="shared" si="38"/>
        <v>0</v>
      </c>
      <c r="CQ79" s="394">
        <f t="shared" si="38"/>
        <v>0</v>
      </c>
      <c r="CR79" s="394">
        <f t="shared" si="37"/>
        <v>0</v>
      </c>
    </row>
    <row r="80" spans="2:96">
      <c r="B80" s="456"/>
      <c r="C80" s="456"/>
      <c r="D80" s="390">
        <v>13942.59</v>
      </c>
      <c r="E80" s="390">
        <f t="shared" si="33"/>
        <v>387.29416666666668</v>
      </c>
      <c r="F80" s="390">
        <f t="shared" si="34"/>
        <v>3</v>
      </c>
      <c r="G80" s="390">
        <v>36</v>
      </c>
      <c r="H80" s="391">
        <v>43548</v>
      </c>
      <c r="I80" s="392">
        <f t="shared" si="12"/>
        <v>44643</v>
      </c>
      <c r="J80" s="456"/>
      <c r="K80" s="393">
        <v>13942.59</v>
      </c>
      <c r="L80" s="376"/>
      <c r="M80" s="376"/>
      <c r="N80" s="376"/>
      <c r="O80" s="376"/>
      <c r="P80" s="376"/>
      <c r="Q80" s="376"/>
      <c r="R80" s="376"/>
      <c r="S80" s="376"/>
      <c r="T80" s="394">
        <f>K80/36*3</f>
        <v>1161.8825000000002</v>
      </c>
      <c r="U80" s="394">
        <f t="shared" si="35"/>
        <v>387.29416666666668</v>
      </c>
      <c r="V80" s="394">
        <f t="shared" si="35"/>
        <v>387.29416666666668</v>
      </c>
      <c r="W80" s="394">
        <f t="shared" si="35"/>
        <v>387.29416666666668</v>
      </c>
      <c r="X80" s="394">
        <f t="shared" si="35"/>
        <v>387.29416666666668</v>
      </c>
      <c r="Y80" s="394">
        <f t="shared" si="35"/>
        <v>387.29416666666668</v>
      </c>
      <c r="Z80" s="394">
        <f t="shared" si="35"/>
        <v>387.29416666666668</v>
      </c>
      <c r="AA80" s="394">
        <f t="shared" si="35"/>
        <v>387.29416666666668</v>
      </c>
      <c r="AB80" s="394">
        <f t="shared" si="35"/>
        <v>387.29416666666668</v>
      </c>
      <c r="AC80" s="394">
        <f t="shared" si="35"/>
        <v>387.29416666666668</v>
      </c>
      <c r="AD80" s="394">
        <f t="shared" si="35"/>
        <v>387.29416666666668</v>
      </c>
      <c r="AE80" s="394">
        <f t="shared" si="35"/>
        <v>387.29416666666668</v>
      </c>
      <c r="AF80" s="394">
        <f t="shared" si="35"/>
        <v>387.29416666666668</v>
      </c>
      <c r="AG80" s="394">
        <f t="shared" si="35"/>
        <v>387.29416666666668</v>
      </c>
      <c r="AH80" s="394">
        <f t="shared" si="35"/>
        <v>387.29416666666668</v>
      </c>
      <c r="AI80" s="394">
        <f t="shared" si="35"/>
        <v>387.29416666666668</v>
      </c>
      <c r="AJ80" s="394">
        <f t="shared" si="35"/>
        <v>387.29416666666668</v>
      </c>
      <c r="AK80" s="394">
        <f t="shared" si="36"/>
        <v>387.29416666666668</v>
      </c>
      <c r="AL80" s="394">
        <f t="shared" si="36"/>
        <v>387.29416666666668</v>
      </c>
      <c r="AM80" s="394">
        <f t="shared" si="36"/>
        <v>387.29416666666668</v>
      </c>
      <c r="AN80" s="394">
        <f t="shared" si="36"/>
        <v>387.29416666666668</v>
      </c>
      <c r="AO80" s="394">
        <f t="shared" si="36"/>
        <v>387.29416666666668</v>
      </c>
      <c r="AP80" s="394">
        <f t="shared" si="36"/>
        <v>387.29416666666668</v>
      </c>
      <c r="AQ80" s="394">
        <f t="shared" si="36"/>
        <v>387.29416666666668</v>
      </c>
      <c r="AR80" s="394">
        <f t="shared" si="36"/>
        <v>387.29416666666668</v>
      </c>
      <c r="AS80" s="394">
        <f t="shared" si="36"/>
        <v>387.29416666666668</v>
      </c>
      <c r="AT80" s="394">
        <f t="shared" si="36"/>
        <v>387.29416666666668</v>
      </c>
      <c r="AU80" s="394">
        <f t="shared" si="36"/>
        <v>387.29416666666668</v>
      </c>
      <c r="AV80" s="394">
        <f t="shared" si="36"/>
        <v>387.29416666666668</v>
      </c>
      <c r="AW80" s="394">
        <f t="shared" si="36"/>
        <v>387.29416666666668</v>
      </c>
      <c r="AX80" s="394">
        <f t="shared" si="36"/>
        <v>387.29416666666668</v>
      </c>
      <c r="AY80" s="394">
        <f t="shared" si="36"/>
        <v>387.29416666666668</v>
      </c>
      <c r="AZ80" s="394">
        <f t="shared" si="36"/>
        <v>387.29416666666668</v>
      </c>
      <c r="BA80" s="394">
        <f t="shared" ref="BA80:BP83" si="39">IF($I80&gt;BA$7-30,$E80,0)</f>
        <v>387.29416666666668</v>
      </c>
      <c r="BB80" s="394">
        <f t="shared" si="39"/>
        <v>0</v>
      </c>
      <c r="BC80" s="394">
        <f t="shared" si="39"/>
        <v>0</v>
      </c>
      <c r="BD80" s="394">
        <f t="shared" si="39"/>
        <v>0</v>
      </c>
      <c r="BE80" s="394">
        <f t="shared" si="39"/>
        <v>0</v>
      </c>
      <c r="BF80" s="394">
        <f t="shared" si="39"/>
        <v>0</v>
      </c>
      <c r="BG80" s="394">
        <f t="shared" si="39"/>
        <v>0</v>
      </c>
      <c r="BH80" s="394">
        <f t="shared" si="39"/>
        <v>0</v>
      </c>
      <c r="BI80" s="394">
        <f t="shared" si="39"/>
        <v>0</v>
      </c>
      <c r="BJ80" s="394">
        <f t="shared" si="39"/>
        <v>0</v>
      </c>
      <c r="BK80" s="394">
        <f t="shared" si="39"/>
        <v>0</v>
      </c>
      <c r="BL80" s="394">
        <f t="shared" si="39"/>
        <v>0</v>
      </c>
      <c r="BM80" s="394">
        <f t="shared" si="39"/>
        <v>0</v>
      </c>
      <c r="BN80" s="394">
        <f t="shared" si="39"/>
        <v>0</v>
      </c>
      <c r="BO80" s="394">
        <f t="shared" si="39"/>
        <v>0</v>
      </c>
      <c r="BP80" s="394">
        <f t="shared" si="39"/>
        <v>0</v>
      </c>
      <c r="BQ80" s="394">
        <f t="shared" si="31"/>
        <v>0</v>
      </c>
      <c r="BR80" s="394">
        <f t="shared" si="31"/>
        <v>0</v>
      </c>
      <c r="BS80" s="394">
        <f t="shared" si="31"/>
        <v>0</v>
      </c>
      <c r="BT80" s="394">
        <f t="shared" si="31"/>
        <v>0</v>
      </c>
      <c r="BU80" s="394">
        <f t="shared" si="31"/>
        <v>0</v>
      </c>
      <c r="BV80" s="394">
        <f t="shared" si="31"/>
        <v>0</v>
      </c>
      <c r="BW80" s="394">
        <f t="shared" si="31"/>
        <v>0</v>
      </c>
      <c r="BX80" s="394">
        <f t="shared" si="31"/>
        <v>0</v>
      </c>
      <c r="BY80" s="394">
        <f t="shared" si="31"/>
        <v>0</v>
      </c>
      <c r="BZ80" s="394">
        <f t="shared" si="31"/>
        <v>0</v>
      </c>
      <c r="CA80" s="394">
        <f t="shared" si="31"/>
        <v>0</v>
      </c>
      <c r="CB80" s="394">
        <f t="shared" si="31"/>
        <v>0</v>
      </c>
      <c r="CC80" s="394">
        <f t="shared" si="31"/>
        <v>0</v>
      </c>
      <c r="CD80" s="394">
        <f t="shared" si="31"/>
        <v>0</v>
      </c>
      <c r="CE80" s="394">
        <f t="shared" si="31"/>
        <v>0</v>
      </c>
      <c r="CF80" s="394">
        <f t="shared" si="31"/>
        <v>0</v>
      </c>
      <c r="CG80" s="394">
        <f t="shared" si="38"/>
        <v>0</v>
      </c>
      <c r="CH80" s="394">
        <f t="shared" si="38"/>
        <v>0</v>
      </c>
      <c r="CI80" s="394">
        <f t="shared" si="38"/>
        <v>0</v>
      </c>
      <c r="CJ80" s="394">
        <f t="shared" si="38"/>
        <v>0</v>
      </c>
      <c r="CK80" s="394">
        <f t="shared" si="38"/>
        <v>0</v>
      </c>
      <c r="CL80" s="394">
        <f t="shared" si="38"/>
        <v>0</v>
      </c>
      <c r="CM80" s="394">
        <f t="shared" si="38"/>
        <v>0</v>
      </c>
      <c r="CN80" s="394">
        <f t="shared" si="38"/>
        <v>0</v>
      </c>
      <c r="CO80" s="394">
        <f t="shared" si="38"/>
        <v>0</v>
      </c>
      <c r="CP80" s="394">
        <f t="shared" si="38"/>
        <v>0</v>
      </c>
      <c r="CQ80" s="394">
        <f t="shared" si="38"/>
        <v>0</v>
      </c>
      <c r="CR80" s="394">
        <f t="shared" si="37"/>
        <v>0</v>
      </c>
    </row>
    <row r="81" spans="2:96">
      <c r="B81" s="456"/>
      <c r="C81" s="456"/>
      <c r="D81" s="350">
        <v>5000</v>
      </c>
      <c r="E81" s="350">
        <f t="shared" si="33"/>
        <v>83.333333333333329</v>
      </c>
      <c r="F81" s="350">
        <f t="shared" si="34"/>
        <v>5</v>
      </c>
      <c r="G81" s="350">
        <v>60</v>
      </c>
      <c r="H81" s="351">
        <v>41771</v>
      </c>
      <c r="I81" s="352">
        <f t="shared" si="12"/>
        <v>43596</v>
      </c>
      <c r="J81" s="456"/>
      <c r="K81" s="353">
        <v>490.18</v>
      </c>
      <c r="L81" s="354">
        <v>83.35</v>
      </c>
      <c r="M81" s="354">
        <v>83.35</v>
      </c>
      <c r="N81" s="354">
        <v>83.35</v>
      </c>
      <c r="O81" s="354">
        <v>83.35</v>
      </c>
      <c r="P81" s="354">
        <v>83.35</v>
      </c>
      <c r="Q81" s="354">
        <v>73.430000000000007</v>
      </c>
      <c r="R81" s="354">
        <v>0</v>
      </c>
      <c r="S81" s="354">
        <v>0</v>
      </c>
      <c r="T81" s="376"/>
      <c r="U81" s="376">
        <f t="shared" si="35"/>
        <v>0</v>
      </c>
      <c r="V81" s="376">
        <f t="shared" si="35"/>
        <v>0</v>
      </c>
      <c r="W81" s="376">
        <f t="shared" si="35"/>
        <v>0</v>
      </c>
      <c r="X81" s="376">
        <f t="shared" si="35"/>
        <v>0</v>
      </c>
      <c r="Y81" s="376">
        <f t="shared" si="35"/>
        <v>0</v>
      </c>
      <c r="Z81" s="376">
        <f t="shared" si="35"/>
        <v>0</v>
      </c>
      <c r="AA81" s="376">
        <f t="shared" si="35"/>
        <v>0</v>
      </c>
      <c r="AB81" s="376">
        <f t="shared" si="35"/>
        <v>0</v>
      </c>
      <c r="AC81" s="376">
        <f t="shared" si="35"/>
        <v>0</v>
      </c>
      <c r="AD81" s="376">
        <f t="shared" si="35"/>
        <v>0</v>
      </c>
      <c r="AE81" s="376">
        <f t="shared" si="35"/>
        <v>0</v>
      </c>
      <c r="AF81" s="376">
        <f t="shared" si="35"/>
        <v>0</v>
      </c>
      <c r="AG81" s="376">
        <f t="shared" si="35"/>
        <v>0</v>
      </c>
      <c r="AH81" s="376">
        <f t="shared" si="35"/>
        <v>0</v>
      </c>
      <c r="AI81" s="376">
        <f t="shared" si="35"/>
        <v>0</v>
      </c>
      <c r="AJ81" s="376">
        <f t="shared" si="35"/>
        <v>0</v>
      </c>
      <c r="AK81" s="376">
        <f t="shared" si="36"/>
        <v>0</v>
      </c>
      <c r="AL81" s="376">
        <f t="shared" si="36"/>
        <v>0</v>
      </c>
      <c r="AM81" s="376">
        <f t="shared" si="36"/>
        <v>0</v>
      </c>
      <c r="AN81" s="376">
        <f t="shared" si="36"/>
        <v>0</v>
      </c>
      <c r="AO81" s="376">
        <f t="shared" si="36"/>
        <v>0</v>
      </c>
      <c r="AP81" s="376">
        <f t="shared" si="36"/>
        <v>0</v>
      </c>
      <c r="AQ81" s="376">
        <f t="shared" si="36"/>
        <v>0</v>
      </c>
      <c r="AR81" s="376">
        <f t="shared" si="36"/>
        <v>0</v>
      </c>
      <c r="AS81" s="376">
        <f t="shared" si="36"/>
        <v>0</v>
      </c>
      <c r="AT81" s="376">
        <f t="shared" si="36"/>
        <v>0</v>
      </c>
      <c r="AU81" s="376">
        <f t="shared" si="36"/>
        <v>0</v>
      </c>
      <c r="AV81" s="376">
        <f t="shared" si="36"/>
        <v>0</v>
      </c>
      <c r="AW81" s="376">
        <f t="shared" si="36"/>
        <v>0</v>
      </c>
      <c r="AX81" s="376">
        <f t="shared" si="36"/>
        <v>0</v>
      </c>
      <c r="AY81" s="376">
        <f t="shared" si="36"/>
        <v>0</v>
      </c>
      <c r="AZ81" s="376">
        <f t="shared" si="36"/>
        <v>0</v>
      </c>
      <c r="BA81" s="376">
        <f t="shared" si="39"/>
        <v>0</v>
      </c>
      <c r="BB81" s="376">
        <f t="shared" si="39"/>
        <v>0</v>
      </c>
      <c r="BC81" s="376">
        <f t="shared" si="39"/>
        <v>0</v>
      </c>
      <c r="BD81" s="376">
        <f t="shared" si="39"/>
        <v>0</v>
      </c>
      <c r="BE81" s="376">
        <f t="shared" si="39"/>
        <v>0</v>
      </c>
      <c r="BF81" s="376">
        <f t="shared" si="39"/>
        <v>0</v>
      </c>
      <c r="BG81" s="376">
        <f t="shared" si="39"/>
        <v>0</v>
      </c>
      <c r="BH81" s="376">
        <f t="shared" si="39"/>
        <v>0</v>
      </c>
      <c r="BI81" s="376">
        <f t="shared" si="39"/>
        <v>0</v>
      </c>
      <c r="BJ81" s="376">
        <f t="shared" si="39"/>
        <v>0</v>
      </c>
      <c r="BK81" s="376">
        <f t="shared" si="39"/>
        <v>0</v>
      </c>
      <c r="BL81" s="376">
        <f t="shared" si="39"/>
        <v>0</v>
      </c>
      <c r="BM81" s="376">
        <f t="shared" si="39"/>
        <v>0</v>
      </c>
      <c r="BN81" s="376">
        <f t="shared" si="39"/>
        <v>0</v>
      </c>
      <c r="BO81" s="376">
        <f t="shared" si="39"/>
        <v>0</v>
      </c>
      <c r="BP81" s="376">
        <f t="shared" si="39"/>
        <v>0</v>
      </c>
      <c r="BQ81" s="376">
        <f t="shared" si="31"/>
        <v>0</v>
      </c>
      <c r="BR81" s="376">
        <f t="shared" si="31"/>
        <v>0</v>
      </c>
      <c r="BS81" s="376">
        <f t="shared" si="31"/>
        <v>0</v>
      </c>
      <c r="BT81" s="376">
        <f t="shared" si="31"/>
        <v>0</v>
      </c>
      <c r="BU81" s="376">
        <f t="shared" si="31"/>
        <v>0</v>
      </c>
      <c r="BV81" s="376">
        <f t="shared" si="31"/>
        <v>0</v>
      </c>
      <c r="BW81" s="376">
        <f t="shared" si="31"/>
        <v>0</v>
      </c>
      <c r="BX81" s="376">
        <f t="shared" si="31"/>
        <v>0</v>
      </c>
      <c r="BY81" s="376">
        <f t="shared" si="31"/>
        <v>0</v>
      </c>
      <c r="BZ81" s="376">
        <f t="shared" si="31"/>
        <v>0</v>
      </c>
      <c r="CA81" s="376">
        <f t="shared" si="31"/>
        <v>0</v>
      </c>
      <c r="CB81" s="376">
        <f t="shared" si="31"/>
        <v>0</v>
      </c>
      <c r="CC81" s="376">
        <f t="shared" si="31"/>
        <v>0</v>
      </c>
      <c r="CD81" s="376">
        <f t="shared" si="31"/>
        <v>0</v>
      </c>
      <c r="CE81" s="376">
        <f t="shared" si="31"/>
        <v>0</v>
      </c>
      <c r="CF81" s="376">
        <f t="shared" si="31"/>
        <v>0</v>
      </c>
      <c r="CG81" s="376">
        <f t="shared" si="38"/>
        <v>0</v>
      </c>
      <c r="CH81" s="376">
        <f t="shared" si="38"/>
        <v>0</v>
      </c>
      <c r="CI81" s="376">
        <f t="shared" si="38"/>
        <v>0</v>
      </c>
      <c r="CJ81" s="376">
        <f t="shared" si="38"/>
        <v>0</v>
      </c>
      <c r="CK81" s="376">
        <f t="shared" si="38"/>
        <v>0</v>
      </c>
      <c r="CL81" s="376">
        <f t="shared" si="38"/>
        <v>0</v>
      </c>
      <c r="CM81" s="376">
        <f t="shared" si="38"/>
        <v>0</v>
      </c>
      <c r="CN81" s="376">
        <f t="shared" si="38"/>
        <v>0</v>
      </c>
      <c r="CO81" s="376">
        <f t="shared" si="38"/>
        <v>0</v>
      </c>
      <c r="CP81" s="376">
        <f t="shared" si="38"/>
        <v>0</v>
      </c>
      <c r="CQ81" s="376">
        <f t="shared" si="38"/>
        <v>0</v>
      </c>
      <c r="CR81" s="376">
        <f t="shared" si="37"/>
        <v>0</v>
      </c>
    </row>
    <row r="82" spans="2:96" s="396" customFormat="1">
      <c r="B82" s="456"/>
      <c r="C82" s="456"/>
      <c r="D82" s="397">
        <v>869317</v>
      </c>
      <c r="E82" s="397">
        <f t="shared" si="33"/>
        <v>14488.616666666667</v>
      </c>
      <c r="F82" s="397">
        <f t="shared" si="34"/>
        <v>5</v>
      </c>
      <c r="G82" s="397">
        <v>60</v>
      </c>
      <c r="H82" s="398">
        <v>43374</v>
      </c>
      <c r="I82" s="399">
        <f t="shared" si="12"/>
        <v>45199</v>
      </c>
      <c r="J82" s="456"/>
      <c r="K82" s="400">
        <v>869317</v>
      </c>
      <c r="L82" s="401"/>
      <c r="M82" s="401"/>
      <c r="N82" s="401"/>
      <c r="O82" s="401"/>
      <c r="P82" s="401"/>
      <c r="Q82" s="401"/>
      <c r="R82" s="401"/>
      <c r="S82" s="401"/>
      <c r="T82" s="401">
        <v>130397.61</v>
      </c>
      <c r="U82" s="401">
        <f t="shared" si="35"/>
        <v>14488.616666666667</v>
      </c>
      <c r="V82" s="401">
        <f t="shared" si="35"/>
        <v>14488.616666666667</v>
      </c>
      <c r="W82" s="401">
        <f t="shared" si="35"/>
        <v>14488.616666666667</v>
      </c>
      <c r="X82" s="401">
        <f t="shared" si="35"/>
        <v>14488.616666666667</v>
      </c>
      <c r="Y82" s="401">
        <f t="shared" si="35"/>
        <v>14488.616666666667</v>
      </c>
      <c r="Z82" s="401">
        <f t="shared" si="35"/>
        <v>14488.616666666667</v>
      </c>
      <c r="AA82" s="401">
        <f t="shared" si="35"/>
        <v>14488.616666666667</v>
      </c>
      <c r="AB82" s="401">
        <f t="shared" si="35"/>
        <v>14488.616666666667</v>
      </c>
      <c r="AC82" s="401">
        <f t="shared" si="35"/>
        <v>14488.616666666667</v>
      </c>
      <c r="AD82" s="401">
        <f t="shared" si="35"/>
        <v>14488.616666666667</v>
      </c>
      <c r="AE82" s="401">
        <f t="shared" si="35"/>
        <v>14488.616666666667</v>
      </c>
      <c r="AF82" s="401">
        <f t="shared" si="35"/>
        <v>14488.616666666667</v>
      </c>
      <c r="AG82" s="401">
        <f t="shared" si="35"/>
        <v>14488.616666666667</v>
      </c>
      <c r="AH82" s="401">
        <f t="shared" si="35"/>
        <v>14488.616666666667</v>
      </c>
      <c r="AI82" s="401">
        <f t="shared" si="35"/>
        <v>14488.616666666667</v>
      </c>
      <c r="AJ82" s="401">
        <f t="shared" si="35"/>
        <v>14488.616666666667</v>
      </c>
      <c r="AK82" s="401">
        <f t="shared" si="36"/>
        <v>14488.616666666667</v>
      </c>
      <c r="AL82" s="401">
        <f t="shared" si="36"/>
        <v>14488.616666666667</v>
      </c>
      <c r="AM82" s="401">
        <f t="shared" si="36"/>
        <v>14488.616666666667</v>
      </c>
      <c r="AN82" s="401">
        <f t="shared" si="36"/>
        <v>14488.616666666667</v>
      </c>
      <c r="AO82" s="401">
        <f t="shared" si="36"/>
        <v>14488.616666666667</v>
      </c>
      <c r="AP82" s="401">
        <f t="shared" si="36"/>
        <v>14488.616666666667</v>
      </c>
      <c r="AQ82" s="401">
        <f t="shared" si="36"/>
        <v>14488.616666666667</v>
      </c>
      <c r="AR82" s="401">
        <f t="shared" si="36"/>
        <v>14488.616666666667</v>
      </c>
      <c r="AS82" s="401">
        <f t="shared" si="36"/>
        <v>14488.616666666667</v>
      </c>
      <c r="AT82" s="401">
        <f t="shared" si="36"/>
        <v>14488.616666666667</v>
      </c>
      <c r="AU82" s="401">
        <f t="shared" si="36"/>
        <v>14488.616666666667</v>
      </c>
      <c r="AV82" s="401">
        <f t="shared" si="36"/>
        <v>14488.616666666667</v>
      </c>
      <c r="AW82" s="401">
        <f t="shared" si="36"/>
        <v>14488.616666666667</v>
      </c>
      <c r="AX82" s="401">
        <f t="shared" si="36"/>
        <v>14488.616666666667</v>
      </c>
      <c r="AY82" s="401">
        <f t="shared" si="36"/>
        <v>14488.616666666667</v>
      </c>
      <c r="AZ82" s="401">
        <f t="shared" si="36"/>
        <v>14488.616666666667</v>
      </c>
      <c r="BA82" s="401">
        <f t="shared" si="39"/>
        <v>14488.616666666667</v>
      </c>
      <c r="BB82" s="401">
        <f t="shared" si="39"/>
        <v>14488.616666666667</v>
      </c>
      <c r="BC82" s="401">
        <f t="shared" si="39"/>
        <v>14488.616666666667</v>
      </c>
      <c r="BD82" s="401">
        <f t="shared" si="39"/>
        <v>14488.616666666667</v>
      </c>
      <c r="BE82" s="401">
        <f t="shared" si="39"/>
        <v>14488.616666666667</v>
      </c>
      <c r="BF82" s="401">
        <f t="shared" si="39"/>
        <v>14488.616666666667</v>
      </c>
      <c r="BG82" s="401">
        <f t="shared" si="39"/>
        <v>14488.616666666667</v>
      </c>
      <c r="BH82" s="401">
        <f t="shared" si="39"/>
        <v>14488.616666666667</v>
      </c>
      <c r="BI82" s="401">
        <f t="shared" si="39"/>
        <v>14488.616666666667</v>
      </c>
      <c r="BJ82" s="401">
        <f t="shared" si="39"/>
        <v>14488.616666666667</v>
      </c>
      <c r="BK82" s="401">
        <f t="shared" si="39"/>
        <v>14488.616666666667</v>
      </c>
      <c r="BL82" s="401">
        <f t="shared" si="39"/>
        <v>14488.616666666667</v>
      </c>
      <c r="BM82" s="401">
        <f t="shared" si="39"/>
        <v>14488.616666666667</v>
      </c>
      <c r="BN82" s="401">
        <f t="shared" si="39"/>
        <v>14488.616666666667</v>
      </c>
      <c r="BO82" s="401">
        <f t="shared" si="39"/>
        <v>14488.616666666667</v>
      </c>
      <c r="BP82" s="401">
        <f t="shared" si="39"/>
        <v>14488.616666666667</v>
      </c>
      <c r="BQ82" s="401">
        <f t="shared" si="31"/>
        <v>14488.616666666667</v>
      </c>
      <c r="BR82" s="401">
        <f t="shared" si="31"/>
        <v>14488.616666666667</v>
      </c>
      <c r="BS82" s="401">
        <f t="shared" si="31"/>
        <v>14488.616666666667</v>
      </c>
      <c r="BT82" s="401">
        <f t="shared" si="31"/>
        <v>0</v>
      </c>
      <c r="BU82" s="401">
        <f t="shared" si="31"/>
        <v>0</v>
      </c>
      <c r="BV82" s="401">
        <f t="shared" si="31"/>
        <v>0</v>
      </c>
      <c r="BW82" s="401">
        <f t="shared" si="31"/>
        <v>0</v>
      </c>
      <c r="BX82" s="401">
        <f t="shared" si="31"/>
        <v>0</v>
      </c>
      <c r="BY82" s="401">
        <f t="shared" si="31"/>
        <v>0</v>
      </c>
      <c r="BZ82" s="401">
        <f t="shared" si="31"/>
        <v>0</v>
      </c>
      <c r="CA82" s="401">
        <f t="shared" si="31"/>
        <v>0</v>
      </c>
      <c r="CB82" s="401">
        <f t="shared" si="31"/>
        <v>0</v>
      </c>
      <c r="CC82" s="401">
        <f t="shared" si="31"/>
        <v>0</v>
      </c>
      <c r="CD82" s="401">
        <f t="shared" si="31"/>
        <v>0</v>
      </c>
      <c r="CE82" s="401">
        <f t="shared" si="31"/>
        <v>0</v>
      </c>
      <c r="CF82" s="401">
        <f t="shared" si="31"/>
        <v>0</v>
      </c>
      <c r="CG82" s="401">
        <f t="shared" si="38"/>
        <v>0</v>
      </c>
      <c r="CH82" s="401">
        <f t="shared" si="38"/>
        <v>0</v>
      </c>
      <c r="CI82" s="401">
        <f t="shared" si="38"/>
        <v>0</v>
      </c>
      <c r="CJ82" s="401">
        <f t="shared" si="38"/>
        <v>0</v>
      </c>
      <c r="CK82" s="401">
        <f t="shared" si="38"/>
        <v>0</v>
      </c>
      <c r="CL82" s="401">
        <f t="shared" si="38"/>
        <v>0</v>
      </c>
      <c r="CM82" s="401">
        <f t="shared" si="38"/>
        <v>0</v>
      </c>
      <c r="CN82" s="401">
        <f t="shared" si="38"/>
        <v>0</v>
      </c>
      <c r="CO82" s="401">
        <f t="shared" si="38"/>
        <v>0</v>
      </c>
      <c r="CP82" s="401">
        <f t="shared" si="38"/>
        <v>0</v>
      </c>
      <c r="CQ82" s="401">
        <f t="shared" si="38"/>
        <v>0</v>
      </c>
      <c r="CR82" s="401">
        <f t="shared" si="37"/>
        <v>-6.0000000288709998E-2</v>
      </c>
    </row>
    <row r="83" spans="2:96" s="396" customFormat="1">
      <c r="B83" s="456"/>
      <c r="C83" s="456"/>
      <c r="D83" s="397">
        <v>20001367</v>
      </c>
      <c r="E83" s="397">
        <f t="shared" si="33"/>
        <v>333356.11666666664</v>
      </c>
      <c r="F83" s="397">
        <f t="shared" si="34"/>
        <v>5</v>
      </c>
      <c r="G83" s="397">
        <v>60</v>
      </c>
      <c r="H83" s="398">
        <v>43374</v>
      </c>
      <c r="I83" s="399">
        <f t="shared" si="12"/>
        <v>45199</v>
      </c>
      <c r="J83" s="456"/>
      <c r="K83" s="400">
        <v>20001367.420000002</v>
      </c>
      <c r="L83" s="401"/>
      <c r="M83" s="401"/>
      <c r="N83" s="401"/>
      <c r="O83" s="401"/>
      <c r="P83" s="401"/>
      <c r="Q83" s="401"/>
      <c r="R83" s="401"/>
      <c r="S83" s="401"/>
      <c r="T83" s="401">
        <v>3000205.07</v>
      </c>
      <c r="U83" s="401">
        <f t="shared" si="35"/>
        <v>333356.11666666664</v>
      </c>
      <c r="V83" s="401">
        <f t="shared" si="35"/>
        <v>333356.11666666664</v>
      </c>
      <c r="W83" s="401">
        <f t="shared" si="35"/>
        <v>333356.11666666664</v>
      </c>
      <c r="X83" s="401">
        <f t="shared" si="35"/>
        <v>333356.11666666664</v>
      </c>
      <c r="Y83" s="401">
        <f t="shared" si="35"/>
        <v>333356.11666666664</v>
      </c>
      <c r="Z83" s="401">
        <f t="shared" si="35"/>
        <v>333356.11666666664</v>
      </c>
      <c r="AA83" s="401">
        <f t="shared" si="35"/>
        <v>333356.11666666664</v>
      </c>
      <c r="AB83" s="401">
        <f t="shared" si="35"/>
        <v>333356.11666666664</v>
      </c>
      <c r="AC83" s="401">
        <f t="shared" si="35"/>
        <v>333356.11666666664</v>
      </c>
      <c r="AD83" s="401">
        <f t="shared" si="35"/>
        <v>333356.11666666664</v>
      </c>
      <c r="AE83" s="401">
        <f t="shared" si="35"/>
        <v>333356.11666666664</v>
      </c>
      <c r="AF83" s="401">
        <f t="shared" si="35"/>
        <v>333356.11666666664</v>
      </c>
      <c r="AG83" s="401">
        <f t="shared" si="35"/>
        <v>333356.11666666664</v>
      </c>
      <c r="AH83" s="401">
        <f t="shared" si="35"/>
        <v>333356.11666666664</v>
      </c>
      <c r="AI83" s="401">
        <f t="shared" si="35"/>
        <v>333356.11666666664</v>
      </c>
      <c r="AJ83" s="401">
        <f t="shared" si="35"/>
        <v>333356.11666666664</v>
      </c>
      <c r="AK83" s="401">
        <f t="shared" si="36"/>
        <v>333356.11666666664</v>
      </c>
      <c r="AL83" s="401">
        <f t="shared" si="36"/>
        <v>333356.11666666664</v>
      </c>
      <c r="AM83" s="401">
        <f t="shared" si="36"/>
        <v>333356.11666666664</v>
      </c>
      <c r="AN83" s="401">
        <f t="shared" si="36"/>
        <v>333356.11666666664</v>
      </c>
      <c r="AO83" s="401">
        <f t="shared" si="36"/>
        <v>333356.11666666664</v>
      </c>
      <c r="AP83" s="401">
        <f t="shared" si="36"/>
        <v>333356.11666666664</v>
      </c>
      <c r="AQ83" s="401">
        <f t="shared" si="36"/>
        <v>333356.11666666664</v>
      </c>
      <c r="AR83" s="401">
        <f t="shared" si="36"/>
        <v>333356.11666666664</v>
      </c>
      <c r="AS83" s="401">
        <f t="shared" si="36"/>
        <v>333356.11666666664</v>
      </c>
      <c r="AT83" s="401">
        <f t="shared" si="36"/>
        <v>333356.11666666664</v>
      </c>
      <c r="AU83" s="401">
        <f t="shared" si="36"/>
        <v>333356.11666666664</v>
      </c>
      <c r="AV83" s="401">
        <f t="shared" si="36"/>
        <v>333356.11666666664</v>
      </c>
      <c r="AW83" s="401">
        <f t="shared" si="36"/>
        <v>333356.11666666664</v>
      </c>
      <c r="AX83" s="401">
        <f t="shared" si="36"/>
        <v>333356.11666666664</v>
      </c>
      <c r="AY83" s="401">
        <f t="shared" si="36"/>
        <v>333356.11666666664</v>
      </c>
      <c r="AZ83" s="401">
        <f t="shared" si="36"/>
        <v>333356.11666666664</v>
      </c>
      <c r="BA83" s="401">
        <f t="shared" si="39"/>
        <v>333356.11666666664</v>
      </c>
      <c r="BB83" s="401">
        <f t="shared" si="39"/>
        <v>333356.11666666664</v>
      </c>
      <c r="BC83" s="401">
        <f t="shared" si="39"/>
        <v>333356.11666666664</v>
      </c>
      <c r="BD83" s="401">
        <f t="shared" si="39"/>
        <v>333356.11666666664</v>
      </c>
      <c r="BE83" s="401">
        <f t="shared" si="39"/>
        <v>333356.11666666664</v>
      </c>
      <c r="BF83" s="401">
        <f t="shared" si="39"/>
        <v>333356.11666666664</v>
      </c>
      <c r="BG83" s="401">
        <f t="shared" si="39"/>
        <v>333356.11666666664</v>
      </c>
      <c r="BH83" s="401">
        <f t="shared" si="39"/>
        <v>333356.11666666664</v>
      </c>
      <c r="BI83" s="401">
        <f t="shared" si="39"/>
        <v>333356.11666666664</v>
      </c>
      <c r="BJ83" s="401">
        <f t="shared" si="39"/>
        <v>333356.11666666664</v>
      </c>
      <c r="BK83" s="401">
        <f t="shared" si="39"/>
        <v>333356.11666666664</v>
      </c>
      <c r="BL83" s="401">
        <f t="shared" si="39"/>
        <v>333356.11666666664</v>
      </c>
      <c r="BM83" s="401">
        <f t="shared" si="39"/>
        <v>333356.11666666664</v>
      </c>
      <c r="BN83" s="401">
        <f t="shared" si="39"/>
        <v>333356.11666666664</v>
      </c>
      <c r="BO83" s="401">
        <f t="shared" si="39"/>
        <v>333356.11666666664</v>
      </c>
      <c r="BP83" s="401">
        <f t="shared" si="39"/>
        <v>333356.11666666664</v>
      </c>
      <c r="BQ83" s="401">
        <f t="shared" si="31"/>
        <v>333356.11666666664</v>
      </c>
      <c r="BR83" s="401">
        <f t="shared" si="31"/>
        <v>333356.11666666664</v>
      </c>
      <c r="BS83" s="401">
        <f t="shared" si="31"/>
        <v>333356.11666666664</v>
      </c>
      <c r="BT83" s="401">
        <f t="shared" si="31"/>
        <v>0</v>
      </c>
      <c r="BU83" s="401">
        <f t="shared" si="31"/>
        <v>0</v>
      </c>
      <c r="BV83" s="401">
        <f t="shared" si="31"/>
        <v>0</v>
      </c>
      <c r="BW83" s="401">
        <f t="shared" si="31"/>
        <v>0</v>
      </c>
      <c r="BX83" s="401">
        <f t="shared" si="31"/>
        <v>0</v>
      </c>
      <c r="BY83" s="401">
        <f t="shared" si="31"/>
        <v>0</v>
      </c>
      <c r="BZ83" s="401">
        <f t="shared" si="31"/>
        <v>0</v>
      </c>
      <c r="CA83" s="401">
        <f t="shared" si="31"/>
        <v>0</v>
      </c>
      <c r="CB83" s="401">
        <f t="shared" si="31"/>
        <v>0</v>
      </c>
      <c r="CC83" s="401">
        <f t="shared" si="31"/>
        <v>0</v>
      </c>
      <c r="CD83" s="401">
        <f t="shared" si="31"/>
        <v>0</v>
      </c>
      <c r="CE83" s="401">
        <f t="shared" si="31"/>
        <v>0</v>
      </c>
      <c r="CF83" s="401">
        <f t="shared" si="31"/>
        <v>0</v>
      </c>
      <c r="CG83" s="401">
        <f t="shared" si="38"/>
        <v>0</v>
      </c>
      <c r="CH83" s="401">
        <f t="shared" si="38"/>
        <v>0</v>
      </c>
      <c r="CI83" s="401">
        <f t="shared" si="38"/>
        <v>0</v>
      </c>
      <c r="CJ83" s="401">
        <f t="shared" si="38"/>
        <v>0</v>
      </c>
      <c r="CK83" s="401">
        <f t="shared" si="38"/>
        <v>0</v>
      </c>
      <c r="CL83" s="401">
        <f t="shared" si="38"/>
        <v>0</v>
      </c>
      <c r="CM83" s="401">
        <f t="shared" si="38"/>
        <v>0</v>
      </c>
      <c r="CN83" s="401">
        <f t="shared" si="38"/>
        <v>0</v>
      </c>
      <c r="CO83" s="401">
        <f t="shared" si="38"/>
        <v>0</v>
      </c>
      <c r="CP83" s="401">
        <f t="shared" si="38"/>
        <v>0</v>
      </c>
      <c r="CQ83" s="401">
        <f t="shared" si="38"/>
        <v>0</v>
      </c>
      <c r="CR83" s="401">
        <f t="shared" si="37"/>
        <v>0.39999999105930328</v>
      </c>
    </row>
    <row r="87" spans="2:96" ht="15.4">
      <c r="B87" s="456"/>
      <c r="C87" s="456"/>
      <c r="D87" s="403">
        <v>1499.44</v>
      </c>
      <c r="E87" s="403">
        <f t="shared" ref="E87:E113" si="40">D87/G87</f>
        <v>24.990666666666666</v>
      </c>
      <c r="F87" s="403">
        <f t="shared" ref="F87:F113" si="41">G87/12</f>
        <v>5</v>
      </c>
      <c r="G87" s="403">
        <v>60</v>
      </c>
      <c r="H87" s="404">
        <v>43738</v>
      </c>
      <c r="I87" s="404">
        <f t="shared" ref="I87:I113" si="42">H87+F87*365</f>
        <v>45563</v>
      </c>
      <c r="J87" s="459"/>
      <c r="X87" s="339">
        <f t="shared" ref="X87:AM102" si="43">IF($I87&gt;X$7-30,$E87,0)</f>
        <v>24.990666666666666</v>
      </c>
      <c r="Y87" s="339">
        <f t="shared" si="43"/>
        <v>24.990666666666666</v>
      </c>
      <c r="Z87" s="339">
        <f t="shared" si="43"/>
        <v>24.990666666666666</v>
      </c>
      <c r="AA87" s="339">
        <f t="shared" si="43"/>
        <v>24.990666666666666</v>
      </c>
      <c r="AB87" s="339">
        <f t="shared" si="43"/>
        <v>24.990666666666666</v>
      </c>
      <c r="AC87" s="339">
        <f t="shared" si="43"/>
        <v>24.990666666666666</v>
      </c>
      <c r="AD87" s="339">
        <f t="shared" si="43"/>
        <v>24.990666666666666</v>
      </c>
      <c r="AE87" s="339">
        <f t="shared" si="43"/>
        <v>24.990666666666666</v>
      </c>
      <c r="AF87" s="339">
        <f t="shared" si="43"/>
        <v>24.990666666666666</v>
      </c>
      <c r="AG87" s="339">
        <f t="shared" si="43"/>
        <v>24.990666666666666</v>
      </c>
      <c r="AH87" s="339">
        <f t="shared" si="43"/>
        <v>24.990666666666666</v>
      </c>
      <c r="AI87" s="339">
        <f t="shared" si="43"/>
        <v>24.990666666666666</v>
      </c>
      <c r="AJ87" s="339">
        <f t="shared" si="43"/>
        <v>24.990666666666666</v>
      </c>
      <c r="AK87" s="339">
        <f t="shared" si="43"/>
        <v>24.990666666666666</v>
      </c>
      <c r="AL87" s="339">
        <f t="shared" si="43"/>
        <v>24.990666666666666</v>
      </c>
      <c r="AM87" s="339">
        <f t="shared" si="43"/>
        <v>24.990666666666666</v>
      </c>
      <c r="AN87" s="339">
        <f t="shared" ref="AN87:BC102" si="44">IF($I87&gt;AN$7-30,$E87,0)</f>
        <v>24.990666666666666</v>
      </c>
      <c r="AO87" s="339">
        <f t="shared" si="44"/>
        <v>24.990666666666666</v>
      </c>
      <c r="AP87" s="339">
        <f t="shared" si="44"/>
        <v>24.990666666666666</v>
      </c>
      <c r="AQ87" s="339">
        <f t="shared" si="44"/>
        <v>24.990666666666666</v>
      </c>
      <c r="AR87" s="339">
        <f t="shared" si="44"/>
        <v>24.990666666666666</v>
      </c>
      <c r="AS87" s="339">
        <f t="shared" si="44"/>
        <v>24.990666666666666</v>
      </c>
      <c r="AT87" s="339">
        <f t="shared" si="44"/>
        <v>24.990666666666666</v>
      </c>
      <c r="AU87" s="339">
        <f t="shared" si="44"/>
        <v>24.990666666666666</v>
      </c>
      <c r="AV87" s="339">
        <f t="shared" si="44"/>
        <v>24.990666666666666</v>
      </c>
      <c r="AW87" s="339">
        <f t="shared" si="44"/>
        <v>24.990666666666666</v>
      </c>
      <c r="AX87" s="339">
        <f t="shared" si="44"/>
        <v>24.990666666666666</v>
      </c>
      <c r="AY87" s="339">
        <f t="shared" si="44"/>
        <v>24.990666666666666</v>
      </c>
      <c r="AZ87" s="339">
        <f t="shared" si="44"/>
        <v>24.990666666666666</v>
      </c>
      <c r="BA87" s="339">
        <f t="shared" si="44"/>
        <v>24.990666666666666</v>
      </c>
      <c r="BB87" s="339">
        <f t="shared" si="44"/>
        <v>24.990666666666666</v>
      </c>
      <c r="BC87" s="339">
        <f t="shared" si="44"/>
        <v>24.990666666666666</v>
      </c>
      <c r="BD87" s="339">
        <f t="shared" ref="BD87:BS102" si="45">IF($I87&gt;BD$7-30,$E87,0)</f>
        <v>24.990666666666666</v>
      </c>
      <c r="BE87" s="339">
        <f t="shared" si="45"/>
        <v>24.990666666666666</v>
      </c>
      <c r="BF87" s="339">
        <f t="shared" si="45"/>
        <v>24.990666666666666</v>
      </c>
      <c r="BG87" s="339">
        <f t="shared" si="45"/>
        <v>24.990666666666666</v>
      </c>
      <c r="BH87" s="339">
        <f t="shared" si="45"/>
        <v>24.990666666666666</v>
      </c>
      <c r="BI87" s="339">
        <f t="shared" si="45"/>
        <v>24.990666666666666</v>
      </c>
      <c r="BJ87" s="339">
        <f t="shared" si="45"/>
        <v>24.990666666666666</v>
      </c>
      <c r="BK87" s="339">
        <f t="shared" si="45"/>
        <v>24.990666666666666</v>
      </c>
      <c r="BL87" s="339">
        <f t="shared" si="45"/>
        <v>24.990666666666666</v>
      </c>
      <c r="BM87" s="339">
        <f t="shared" si="45"/>
        <v>24.990666666666666</v>
      </c>
      <c r="BN87" s="339">
        <f t="shared" si="45"/>
        <v>24.990666666666666</v>
      </c>
      <c r="BO87" s="339">
        <f t="shared" si="45"/>
        <v>24.990666666666666</v>
      </c>
      <c r="BP87" s="339">
        <f t="shared" si="45"/>
        <v>24.990666666666666</v>
      </c>
      <c r="BQ87" s="339">
        <f t="shared" si="45"/>
        <v>24.990666666666666</v>
      </c>
      <c r="BR87" s="339">
        <f t="shared" si="45"/>
        <v>24.990666666666666</v>
      </c>
      <c r="BS87" s="339">
        <f t="shared" si="45"/>
        <v>24.990666666666666</v>
      </c>
      <c r="BT87" s="339">
        <f t="shared" ref="BT87:CI102" si="46">IF($I87&gt;BT$7-30,$E87,0)</f>
        <v>24.990666666666666</v>
      </c>
      <c r="BU87" s="339">
        <f t="shared" si="46"/>
        <v>24.990666666666666</v>
      </c>
      <c r="BV87" s="339">
        <f t="shared" si="46"/>
        <v>24.990666666666666</v>
      </c>
      <c r="BW87" s="339">
        <f t="shared" si="46"/>
        <v>24.990666666666666</v>
      </c>
      <c r="BX87" s="339">
        <f t="shared" si="46"/>
        <v>24.990666666666666</v>
      </c>
      <c r="BY87" s="339">
        <f t="shared" si="46"/>
        <v>24.990666666666666</v>
      </c>
      <c r="BZ87" s="339">
        <f t="shared" si="46"/>
        <v>24.990666666666666</v>
      </c>
      <c r="CA87" s="339">
        <f t="shared" si="46"/>
        <v>24.990666666666666</v>
      </c>
      <c r="CB87" s="339">
        <f t="shared" si="46"/>
        <v>24.990666666666666</v>
      </c>
      <c r="CC87" s="339">
        <f t="shared" si="46"/>
        <v>24.990666666666666</v>
      </c>
      <c r="CD87" s="339">
        <f t="shared" si="46"/>
        <v>24.990666666666666</v>
      </c>
      <c r="CE87" s="339">
        <f t="shared" si="46"/>
        <v>24.990666666666666</v>
      </c>
      <c r="CF87" s="339">
        <f t="shared" si="46"/>
        <v>0</v>
      </c>
      <c r="CG87" s="339">
        <f t="shared" si="46"/>
        <v>0</v>
      </c>
      <c r="CH87" s="339">
        <f t="shared" si="46"/>
        <v>0</v>
      </c>
      <c r="CI87" s="339">
        <f t="shared" si="46"/>
        <v>0</v>
      </c>
      <c r="CJ87" s="339">
        <f t="shared" ref="CF87:CQ102" si="47">IF($I87&gt;CJ$7-30,$E87,0)</f>
        <v>0</v>
      </c>
      <c r="CK87" s="339">
        <f t="shared" si="47"/>
        <v>0</v>
      </c>
      <c r="CL87" s="339">
        <f t="shared" si="47"/>
        <v>0</v>
      </c>
      <c r="CM87" s="339">
        <f t="shared" si="47"/>
        <v>0</v>
      </c>
      <c r="CN87" s="339">
        <f t="shared" si="47"/>
        <v>0</v>
      </c>
      <c r="CO87" s="339">
        <f t="shared" si="47"/>
        <v>0</v>
      </c>
      <c r="CP87" s="339">
        <f t="shared" si="47"/>
        <v>0</v>
      </c>
      <c r="CQ87" s="339">
        <f t="shared" si="47"/>
        <v>0</v>
      </c>
    </row>
    <row r="88" spans="2:96" ht="15.4">
      <c r="B88" s="456"/>
      <c r="C88" s="456"/>
      <c r="D88" s="403">
        <v>15466</v>
      </c>
      <c r="E88" s="403">
        <f t="shared" si="40"/>
        <v>257.76666666666665</v>
      </c>
      <c r="F88" s="403">
        <f t="shared" si="41"/>
        <v>5</v>
      </c>
      <c r="G88" s="403">
        <v>60</v>
      </c>
      <c r="H88" s="404">
        <v>43738</v>
      </c>
      <c r="I88" s="404">
        <f t="shared" si="42"/>
        <v>45563</v>
      </c>
      <c r="J88" s="459"/>
      <c r="X88" s="339">
        <f t="shared" si="43"/>
        <v>257.76666666666665</v>
      </c>
      <c r="Y88" s="339">
        <f t="shared" si="43"/>
        <v>257.76666666666665</v>
      </c>
      <c r="Z88" s="339">
        <f t="shared" si="43"/>
        <v>257.76666666666665</v>
      </c>
      <c r="AA88" s="339">
        <f t="shared" si="43"/>
        <v>257.76666666666665</v>
      </c>
      <c r="AB88" s="339">
        <f t="shared" si="43"/>
        <v>257.76666666666665</v>
      </c>
      <c r="AC88" s="339">
        <f t="shared" si="43"/>
        <v>257.76666666666665</v>
      </c>
      <c r="AD88" s="339">
        <f t="shared" si="43"/>
        <v>257.76666666666665</v>
      </c>
      <c r="AE88" s="339">
        <f t="shared" si="43"/>
        <v>257.76666666666665</v>
      </c>
      <c r="AF88" s="339">
        <f t="shared" si="43"/>
        <v>257.76666666666665</v>
      </c>
      <c r="AG88" s="339">
        <f t="shared" si="43"/>
        <v>257.76666666666665</v>
      </c>
      <c r="AH88" s="339">
        <f t="shared" si="43"/>
        <v>257.76666666666665</v>
      </c>
      <c r="AI88" s="339">
        <f t="shared" si="43"/>
        <v>257.76666666666665</v>
      </c>
      <c r="AJ88" s="339">
        <f t="shared" si="43"/>
        <v>257.76666666666665</v>
      </c>
      <c r="AK88" s="339">
        <f t="shared" si="43"/>
        <v>257.76666666666665</v>
      </c>
      <c r="AL88" s="339">
        <f t="shared" si="43"/>
        <v>257.76666666666665</v>
      </c>
      <c r="AM88" s="339">
        <f t="shared" si="43"/>
        <v>257.76666666666665</v>
      </c>
      <c r="AN88" s="339">
        <f t="shared" si="44"/>
        <v>257.76666666666665</v>
      </c>
      <c r="AO88" s="339">
        <f t="shared" si="44"/>
        <v>257.76666666666665</v>
      </c>
      <c r="AP88" s="339">
        <f t="shared" si="44"/>
        <v>257.76666666666665</v>
      </c>
      <c r="AQ88" s="339">
        <f t="shared" si="44"/>
        <v>257.76666666666665</v>
      </c>
      <c r="AR88" s="339">
        <f t="shared" si="44"/>
        <v>257.76666666666665</v>
      </c>
      <c r="AS88" s="339">
        <f t="shared" si="44"/>
        <v>257.76666666666665</v>
      </c>
      <c r="AT88" s="339">
        <f t="shared" si="44"/>
        <v>257.76666666666665</v>
      </c>
      <c r="AU88" s="339">
        <f t="shared" si="44"/>
        <v>257.76666666666665</v>
      </c>
      <c r="AV88" s="339">
        <f t="shared" si="44"/>
        <v>257.76666666666665</v>
      </c>
      <c r="AW88" s="339">
        <f t="shared" si="44"/>
        <v>257.76666666666665</v>
      </c>
      <c r="AX88" s="339">
        <f t="shared" si="44"/>
        <v>257.76666666666665</v>
      </c>
      <c r="AY88" s="339">
        <f t="shared" si="44"/>
        <v>257.76666666666665</v>
      </c>
      <c r="AZ88" s="339">
        <f t="shared" si="44"/>
        <v>257.76666666666665</v>
      </c>
      <c r="BA88" s="339">
        <f t="shared" si="44"/>
        <v>257.76666666666665</v>
      </c>
      <c r="BB88" s="339">
        <f t="shared" si="44"/>
        <v>257.76666666666665</v>
      </c>
      <c r="BC88" s="339">
        <f t="shared" si="44"/>
        <v>257.76666666666665</v>
      </c>
      <c r="BD88" s="339">
        <f t="shared" si="45"/>
        <v>257.76666666666665</v>
      </c>
      <c r="BE88" s="339">
        <f t="shared" si="45"/>
        <v>257.76666666666665</v>
      </c>
      <c r="BF88" s="339">
        <f t="shared" si="45"/>
        <v>257.76666666666665</v>
      </c>
      <c r="BG88" s="339">
        <f t="shared" si="45"/>
        <v>257.76666666666665</v>
      </c>
      <c r="BH88" s="339">
        <f t="shared" si="45"/>
        <v>257.76666666666665</v>
      </c>
      <c r="BI88" s="339">
        <f t="shared" si="45"/>
        <v>257.76666666666665</v>
      </c>
      <c r="BJ88" s="339">
        <f t="shared" si="45"/>
        <v>257.76666666666665</v>
      </c>
      <c r="BK88" s="339">
        <f t="shared" si="45"/>
        <v>257.76666666666665</v>
      </c>
      <c r="BL88" s="339">
        <f t="shared" si="45"/>
        <v>257.76666666666665</v>
      </c>
      <c r="BM88" s="339">
        <f t="shared" si="45"/>
        <v>257.76666666666665</v>
      </c>
      <c r="BN88" s="339">
        <f t="shared" si="45"/>
        <v>257.76666666666665</v>
      </c>
      <c r="BO88" s="339">
        <f t="shared" si="45"/>
        <v>257.76666666666665</v>
      </c>
      <c r="BP88" s="339">
        <f t="shared" si="45"/>
        <v>257.76666666666665</v>
      </c>
      <c r="BQ88" s="339">
        <f t="shared" si="45"/>
        <v>257.76666666666665</v>
      </c>
      <c r="BR88" s="339">
        <f t="shared" si="45"/>
        <v>257.76666666666665</v>
      </c>
      <c r="BS88" s="339">
        <f t="shared" si="45"/>
        <v>257.76666666666665</v>
      </c>
      <c r="BT88" s="339">
        <f t="shared" si="46"/>
        <v>257.76666666666665</v>
      </c>
      <c r="BU88" s="339">
        <f t="shared" si="46"/>
        <v>257.76666666666665</v>
      </c>
      <c r="BV88" s="339">
        <f t="shared" si="46"/>
        <v>257.76666666666665</v>
      </c>
      <c r="BW88" s="339">
        <f t="shared" si="46"/>
        <v>257.76666666666665</v>
      </c>
      <c r="BX88" s="339">
        <f t="shared" si="46"/>
        <v>257.76666666666665</v>
      </c>
      <c r="BY88" s="339">
        <f t="shared" si="46"/>
        <v>257.76666666666665</v>
      </c>
      <c r="BZ88" s="339">
        <f t="shared" si="46"/>
        <v>257.76666666666665</v>
      </c>
      <c r="CA88" s="339">
        <f t="shared" si="46"/>
        <v>257.76666666666665</v>
      </c>
      <c r="CB88" s="339">
        <f t="shared" si="46"/>
        <v>257.76666666666665</v>
      </c>
      <c r="CC88" s="339">
        <f t="shared" si="46"/>
        <v>257.76666666666665</v>
      </c>
      <c r="CD88" s="339">
        <f t="shared" si="46"/>
        <v>257.76666666666665</v>
      </c>
      <c r="CE88" s="339">
        <f t="shared" si="46"/>
        <v>257.76666666666665</v>
      </c>
      <c r="CF88" s="339">
        <f t="shared" si="47"/>
        <v>0</v>
      </c>
      <c r="CG88" s="339">
        <f t="shared" si="47"/>
        <v>0</v>
      </c>
      <c r="CH88" s="339">
        <f t="shared" si="47"/>
        <v>0</v>
      </c>
      <c r="CI88" s="339">
        <f t="shared" si="47"/>
        <v>0</v>
      </c>
      <c r="CJ88" s="339">
        <f t="shared" si="47"/>
        <v>0</v>
      </c>
      <c r="CK88" s="339">
        <f t="shared" si="47"/>
        <v>0</v>
      </c>
      <c r="CL88" s="339">
        <f t="shared" si="47"/>
        <v>0</v>
      </c>
      <c r="CM88" s="339">
        <f t="shared" si="47"/>
        <v>0</v>
      </c>
      <c r="CN88" s="339">
        <f t="shared" si="47"/>
        <v>0</v>
      </c>
      <c r="CO88" s="339">
        <f t="shared" si="47"/>
        <v>0</v>
      </c>
      <c r="CP88" s="339">
        <f t="shared" si="47"/>
        <v>0</v>
      </c>
      <c r="CQ88" s="339">
        <f t="shared" si="47"/>
        <v>0</v>
      </c>
    </row>
    <row r="89" spans="2:96" ht="15.4">
      <c r="B89" s="456"/>
      <c r="C89" s="456"/>
      <c r="D89" s="403">
        <v>44.79</v>
      </c>
      <c r="E89" s="403">
        <f t="shared" si="40"/>
        <v>1.2441666666666666</v>
      </c>
      <c r="F89" s="403">
        <f t="shared" si="41"/>
        <v>3</v>
      </c>
      <c r="G89" s="403">
        <v>36</v>
      </c>
      <c r="H89" s="404">
        <v>43738</v>
      </c>
      <c r="I89" s="404">
        <f t="shared" si="42"/>
        <v>44833</v>
      </c>
      <c r="J89" s="459"/>
      <c r="X89" s="339">
        <f t="shared" si="43"/>
        <v>1.2441666666666666</v>
      </c>
      <c r="Y89" s="339">
        <f t="shared" si="43"/>
        <v>1.2441666666666666</v>
      </c>
      <c r="Z89" s="339">
        <f t="shared" si="43"/>
        <v>1.2441666666666666</v>
      </c>
      <c r="AA89" s="339">
        <f t="shared" si="43"/>
        <v>1.2441666666666666</v>
      </c>
      <c r="AB89" s="339">
        <f t="shared" si="43"/>
        <v>1.2441666666666666</v>
      </c>
      <c r="AC89" s="339">
        <f t="shared" si="43"/>
        <v>1.2441666666666666</v>
      </c>
      <c r="AD89" s="339">
        <f t="shared" si="43"/>
        <v>1.2441666666666666</v>
      </c>
      <c r="AE89" s="339">
        <f t="shared" si="43"/>
        <v>1.2441666666666666</v>
      </c>
      <c r="AF89" s="339">
        <f t="shared" si="43"/>
        <v>1.2441666666666666</v>
      </c>
      <c r="AG89" s="339">
        <f t="shared" si="43"/>
        <v>1.2441666666666666</v>
      </c>
      <c r="AH89" s="339">
        <f t="shared" si="43"/>
        <v>1.2441666666666666</v>
      </c>
      <c r="AI89" s="339">
        <f t="shared" si="43"/>
        <v>1.2441666666666666</v>
      </c>
      <c r="AJ89" s="339">
        <f t="shared" si="43"/>
        <v>1.2441666666666666</v>
      </c>
      <c r="AK89" s="339">
        <f t="shared" si="43"/>
        <v>1.2441666666666666</v>
      </c>
      <c r="AL89" s="339">
        <f t="shared" si="43"/>
        <v>1.2441666666666666</v>
      </c>
      <c r="AM89" s="339">
        <f t="shared" si="43"/>
        <v>1.2441666666666666</v>
      </c>
      <c r="AN89" s="339">
        <f t="shared" si="44"/>
        <v>1.2441666666666666</v>
      </c>
      <c r="AO89" s="339">
        <f t="shared" si="44"/>
        <v>1.2441666666666666</v>
      </c>
      <c r="AP89" s="339">
        <f t="shared" si="44"/>
        <v>1.2441666666666666</v>
      </c>
      <c r="AQ89" s="339">
        <f t="shared" si="44"/>
        <v>1.2441666666666666</v>
      </c>
      <c r="AR89" s="339">
        <f t="shared" si="44"/>
        <v>1.2441666666666666</v>
      </c>
      <c r="AS89" s="339">
        <f t="shared" si="44"/>
        <v>1.2441666666666666</v>
      </c>
      <c r="AT89" s="339">
        <f t="shared" si="44"/>
        <v>1.2441666666666666</v>
      </c>
      <c r="AU89" s="339">
        <f t="shared" si="44"/>
        <v>1.2441666666666666</v>
      </c>
      <c r="AV89" s="339">
        <f t="shared" si="44"/>
        <v>1.2441666666666666</v>
      </c>
      <c r="AW89" s="339">
        <f t="shared" si="44"/>
        <v>1.2441666666666666</v>
      </c>
      <c r="AX89" s="339">
        <f t="shared" si="44"/>
        <v>1.2441666666666666</v>
      </c>
      <c r="AY89" s="339">
        <f t="shared" si="44"/>
        <v>1.2441666666666666</v>
      </c>
      <c r="AZ89" s="339">
        <f t="shared" si="44"/>
        <v>1.2441666666666666</v>
      </c>
      <c r="BA89" s="339">
        <f t="shared" si="44"/>
        <v>1.2441666666666666</v>
      </c>
      <c r="BB89" s="339">
        <f t="shared" si="44"/>
        <v>1.2441666666666666</v>
      </c>
      <c r="BC89" s="339">
        <f t="shared" si="44"/>
        <v>1.2441666666666666</v>
      </c>
      <c r="BD89" s="339">
        <f t="shared" si="45"/>
        <v>1.2441666666666666</v>
      </c>
      <c r="BE89" s="339">
        <f t="shared" si="45"/>
        <v>1.2441666666666666</v>
      </c>
      <c r="BF89" s="339">
        <f t="shared" si="45"/>
        <v>1.2441666666666666</v>
      </c>
      <c r="BG89" s="339">
        <f t="shared" si="45"/>
        <v>1.2441666666666666</v>
      </c>
      <c r="BH89" s="339">
        <f t="shared" si="45"/>
        <v>0</v>
      </c>
      <c r="BI89" s="339">
        <f t="shared" si="45"/>
        <v>0</v>
      </c>
      <c r="BJ89" s="339">
        <f t="shared" si="45"/>
        <v>0</v>
      </c>
      <c r="BK89" s="339">
        <f t="shared" si="45"/>
        <v>0</v>
      </c>
      <c r="BL89" s="339">
        <f t="shared" si="45"/>
        <v>0</v>
      </c>
      <c r="BM89" s="339">
        <f t="shared" si="45"/>
        <v>0</v>
      </c>
      <c r="BN89" s="339">
        <f t="shared" si="45"/>
        <v>0</v>
      </c>
      <c r="BO89" s="339">
        <f t="shared" si="45"/>
        <v>0</v>
      </c>
      <c r="BP89" s="339">
        <f t="shared" si="45"/>
        <v>0</v>
      </c>
      <c r="BQ89" s="339">
        <f t="shared" si="45"/>
        <v>0</v>
      </c>
      <c r="BR89" s="339">
        <f t="shared" si="45"/>
        <v>0</v>
      </c>
      <c r="BS89" s="339">
        <f t="shared" si="45"/>
        <v>0</v>
      </c>
      <c r="BT89" s="339">
        <f t="shared" si="46"/>
        <v>0</v>
      </c>
      <c r="BU89" s="339">
        <f t="shared" si="46"/>
        <v>0</v>
      </c>
      <c r="BV89" s="339">
        <f t="shared" si="46"/>
        <v>0</v>
      </c>
      <c r="BW89" s="339">
        <f t="shared" si="46"/>
        <v>0</v>
      </c>
      <c r="BX89" s="339">
        <f t="shared" si="46"/>
        <v>0</v>
      </c>
      <c r="BY89" s="339">
        <f t="shared" si="46"/>
        <v>0</v>
      </c>
      <c r="BZ89" s="339">
        <f t="shared" si="46"/>
        <v>0</v>
      </c>
      <c r="CA89" s="339">
        <f t="shared" si="46"/>
        <v>0</v>
      </c>
      <c r="CB89" s="339">
        <f t="shared" si="46"/>
        <v>0</v>
      </c>
      <c r="CC89" s="339">
        <f t="shared" si="46"/>
        <v>0</v>
      </c>
      <c r="CD89" s="339">
        <f t="shared" si="46"/>
        <v>0</v>
      </c>
      <c r="CE89" s="339">
        <f t="shared" si="46"/>
        <v>0</v>
      </c>
      <c r="CF89" s="339">
        <f t="shared" si="47"/>
        <v>0</v>
      </c>
      <c r="CG89" s="339">
        <f t="shared" si="47"/>
        <v>0</v>
      </c>
      <c r="CH89" s="339">
        <f t="shared" si="47"/>
        <v>0</v>
      </c>
      <c r="CI89" s="339">
        <f t="shared" si="47"/>
        <v>0</v>
      </c>
      <c r="CJ89" s="339">
        <f t="shared" si="47"/>
        <v>0</v>
      </c>
      <c r="CK89" s="339">
        <f t="shared" si="47"/>
        <v>0</v>
      </c>
      <c r="CL89" s="339">
        <f t="shared" si="47"/>
        <v>0</v>
      </c>
      <c r="CM89" s="339">
        <f t="shared" si="47"/>
        <v>0</v>
      </c>
      <c r="CN89" s="339">
        <f t="shared" si="47"/>
        <v>0</v>
      </c>
      <c r="CO89" s="339">
        <f t="shared" si="47"/>
        <v>0</v>
      </c>
      <c r="CP89" s="339">
        <f t="shared" si="47"/>
        <v>0</v>
      </c>
      <c r="CQ89" s="339">
        <f t="shared" si="47"/>
        <v>0</v>
      </c>
    </row>
    <row r="90" spans="2:96" ht="15.4">
      <c r="B90" s="456"/>
      <c r="C90" s="456"/>
      <c r="D90" s="403">
        <v>12738</v>
      </c>
      <c r="E90" s="403">
        <f t="shared" si="40"/>
        <v>265.375</v>
      </c>
      <c r="F90" s="403">
        <f t="shared" si="41"/>
        <v>4</v>
      </c>
      <c r="G90" s="403">
        <v>48</v>
      </c>
      <c r="H90" s="404">
        <v>43738</v>
      </c>
      <c r="I90" s="404">
        <f t="shared" si="42"/>
        <v>45198</v>
      </c>
      <c r="J90" s="459"/>
      <c r="X90" s="339">
        <f t="shared" si="43"/>
        <v>265.375</v>
      </c>
      <c r="Y90" s="339">
        <f t="shared" si="43"/>
        <v>265.375</v>
      </c>
      <c r="Z90" s="339">
        <f t="shared" si="43"/>
        <v>265.375</v>
      </c>
      <c r="AA90" s="339">
        <f t="shared" si="43"/>
        <v>265.375</v>
      </c>
      <c r="AB90" s="339">
        <f t="shared" si="43"/>
        <v>265.375</v>
      </c>
      <c r="AC90" s="339">
        <f t="shared" si="43"/>
        <v>265.375</v>
      </c>
      <c r="AD90" s="339">
        <f t="shared" si="43"/>
        <v>265.375</v>
      </c>
      <c r="AE90" s="339">
        <f t="shared" si="43"/>
        <v>265.375</v>
      </c>
      <c r="AF90" s="339">
        <f t="shared" si="43"/>
        <v>265.375</v>
      </c>
      <c r="AG90" s="339">
        <f t="shared" si="43"/>
        <v>265.375</v>
      </c>
      <c r="AH90" s="339">
        <f t="shared" si="43"/>
        <v>265.375</v>
      </c>
      <c r="AI90" s="339">
        <f t="shared" si="43"/>
        <v>265.375</v>
      </c>
      <c r="AJ90" s="339">
        <f t="shared" si="43"/>
        <v>265.375</v>
      </c>
      <c r="AK90" s="339">
        <f t="shared" si="43"/>
        <v>265.375</v>
      </c>
      <c r="AL90" s="339">
        <f t="shared" si="43"/>
        <v>265.375</v>
      </c>
      <c r="AM90" s="339">
        <f t="shared" si="43"/>
        <v>265.375</v>
      </c>
      <c r="AN90" s="339">
        <f t="shared" si="44"/>
        <v>265.375</v>
      </c>
      <c r="AO90" s="339">
        <f t="shared" si="44"/>
        <v>265.375</v>
      </c>
      <c r="AP90" s="339">
        <f t="shared" si="44"/>
        <v>265.375</v>
      </c>
      <c r="AQ90" s="339">
        <f t="shared" si="44"/>
        <v>265.375</v>
      </c>
      <c r="AR90" s="339">
        <f t="shared" si="44"/>
        <v>265.375</v>
      </c>
      <c r="AS90" s="339">
        <f t="shared" si="44"/>
        <v>265.375</v>
      </c>
      <c r="AT90" s="339">
        <f t="shared" si="44"/>
        <v>265.375</v>
      </c>
      <c r="AU90" s="339">
        <f t="shared" si="44"/>
        <v>265.375</v>
      </c>
      <c r="AV90" s="339">
        <f t="shared" si="44"/>
        <v>265.375</v>
      </c>
      <c r="AW90" s="339">
        <f t="shared" si="44"/>
        <v>265.375</v>
      </c>
      <c r="AX90" s="339">
        <f t="shared" si="44"/>
        <v>265.375</v>
      </c>
      <c r="AY90" s="339">
        <f t="shared" si="44"/>
        <v>265.375</v>
      </c>
      <c r="AZ90" s="339">
        <f t="shared" si="44"/>
        <v>265.375</v>
      </c>
      <c r="BA90" s="339">
        <f t="shared" si="44"/>
        <v>265.375</v>
      </c>
      <c r="BB90" s="339">
        <f t="shared" si="44"/>
        <v>265.375</v>
      </c>
      <c r="BC90" s="339">
        <f t="shared" si="44"/>
        <v>265.375</v>
      </c>
      <c r="BD90" s="339">
        <f t="shared" si="45"/>
        <v>265.375</v>
      </c>
      <c r="BE90" s="339">
        <f t="shared" si="45"/>
        <v>265.375</v>
      </c>
      <c r="BF90" s="339">
        <f t="shared" si="45"/>
        <v>265.375</v>
      </c>
      <c r="BG90" s="339">
        <f t="shared" si="45"/>
        <v>265.375</v>
      </c>
      <c r="BH90" s="339">
        <f t="shared" si="45"/>
        <v>265.375</v>
      </c>
      <c r="BI90" s="339">
        <f t="shared" si="45"/>
        <v>265.375</v>
      </c>
      <c r="BJ90" s="339">
        <f t="shared" si="45"/>
        <v>265.375</v>
      </c>
      <c r="BK90" s="339">
        <f t="shared" si="45"/>
        <v>265.375</v>
      </c>
      <c r="BL90" s="339">
        <f t="shared" si="45"/>
        <v>265.375</v>
      </c>
      <c r="BM90" s="339">
        <f t="shared" si="45"/>
        <v>265.375</v>
      </c>
      <c r="BN90" s="339">
        <f t="shared" si="45"/>
        <v>265.375</v>
      </c>
      <c r="BO90" s="339">
        <f t="shared" si="45"/>
        <v>265.375</v>
      </c>
      <c r="BP90" s="339">
        <f t="shared" si="45"/>
        <v>265.375</v>
      </c>
      <c r="BQ90" s="339">
        <f t="shared" si="45"/>
        <v>265.375</v>
      </c>
      <c r="BR90" s="339">
        <f t="shared" si="45"/>
        <v>265.375</v>
      </c>
      <c r="BS90" s="339">
        <f t="shared" si="45"/>
        <v>265.375</v>
      </c>
      <c r="BT90" s="339">
        <f t="shared" si="46"/>
        <v>0</v>
      </c>
      <c r="BU90" s="339">
        <f t="shared" si="46"/>
        <v>0</v>
      </c>
      <c r="BV90" s="339">
        <f t="shared" si="46"/>
        <v>0</v>
      </c>
      <c r="BW90" s="339">
        <f t="shared" si="46"/>
        <v>0</v>
      </c>
      <c r="BX90" s="339">
        <f t="shared" si="46"/>
        <v>0</v>
      </c>
      <c r="BY90" s="339">
        <f t="shared" si="46"/>
        <v>0</v>
      </c>
      <c r="BZ90" s="339">
        <f t="shared" si="46"/>
        <v>0</v>
      </c>
      <c r="CA90" s="339">
        <f t="shared" si="46"/>
        <v>0</v>
      </c>
      <c r="CB90" s="339">
        <f t="shared" si="46"/>
        <v>0</v>
      </c>
      <c r="CC90" s="339">
        <f t="shared" si="46"/>
        <v>0</v>
      </c>
      <c r="CD90" s="339">
        <f t="shared" si="46"/>
        <v>0</v>
      </c>
      <c r="CE90" s="339">
        <f t="shared" si="46"/>
        <v>0</v>
      </c>
      <c r="CF90" s="339">
        <f t="shared" si="47"/>
        <v>0</v>
      </c>
      <c r="CG90" s="339">
        <f t="shared" si="47"/>
        <v>0</v>
      </c>
      <c r="CH90" s="339">
        <f t="shared" si="47"/>
        <v>0</v>
      </c>
      <c r="CI90" s="339">
        <f t="shared" si="47"/>
        <v>0</v>
      </c>
      <c r="CJ90" s="339">
        <f t="shared" si="47"/>
        <v>0</v>
      </c>
      <c r="CK90" s="339">
        <f t="shared" si="47"/>
        <v>0</v>
      </c>
      <c r="CL90" s="339">
        <f t="shared" si="47"/>
        <v>0</v>
      </c>
      <c r="CM90" s="339">
        <f t="shared" si="47"/>
        <v>0</v>
      </c>
      <c r="CN90" s="339">
        <f t="shared" si="47"/>
        <v>0</v>
      </c>
      <c r="CO90" s="339">
        <f t="shared" si="47"/>
        <v>0</v>
      </c>
      <c r="CP90" s="339">
        <f t="shared" si="47"/>
        <v>0</v>
      </c>
      <c r="CQ90" s="339">
        <f t="shared" si="47"/>
        <v>0</v>
      </c>
    </row>
    <row r="91" spans="2:96" ht="15.4">
      <c r="B91" s="456"/>
      <c r="C91" s="456"/>
      <c r="D91" s="403">
        <v>11879.649999999998</v>
      </c>
      <c r="E91" s="403">
        <f t="shared" si="40"/>
        <v>329.99027777777769</v>
      </c>
      <c r="F91" s="403">
        <f t="shared" si="41"/>
        <v>3</v>
      </c>
      <c r="G91" s="403">
        <v>36</v>
      </c>
      <c r="H91" s="404">
        <v>43738</v>
      </c>
      <c r="I91" s="404">
        <f t="shared" si="42"/>
        <v>44833</v>
      </c>
      <c r="J91" s="459"/>
      <c r="X91" s="339">
        <f t="shared" si="43"/>
        <v>329.99027777777769</v>
      </c>
      <c r="Y91" s="339">
        <f t="shared" si="43"/>
        <v>329.99027777777769</v>
      </c>
      <c r="Z91" s="339">
        <f t="shared" si="43"/>
        <v>329.99027777777769</v>
      </c>
      <c r="AA91" s="339">
        <f t="shared" si="43"/>
        <v>329.99027777777769</v>
      </c>
      <c r="AB91" s="339">
        <f t="shared" si="43"/>
        <v>329.99027777777769</v>
      </c>
      <c r="AC91" s="339">
        <f t="shared" si="43"/>
        <v>329.99027777777769</v>
      </c>
      <c r="AD91" s="339">
        <f t="shared" si="43"/>
        <v>329.99027777777769</v>
      </c>
      <c r="AE91" s="339">
        <f t="shared" si="43"/>
        <v>329.99027777777769</v>
      </c>
      <c r="AF91" s="339">
        <f t="shared" si="43"/>
        <v>329.99027777777769</v>
      </c>
      <c r="AG91" s="339">
        <f t="shared" si="43"/>
        <v>329.99027777777769</v>
      </c>
      <c r="AH91" s="339">
        <f t="shared" si="43"/>
        <v>329.99027777777769</v>
      </c>
      <c r="AI91" s="339">
        <f t="shared" si="43"/>
        <v>329.99027777777769</v>
      </c>
      <c r="AJ91" s="339">
        <f t="shared" si="43"/>
        <v>329.99027777777769</v>
      </c>
      <c r="AK91" s="339">
        <f t="shared" si="43"/>
        <v>329.99027777777769</v>
      </c>
      <c r="AL91" s="339">
        <f t="shared" si="43"/>
        <v>329.99027777777769</v>
      </c>
      <c r="AM91" s="339">
        <f t="shared" si="43"/>
        <v>329.99027777777769</v>
      </c>
      <c r="AN91" s="339">
        <f t="shared" si="44"/>
        <v>329.99027777777769</v>
      </c>
      <c r="AO91" s="339">
        <f t="shared" si="44"/>
        <v>329.99027777777769</v>
      </c>
      <c r="AP91" s="339">
        <f t="shared" si="44"/>
        <v>329.99027777777769</v>
      </c>
      <c r="AQ91" s="339">
        <f t="shared" si="44"/>
        <v>329.99027777777769</v>
      </c>
      <c r="AR91" s="339">
        <f t="shared" si="44"/>
        <v>329.99027777777769</v>
      </c>
      <c r="AS91" s="339">
        <f t="shared" si="44"/>
        <v>329.99027777777769</v>
      </c>
      <c r="AT91" s="339">
        <f t="shared" si="44"/>
        <v>329.99027777777769</v>
      </c>
      <c r="AU91" s="339">
        <f t="shared" si="44"/>
        <v>329.99027777777769</v>
      </c>
      <c r="AV91" s="339">
        <f t="shared" si="44"/>
        <v>329.99027777777769</v>
      </c>
      <c r="AW91" s="339">
        <f t="shared" si="44"/>
        <v>329.99027777777769</v>
      </c>
      <c r="AX91" s="339">
        <f t="shared" si="44"/>
        <v>329.99027777777769</v>
      </c>
      <c r="AY91" s="339">
        <f t="shared" si="44"/>
        <v>329.99027777777769</v>
      </c>
      <c r="AZ91" s="339">
        <f t="shared" si="44"/>
        <v>329.99027777777769</v>
      </c>
      <c r="BA91" s="339">
        <f t="shared" si="44"/>
        <v>329.99027777777769</v>
      </c>
      <c r="BB91" s="339">
        <f t="shared" si="44"/>
        <v>329.99027777777769</v>
      </c>
      <c r="BC91" s="339">
        <f t="shared" si="44"/>
        <v>329.99027777777769</v>
      </c>
      <c r="BD91" s="339">
        <f t="shared" si="45"/>
        <v>329.99027777777769</v>
      </c>
      <c r="BE91" s="339">
        <f t="shared" si="45"/>
        <v>329.99027777777769</v>
      </c>
      <c r="BF91" s="339">
        <f t="shared" si="45"/>
        <v>329.99027777777769</v>
      </c>
      <c r="BG91" s="339">
        <f t="shared" si="45"/>
        <v>329.99027777777769</v>
      </c>
      <c r="BH91" s="339">
        <f t="shared" si="45"/>
        <v>0</v>
      </c>
      <c r="BI91" s="339">
        <f t="shared" si="45"/>
        <v>0</v>
      </c>
      <c r="BJ91" s="339">
        <f t="shared" si="45"/>
        <v>0</v>
      </c>
      <c r="BK91" s="339">
        <f t="shared" si="45"/>
        <v>0</v>
      </c>
      <c r="BL91" s="339">
        <f t="shared" si="45"/>
        <v>0</v>
      </c>
      <c r="BM91" s="339">
        <f t="shared" si="45"/>
        <v>0</v>
      </c>
      <c r="BN91" s="339">
        <f t="shared" si="45"/>
        <v>0</v>
      </c>
      <c r="BO91" s="339">
        <f t="shared" si="45"/>
        <v>0</v>
      </c>
      <c r="BP91" s="339">
        <f t="shared" si="45"/>
        <v>0</v>
      </c>
      <c r="BQ91" s="339">
        <f t="shared" si="45"/>
        <v>0</v>
      </c>
      <c r="BR91" s="339">
        <f t="shared" si="45"/>
        <v>0</v>
      </c>
      <c r="BS91" s="339">
        <f t="shared" si="45"/>
        <v>0</v>
      </c>
      <c r="BT91" s="339">
        <f t="shared" si="46"/>
        <v>0</v>
      </c>
      <c r="BU91" s="339">
        <f t="shared" si="46"/>
        <v>0</v>
      </c>
      <c r="BV91" s="339">
        <f t="shared" si="46"/>
        <v>0</v>
      </c>
      <c r="BW91" s="339">
        <f t="shared" si="46"/>
        <v>0</v>
      </c>
      <c r="BX91" s="339">
        <f t="shared" si="46"/>
        <v>0</v>
      </c>
      <c r="BY91" s="339">
        <f t="shared" si="46"/>
        <v>0</v>
      </c>
      <c r="BZ91" s="339">
        <f t="shared" si="46"/>
        <v>0</v>
      </c>
      <c r="CA91" s="339">
        <f t="shared" si="46"/>
        <v>0</v>
      </c>
      <c r="CB91" s="339">
        <f t="shared" si="46"/>
        <v>0</v>
      </c>
      <c r="CC91" s="339">
        <f t="shared" si="46"/>
        <v>0</v>
      </c>
      <c r="CD91" s="339">
        <f t="shared" si="46"/>
        <v>0</v>
      </c>
      <c r="CE91" s="339">
        <f t="shared" si="46"/>
        <v>0</v>
      </c>
      <c r="CF91" s="339">
        <f t="shared" si="47"/>
        <v>0</v>
      </c>
      <c r="CG91" s="339">
        <f t="shared" si="47"/>
        <v>0</v>
      </c>
      <c r="CH91" s="339">
        <f t="shared" si="47"/>
        <v>0</v>
      </c>
      <c r="CI91" s="339">
        <f t="shared" si="47"/>
        <v>0</v>
      </c>
      <c r="CJ91" s="339">
        <f t="shared" si="47"/>
        <v>0</v>
      </c>
      <c r="CK91" s="339">
        <f t="shared" si="47"/>
        <v>0</v>
      </c>
      <c r="CL91" s="339">
        <f t="shared" si="47"/>
        <v>0</v>
      </c>
      <c r="CM91" s="339">
        <f t="shared" si="47"/>
        <v>0</v>
      </c>
      <c r="CN91" s="339">
        <f t="shared" si="47"/>
        <v>0</v>
      </c>
      <c r="CO91" s="339">
        <f t="shared" si="47"/>
        <v>0</v>
      </c>
      <c r="CP91" s="339">
        <f t="shared" si="47"/>
        <v>0</v>
      </c>
      <c r="CQ91" s="339">
        <f t="shared" si="47"/>
        <v>0</v>
      </c>
    </row>
    <row r="92" spans="2:96" ht="15.4">
      <c r="B92" s="456"/>
      <c r="C92" s="456"/>
      <c r="D92" s="403">
        <v>27112</v>
      </c>
      <c r="E92" s="403">
        <f t="shared" si="40"/>
        <v>451.86666666666667</v>
      </c>
      <c r="F92" s="403">
        <f t="shared" si="41"/>
        <v>5</v>
      </c>
      <c r="G92" s="403">
        <v>60</v>
      </c>
      <c r="H92" s="404">
        <v>43738</v>
      </c>
      <c r="I92" s="404">
        <f t="shared" si="42"/>
        <v>45563</v>
      </c>
      <c r="J92" s="459"/>
      <c r="X92" s="339">
        <f t="shared" si="43"/>
        <v>451.86666666666667</v>
      </c>
      <c r="Y92" s="339">
        <f t="shared" si="43"/>
        <v>451.86666666666667</v>
      </c>
      <c r="Z92" s="339">
        <f t="shared" si="43"/>
        <v>451.86666666666667</v>
      </c>
      <c r="AA92" s="339">
        <f t="shared" si="43"/>
        <v>451.86666666666667</v>
      </c>
      <c r="AB92" s="339">
        <f t="shared" si="43"/>
        <v>451.86666666666667</v>
      </c>
      <c r="AC92" s="339">
        <f t="shared" si="43"/>
        <v>451.86666666666667</v>
      </c>
      <c r="AD92" s="339">
        <f t="shared" si="43"/>
        <v>451.86666666666667</v>
      </c>
      <c r="AE92" s="339">
        <f t="shared" si="43"/>
        <v>451.86666666666667</v>
      </c>
      <c r="AF92" s="339">
        <f t="shared" si="43"/>
        <v>451.86666666666667</v>
      </c>
      <c r="AG92" s="339">
        <f t="shared" si="43"/>
        <v>451.86666666666667</v>
      </c>
      <c r="AH92" s="339">
        <f t="shared" si="43"/>
        <v>451.86666666666667</v>
      </c>
      <c r="AI92" s="339">
        <f t="shared" si="43"/>
        <v>451.86666666666667</v>
      </c>
      <c r="AJ92" s="339">
        <f t="shared" si="43"/>
        <v>451.86666666666667</v>
      </c>
      <c r="AK92" s="339">
        <f t="shared" si="43"/>
        <v>451.86666666666667</v>
      </c>
      <c r="AL92" s="339">
        <f t="shared" si="43"/>
        <v>451.86666666666667</v>
      </c>
      <c r="AM92" s="339">
        <f t="shared" si="43"/>
        <v>451.86666666666667</v>
      </c>
      <c r="AN92" s="339">
        <f t="shared" si="44"/>
        <v>451.86666666666667</v>
      </c>
      <c r="AO92" s="339">
        <f t="shared" si="44"/>
        <v>451.86666666666667</v>
      </c>
      <c r="AP92" s="339">
        <f t="shared" si="44"/>
        <v>451.86666666666667</v>
      </c>
      <c r="AQ92" s="339">
        <f t="shared" si="44"/>
        <v>451.86666666666667</v>
      </c>
      <c r="AR92" s="339">
        <f t="shared" si="44"/>
        <v>451.86666666666667</v>
      </c>
      <c r="AS92" s="339">
        <f t="shared" si="44"/>
        <v>451.86666666666667</v>
      </c>
      <c r="AT92" s="339">
        <f t="shared" si="44"/>
        <v>451.86666666666667</v>
      </c>
      <c r="AU92" s="339">
        <f t="shared" si="44"/>
        <v>451.86666666666667</v>
      </c>
      <c r="AV92" s="339">
        <f t="shared" si="44"/>
        <v>451.86666666666667</v>
      </c>
      <c r="AW92" s="339">
        <f t="shared" si="44"/>
        <v>451.86666666666667</v>
      </c>
      <c r="AX92" s="339">
        <f t="shared" si="44"/>
        <v>451.86666666666667</v>
      </c>
      <c r="AY92" s="339">
        <f t="shared" si="44"/>
        <v>451.86666666666667</v>
      </c>
      <c r="AZ92" s="339">
        <f t="shared" si="44"/>
        <v>451.86666666666667</v>
      </c>
      <c r="BA92" s="339">
        <f t="shared" si="44"/>
        <v>451.86666666666667</v>
      </c>
      <c r="BB92" s="339">
        <f t="shared" si="44"/>
        <v>451.86666666666667</v>
      </c>
      <c r="BC92" s="339">
        <f t="shared" si="44"/>
        <v>451.86666666666667</v>
      </c>
      <c r="BD92" s="339">
        <f t="shared" si="45"/>
        <v>451.86666666666667</v>
      </c>
      <c r="BE92" s="339">
        <f t="shared" si="45"/>
        <v>451.86666666666667</v>
      </c>
      <c r="BF92" s="339">
        <f t="shared" si="45"/>
        <v>451.86666666666667</v>
      </c>
      <c r="BG92" s="339">
        <f t="shared" si="45"/>
        <v>451.86666666666667</v>
      </c>
      <c r="BH92" s="339">
        <f t="shared" si="45"/>
        <v>451.86666666666667</v>
      </c>
      <c r="BI92" s="339">
        <f t="shared" si="45"/>
        <v>451.86666666666667</v>
      </c>
      <c r="BJ92" s="339">
        <f t="shared" si="45"/>
        <v>451.86666666666667</v>
      </c>
      <c r="BK92" s="339">
        <f t="shared" si="45"/>
        <v>451.86666666666667</v>
      </c>
      <c r="BL92" s="339">
        <f t="shared" si="45"/>
        <v>451.86666666666667</v>
      </c>
      <c r="BM92" s="339">
        <f t="shared" si="45"/>
        <v>451.86666666666667</v>
      </c>
      <c r="BN92" s="339">
        <f t="shared" si="45"/>
        <v>451.86666666666667</v>
      </c>
      <c r="BO92" s="339">
        <f t="shared" si="45"/>
        <v>451.86666666666667</v>
      </c>
      <c r="BP92" s="339">
        <f t="shared" si="45"/>
        <v>451.86666666666667</v>
      </c>
      <c r="BQ92" s="339">
        <f t="shared" si="45"/>
        <v>451.86666666666667</v>
      </c>
      <c r="BR92" s="339">
        <f t="shared" si="45"/>
        <v>451.86666666666667</v>
      </c>
      <c r="BS92" s="339">
        <f t="shared" si="45"/>
        <v>451.86666666666667</v>
      </c>
      <c r="BT92" s="339">
        <f t="shared" si="46"/>
        <v>451.86666666666667</v>
      </c>
      <c r="BU92" s="339">
        <f t="shared" si="46"/>
        <v>451.86666666666667</v>
      </c>
      <c r="BV92" s="339">
        <f t="shared" si="46"/>
        <v>451.86666666666667</v>
      </c>
      <c r="BW92" s="339">
        <f t="shared" si="46"/>
        <v>451.86666666666667</v>
      </c>
      <c r="BX92" s="339">
        <f t="shared" si="46"/>
        <v>451.86666666666667</v>
      </c>
      <c r="BY92" s="339">
        <f t="shared" si="46"/>
        <v>451.86666666666667</v>
      </c>
      <c r="BZ92" s="339">
        <f t="shared" si="46"/>
        <v>451.86666666666667</v>
      </c>
      <c r="CA92" s="339">
        <f t="shared" si="46"/>
        <v>451.86666666666667</v>
      </c>
      <c r="CB92" s="339">
        <f t="shared" si="46"/>
        <v>451.86666666666667</v>
      </c>
      <c r="CC92" s="339">
        <f t="shared" si="46"/>
        <v>451.86666666666667</v>
      </c>
      <c r="CD92" s="339">
        <f t="shared" si="46"/>
        <v>451.86666666666667</v>
      </c>
      <c r="CE92" s="339">
        <f t="shared" si="46"/>
        <v>451.86666666666667</v>
      </c>
      <c r="CF92" s="339">
        <f t="shared" si="47"/>
        <v>0</v>
      </c>
      <c r="CG92" s="339">
        <f t="shared" si="47"/>
        <v>0</v>
      </c>
      <c r="CH92" s="339">
        <f t="shared" si="47"/>
        <v>0</v>
      </c>
      <c r="CI92" s="339">
        <f t="shared" si="47"/>
        <v>0</v>
      </c>
      <c r="CJ92" s="339">
        <f t="shared" si="47"/>
        <v>0</v>
      </c>
      <c r="CK92" s="339">
        <f t="shared" si="47"/>
        <v>0</v>
      </c>
      <c r="CL92" s="339">
        <f t="shared" si="47"/>
        <v>0</v>
      </c>
      <c r="CM92" s="339">
        <f t="shared" si="47"/>
        <v>0</v>
      </c>
      <c r="CN92" s="339">
        <f t="shared" si="47"/>
        <v>0</v>
      </c>
      <c r="CO92" s="339">
        <f t="shared" si="47"/>
        <v>0</v>
      </c>
      <c r="CP92" s="339">
        <f t="shared" si="47"/>
        <v>0</v>
      </c>
      <c r="CQ92" s="339">
        <f t="shared" si="47"/>
        <v>0</v>
      </c>
    </row>
    <row r="93" spans="2:96" ht="15.4">
      <c r="B93" s="456"/>
      <c r="C93" s="456"/>
      <c r="D93" s="403">
        <v>36094</v>
      </c>
      <c r="E93" s="403">
        <f t="shared" si="40"/>
        <v>601.56666666666672</v>
      </c>
      <c r="F93" s="403">
        <f t="shared" si="41"/>
        <v>5</v>
      </c>
      <c r="G93" s="403">
        <v>60</v>
      </c>
      <c r="H93" s="404">
        <v>43738</v>
      </c>
      <c r="I93" s="404">
        <f t="shared" si="42"/>
        <v>45563</v>
      </c>
      <c r="J93" s="459"/>
      <c r="X93" s="339">
        <f t="shared" si="43"/>
        <v>601.56666666666672</v>
      </c>
      <c r="Y93" s="339">
        <f t="shared" si="43"/>
        <v>601.56666666666672</v>
      </c>
      <c r="Z93" s="339">
        <f t="shared" si="43"/>
        <v>601.56666666666672</v>
      </c>
      <c r="AA93" s="339">
        <f t="shared" si="43"/>
        <v>601.56666666666672</v>
      </c>
      <c r="AB93" s="339">
        <f t="shared" si="43"/>
        <v>601.56666666666672</v>
      </c>
      <c r="AC93" s="339">
        <f t="shared" si="43"/>
        <v>601.56666666666672</v>
      </c>
      <c r="AD93" s="339">
        <f t="shared" si="43"/>
        <v>601.56666666666672</v>
      </c>
      <c r="AE93" s="339">
        <f t="shared" si="43"/>
        <v>601.56666666666672</v>
      </c>
      <c r="AF93" s="339">
        <f t="shared" si="43"/>
        <v>601.56666666666672</v>
      </c>
      <c r="AG93" s="339">
        <f t="shared" si="43"/>
        <v>601.56666666666672</v>
      </c>
      <c r="AH93" s="339">
        <f t="shared" si="43"/>
        <v>601.56666666666672</v>
      </c>
      <c r="AI93" s="339">
        <f t="shared" si="43"/>
        <v>601.56666666666672</v>
      </c>
      <c r="AJ93" s="339">
        <f t="shared" si="43"/>
        <v>601.56666666666672</v>
      </c>
      <c r="AK93" s="339">
        <f t="shared" si="43"/>
        <v>601.56666666666672</v>
      </c>
      <c r="AL93" s="339">
        <f t="shared" si="43"/>
        <v>601.56666666666672</v>
      </c>
      <c r="AM93" s="339">
        <f t="shared" si="43"/>
        <v>601.56666666666672</v>
      </c>
      <c r="AN93" s="339">
        <f t="shared" si="44"/>
        <v>601.56666666666672</v>
      </c>
      <c r="AO93" s="339">
        <f t="shared" si="44"/>
        <v>601.56666666666672</v>
      </c>
      <c r="AP93" s="339">
        <f t="shared" si="44"/>
        <v>601.56666666666672</v>
      </c>
      <c r="AQ93" s="339">
        <f t="shared" si="44"/>
        <v>601.56666666666672</v>
      </c>
      <c r="AR93" s="339">
        <f t="shared" si="44"/>
        <v>601.56666666666672</v>
      </c>
      <c r="AS93" s="339">
        <f t="shared" si="44"/>
        <v>601.56666666666672</v>
      </c>
      <c r="AT93" s="339">
        <f t="shared" si="44"/>
        <v>601.56666666666672</v>
      </c>
      <c r="AU93" s="339">
        <f t="shared" si="44"/>
        <v>601.56666666666672</v>
      </c>
      <c r="AV93" s="339">
        <f t="shared" si="44"/>
        <v>601.56666666666672</v>
      </c>
      <c r="AW93" s="339">
        <f t="shared" si="44"/>
        <v>601.56666666666672</v>
      </c>
      <c r="AX93" s="339">
        <f t="shared" si="44"/>
        <v>601.56666666666672</v>
      </c>
      <c r="AY93" s="339">
        <f t="shared" si="44"/>
        <v>601.56666666666672</v>
      </c>
      <c r="AZ93" s="339">
        <f t="shared" si="44"/>
        <v>601.56666666666672</v>
      </c>
      <c r="BA93" s="339">
        <f t="shared" si="44"/>
        <v>601.56666666666672</v>
      </c>
      <c r="BB93" s="339">
        <f t="shared" si="44"/>
        <v>601.56666666666672</v>
      </c>
      <c r="BC93" s="339">
        <f t="shared" si="44"/>
        <v>601.56666666666672</v>
      </c>
      <c r="BD93" s="339">
        <f t="shared" si="45"/>
        <v>601.56666666666672</v>
      </c>
      <c r="BE93" s="339">
        <f t="shared" si="45"/>
        <v>601.56666666666672</v>
      </c>
      <c r="BF93" s="339">
        <f t="shared" si="45"/>
        <v>601.56666666666672</v>
      </c>
      <c r="BG93" s="339">
        <f t="shared" si="45"/>
        <v>601.56666666666672</v>
      </c>
      <c r="BH93" s="339">
        <f t="shared" si="45"/>
        <v>601.56666666666672</v>
      </c>
      <c r="BI93" s="339">
        <f t="shared" si="45"/>
        <v>601.56666666666672</v>
      </c>
      <c r="BJ93" s="339">
        <f t="shared" si="45"/>
        <v>601.56666666666672</v>
      </c>
      <c r="BK93" s="339">
        <f t="shared" si="45"/>
        <v>601.56666666666672</v>
      </c>
      <c r="BL93" s="339">
        <f t="shared" si="45"/>
        <v>601.56666666666672</v>
      </c>
      <c r="BM93" s="339">
        <f t="shared" si="45"/>
        <v>601.56666666666672</v>
      </c>
      <c r="BN93" s="339">
        <f t="shared" si="45"/>
        <v>601.56666666666672</v>
      </c>
      <c r="BO93" s="339">
        <f t="shared" si="45"/>
        <v>601.56666666666672</v>
      </c>
      <c r="BP93" s="339">
        <f t="shared" si="45"/>
        <v>601.56666666666672</v>
      </c>
      <c r="BQ93" s="339">
        <f t="shared" si="45"/>
        <v>601.56666666666672</v>
      </c>
      <c r="BR93" s="339">
        <f t="shared" si="45"/>
        <v>601.56666666666672</v>
      </c>
      <c r="BS93" s="339">
        <f t="shared" si="45"/>
        <v>601.56666666666672</v>
      </c>
      <c r="BT93" s="339">
        <f t="shared" si="46"/>
        <v>601.56666666666672</v>
      </c>
      <c r="BU93" s="339">
        <f t="shared" si="46"/>
        <v>601.56666666666672</v>
      </c>
      <c r="BV93" s="339">
        <f t="shared" si="46"/>
        <v>601.56666666666672</v>
      </c>
      <c r="BW93" s="339">
        <f t="shared" si="46"/>
        <v>601.56666666666672</v>
      </c>
      <c r="BX93" s="339">
        <f t="shared" si="46"/>
        <v>601.56666666666672</v>
      </c>
      <c r="BY93" s="339">
        <f t="shared" si="46"/>
        <v>601.56666666666672</v>
      </c>
      <c r="BZ93" s="339">
        <f t="shared" si="46"/>
        <v>601.56666666666672</v>
      </c>
      <c r="CA93" s="339">
        <f t="shared" si="46"/>
        <v>601.56666666666672</v>
      </c>
      <c r="CB93" s="339">
        <f t="shared" si="46"/>
        <v>601.56666666666672</v>
      </c>
      <c r="CC93" s="339">
        <f t="shared" si="46"/>
        <v>601.56666666666672</v>
      </c>
      <c r="CD93" s="339">
        <f t="shared" si="46"/>
        <v>601.56666666666672</v>
      </c>
      <c r="CE93" s="339">
        <f t="shared" si="46"/>
        <v>601.56666666666672</v>
      </c>
      <c r="CF93" s="339">
        <f t="shared" si="47"/>
        <v>0</v>
      </c>
      <c r="CG93" s="339">
        <f t="shared" si="47"/>
        <v>0</v>
      </c>
      <c r="CH93" s="339">
        <f t="shared" si="47"/>
        <v>0</v>
      </c>
      <c r="CI93" s="339">
        <f t="shared" si="47"/>
        <v>0</v>
      </c>
      <c r="CJ93" s="339">
        <f t="shared" si="47"/>
        <v>0</v>
      </c>
      <c r="CK93" s="339">
        <f t="shared" si="47"/>
        <v>0</v>
      </c>
      <c r="CL93" s="339">
        <f t="shared" si="47"/>
        <v>0</v>
      </c>
      <c r="CM93" s="339">
        <f t="shared" si="47"/>
        <v>0</v>
      </c>
      <c r="CN93" s="339">
        <f t="shared" si="47"/>
        <v>0</v>
      </c>
      <c r="CO93" s="339">
        <f t="shared" si="47"/>
        <v>0</v>
      </c>
      <c r="CP93" s="339">
        <f t="shared" si="47"/>
        <v>0</v>
      </c>
      <c r="CQ93" s="339">
        <f t="shared" si="47"/>
        <v>0</v>
      </c>
    </row>
    <row r="94" spans="2:96" ht="15.4">
      <c r="B94" s="456"/>
      <c r="C94" s="456"/>
      <c r="D94" s="403">
        <v>17170.229999999996</v>
      </c>
      <c r="E94" s="403">
        <f t="shared" si="40"/>
        <v>476.95083333333321</v>
      </c>
      <c r="F94" s="403">
        <f t="shared" si="41"/>
        <v>3</v>
      </c>
      <c r="G94" s="403">
        <v>36</v>
      </c>
      <c r="H94" s="404">
        <v>43738</v>
      </c>
      <c r="I94" s="404">
        <f t="shared" si="42"/>
        <v>44833</v>
      </c>
      <c r="J94" s="459"/>
      <c r="X94" s="339">
        <f t="shared" si="43"/>
        <v>476.95083333333321</v>
      </c>
      <c r="Y94" s="339">
        <f t="shared" si="43"/>
        <v>476.95083333333321</v>
      </c>
      <c r="Z94" s="339">
        <f t="shared" si="43"/>
        <v>476.95083333333321</v>
      </c>
      <c r="AA94" s="339">
        <f t="shared" si="43"/>
        <v>476.95083333333321</v>
      </c>
      <c r="AB94" s="339">
        <f t="shared" si="43"/>
        <v>476.95083333333321</v>
      </c>
      <c r="AC94" s="339">
        <f t="shared" si="43"/>
        <v>476.95083333333321</v>
      </c>
      <c r="AD94" s="339">
        <f t="shared" si="43"/>
        <v>476.95083333333321</v>
      </c>
      <c r="AE94" s="339">
        <f t="shared" si="43"/>
        <v>476.95083333333321</v>
      </c>
      <c r="AF94" s="339">
        <f t="shared" si="43"/>
        <v>476.95083333333321</v>
      </c>
      <c r="AG94" s="339">
        <f t="shared" si="43"/>
        <v>476.95083333333321</v>
      </c>
      <c r="AH94" s="339">
        <f t="shared" si="43"/>
        <v>476.95083333333321</v>
      </c>
      <c r="AI94" s="339">
        <f t="shared" si="43"/>
        <v>476.95083333333321</v>
      </c>
      <c r="AJ94" s="339">
        <f t="shared" si="43"/>
        <v>476.95083333333321</v>
      </c>
      <c r="AK94" s="339">
        <f t="shared" si="43"/>
        <v>476.95083333333321</v>
      </c>
      <c r="AL94" s="339">
        <f t="shared" si="43"/>
        <v>476.95083333333321</v>
      </c>
      <c r="AM94" s="339">
        <f t="shared" si="43"/>
        <v>476.95083333333321</v>
      </c>
      <c r="AN94" s="339">
        <f t="shared" si="44"/>
        <v>476.95083333333321</v>
      </c>
      <c r="AO94" s="339">
        <f t="shared" si="44"/>
        <v>476.95083333333321</v>
      </c>
      <c r="AP94" s="339">
        <f t="shared" si="44"/>
        <v>476.95083333333321</v>
      </c>
      <c r="AQ94" s="339">
        <f t="shared" si="44"/>
        <v>476.95083333333321</v>
      </c>
      <c r="AR94" s="339">
        <f t="shared" si="44"/>
        <v>476.95083333333321</v>
      </c>
      <c r="AS94" s="339">
        <f t="shared" si="44"/>
        <v>476.95083333333321</v>
      </c>
      <c r="AT94" s="339">
        <f t="shared" si="44"/>
        <v>476.95083333333321</v>
      </c>
      <c r="AU94" s="339">
        <f t="shared" si="44"/>
        <v>476.95083333333321</v>
      </c>
      <c r="AV94" s="339">
        <f t="shared" si="44"/>
        <v>476.95083333333321</v>
      </c>
      <c r="AW94" s="339">
        <f t="shared" si="44"/>
        <v>476.95083333333321</v>
      </c>
      <c r="AX94" s="339">
        <f t="shared" si="44"/>
        <v>476.95083333333321</v>
      </c>
      <c r="AY94" s="339">
        <f t="shared" si="44"/>
        <v>476.95083333333321</v>
      </c>
      <c r="AZ94" s="339">
        <f t="shared" si="44"/>
        <v>476.95083333333321</v>
      </c>
      <c r="BA94" s="339">
        <f t="shared" si="44"/>
        <v>476.95083333333321</v>
      </c>
      <c r="BB94" s="339">
        <f t="shared" si="44"/>
        <v>476.95083333333321</v>
      </c>
      <c r="BC94" s="339">
        <f t="shared" si="44"/>
        <v>476.95083333333321</v>
      </c>
      <c r="BD94" s="339">
        <f t="shared" si="45"/>
        <v>476.95083333333321</v>
      </c>
      <c r="BE94" s="339">
        <f t="shared" si="45"/>
        <v>476.95083333333321</v>
      </c>
      <c r="BF94" s="339">
        <f t="shared" si="45"/>
        <v>476.95083333333321</v>
      </c>
      <c r="BG94" s="339">
        <f t="shared" si="45"/>
        <v>476.95083333333321</v>
      </c>
      <c r="BH94" s="339">
        <f t="shared" si="45"/>
        <v>0</v>
      </c>
      <c r="BI94" s="339">
        <f t="shared" si="45"/>
        <v>0</v>
      </c>
      <c r="BJ94" s="339">
        <f t="shared" si="45"/>
        <v>0</v>
      </c>
      <c r="BK94" s="339">
        <f t="shared" si="45"/>
        <v>0</v>
      </c>
      <c r="BL94" s="339">
        <f t="shared" si="45"/>
        <v>0</v>
      </c>
      <c r="BM94" s="339">
        <f t="shared" si="45"/>
        <v>0</v>
      </c>
      <c r="BN94" s="339">
        <f t="shared" si="45"/>
        <v>0</v>
      </c>
      <c r="BO94" s="339">
        <f t="shared" si="45"/>
        <v>0</v>
      </c>
      <c r="BP94" s="339">
        <f t="shared" si="45"/>
        <v>0</v>
      </c>
      <c r="BQ94" s="339">
        <f t="shared" si="45"/>
        <v>0</v>
      </c>
      <c r="BR94" s="339">
        <f t="shared" si="45"/>
        <v>0</v>
      </c>
      <c r="BS94" s="339">
        <f t="shared" si="45"/>
        <v>0</v>
      </c>
      <c r="BT94" s="339">
        <f t="shared" si="46"/>
        <v>0</v>
      </c>
      <c r="BU94" s="339">
        <f t="shared" si="46"/>
        <v>0</v>
      </c>
      <c r="BV94" s="339">
        <f t="shared" si="46"/>
        <v>0</v>
      </c>
      <c r="BW94" s="339">
        <f t="shared" si="46"/>
        <v>0</v>
      </c>
      <c r="BX94" s="339">
        <f t="shared" si="46"/>
        <v>0</v>
      </c>
      <c r="BY94" s="339">
        <f t="shared" si="46"/>
        <v>0</v>
      </c>
      <c r="BZ94" s="339">
        <f t="shared" si="46"/>
        <v>0</v>
      </c>
      <c r="CA94" s="339">
        <f t="shared" si="46"/>
        <v>0</v>
      </c>
      <c r="CB94" s="339">
        <f t="shared" si="46"/>
        <v>0</v>
      </c>
      <c r="CC94" s="339">
        <f t="shared" si="46"/>
        <v>0</v>
      </c>
      <c r="CD94" s="339">
        <f t="shared" si="46"/>
        <v>0</v>
      </c>
      <c r="CE94" s="339">
        <f t="shared" si="46"/>
        <v>0</v>
      </c>
      <c r="CF94" s="339">
        <f t="shared" si="47"/>
        <v>0</v>
      </c>
      <c r="CG94" s="339">
        <f t="shared" si="47"/>
        <v>0</v>
      </c>
      <c r="CH94" s="339">
        <f t="shared" si="47"/>
        <v>0</v>
      </c>
      <c r="CI94" s="339">
        <f t="shared" si="47"/>
        <v>0</v>
      </c>
      <c r="CJ94" s="339">
        <f t="shared" si="47"/>
        <v>0</v>
      </c>
      <c r="CK94" s="339">
        <f t="shared" si="47"/>
        <v>0</v>
      </c>
      <c r="CL94" s="339">
        <f t="shared" si="47"/>
        <v>0</v>
      </c>
      <c r="CM94" s="339">
        <f t="shared" si="47"/>
        <v>0</v>
      </c>
      <c r="CN94" s="339">
        <f t="shared" si="47"/>
        <v>0</v>
      </c>
      <c r="CO94" s="339">
        <f t="shared" si="47"/>
        <v>0</v>
      </c>
      <c r="CP94" s="339">
        <f t="shared" si="47"/>
        <v>0</v>
      </c>
      <c r="CQ94" s="339">
        <f t="shared" si="47"/>
        <v>0</v>
      </c>
    </row>
    <row r="95" spans="2:96" ht="15.4">
      <c r="B95" s="456"/>
      <c r="C95" s="456"/>
      <c r="D95" s="403">
        <v>42048.92</v>
      </c>
      <c r="E95" s="403">
        <f t="shared" si="40"/>
        <v>438.0095833333333</v>
      </c>
      <c r="F95" s="403">
        <f t="shared" si="41"/>
        <v>8</v>
      </c>
      <c r="G95" s="403">
        <v>96</v>
      </c>
      <c r="H95" s="404">
        <v>43738</v>
      </c>
      <c r="I95" s="404">
        <f t="shared" si="42"/>
        <v>46658</v>
      </c>
      <c r="J95" s="459"/>
      <c r="X95" s="339">
        <f t="shared" si="43"/>
        <v>438.0095833333333</v>
      </c>
      <c r="Y95" s="339">
        <f t="shared" si="43"/>
        <v>438.0095833333333</v>
      </c>
      <c r="Z95" s="339">
        <f t="shared" si="43"/>
        <v>438.0095833333333</v>
      </c>
      <c r="AA95" s="339">
        <f t="shared" si="43"/>
        <v>438.0095833333333</v>
      </c>
      <c r="AB95" s="339">
        <f t="shared" si="43"/>
        <v>438.0095833333333</v>
      </c>
      <c r="AC95" s="339">
        <f t="shared" si="43"/>
        <v>438.0095833333333</v>
      </c>
      <c r="AD95" s="339">
        <f t="shared" si="43"/>
        <v>438.0095833333333</v>
      </c>
      <c r="AE95" s="339">
        <f t="shared" si="43"/>
        <v>438.0095833333333</v>
      </c>
      <c r="AF95" s="339">
        <f t="shared" si="43"/>
        <v>438.0095833333333</v>
      </c>
      <c r="AG95" s="339">
        <f t="shared" si="43"/>
        <v>438.0095833333333</v>
      </c>
      <c r="AH95" s="339">
        <f t="shared" si="43"/>
        <v>438.0095833333333</v>
      </c>
      <c r="AI95" s="339">
        <f t="shared" si="43"/>
        <v>438.0095833333333</v>
      </c>
      <c r="AJ95" s="339">
        <f t="shared" si="43"/>
        <v>438.0095833333333</v>
      </c>
      <c r="AK95" s="339">
        <f t="shared" si="43"/>
        <v>438.0095833333333</v>
      </c>
      <c r="AL95" s="339">
        <f t="shared" si="43"/>
        <v>438.0095833333333</v>
      </c>
      <c r="AM95" s="339">
        <f t="shared" si="43"/>
        <v>438.0095833333333</v>
      </c>
      <c r="AN95" s="339">
        <f t="shared" si="44"/>
        <v>438.0095833333333</v>
      </c>
      <c r="AO95" s="339">
        <f t="shared" si="44"/>
        <v>438.0095833333333</v>
      </c>
      <c r="AP95" s="339">
        <f t="shared" si="44"/>
        <v>438.0095833333333</v>
      </c>
      <c r="AQ95" s="339">
        <f t="shared" si="44"/>
        <v>438.0095833333333</v>
      </c>
      <c r="AR95" s="339">
        <f t="shared" si="44"/>
        <v>438.0095833333333</v>
      </c>
      <c r="AS95" s="339">
        <f t="shared" si="44"/>
        <v>438.0095833333333</v>
      </c>
      <c r="AT95" s="339">
        <f t="shared" si="44"/>
        <v>438.0095833333333</v>
      </c>
      <c r="AU95" s="339">
        <f t="shared" si="44"/>
        <v>438.0095833333333</v>
      </c>
      <c r="AV95" s="339">
        <f t="shared" si="44"/>
        <v>438.0095833333333</v>
      </c>
      <c r="AW95" s="339">
        <f t="shared" si="44"/>
        <v>438.0095833333333</v>
      </c>
      <c r="AX95" s="339">
        <f t="shared" si="44"/>
        <v>438.0095833333333</v>
      </c>
      <c r="AY95" s="339">
        <f t="shared" si="44"/>
        <v>438.0095833333333</v>
      </c>
      <c r="AZ95" s="339">
        <f t="shared" si="44"/>
        <v>438.0095833333333</v>
      </c>
      <c r="BA95" s="339">
        <f t="shared" si="44"/>
        <v>438.0095833333333</v>
      </c>
      <c r="BB95" s="339">
        <f t="shared" si="44"/>
        <v>438.0095833333333</v>
      </c>
      <c r="BC95" s="339">
        <f t="shared" si="44"/>
        <v>438.0095833333333</v>
      </c>
      <c r="BD95" s="339">
        <f t="shared" si="45"/>
        <v>438.0095833333333</v>
      </c>
      <c r="BE95" s="339">
        <f t="shared" si="45"/>
        <v>438.0095833333333</v>
      </c>
      <c r="BF95" s="339">
        <f t="shared" si="45"/>
        <v>438.0095833333333</v>
      </c>
      <c r="BG95" s="339">
        <f t="shared" si="45"/>
        <v>438.0095833333333</v>
      </c>
      <c r="BH95" s="339">
        <f t="shared" si="45"/>
        <v>438.0095833333333</v>
      </c>
      <c r="BI95" s="339">
        <f t="shared" si="45"/>
        <v>438.0095833333333</v>
      </c>
      <c r="BJ95" s="339">
        <f t="shared" si="45"/>
        <v>438.0095833333333</v>
      </c>
      <c r="BK95" s="339">
        <f t="shared" si="45"/>
        <v>438.0095833333333</v>
      </c>
      <c r="BL95" s="339">
        <f t="shared" si="45"/>
        <v>438.0095833333333</v>
      </c>
      <c r="BM95" s="339">
        <f t="shared" si="45"/>
        <v>438.0095833333333</v>
      </c>
      <c r="BN95" s="339">
        <f t="shared" si="45"/>
        <v>438.0095833333333</v>
      </c>
      <c r="BO95" s="339">
        <f t="shared" si="45"/>
        <v>438.0095833333333</v>
      </c>
      <c r="BP95" s="339">
        <f t="shared" si="45"/>
        <v>438.0095833333333</v>
      </c>
      <c r="BQ95" s="339">
        <f t="shared" si="45"/>
        <v>438.0095833333333</v>
      </c>
      <c r="BR95" s="339">
        <f t="shared" si="45"/>
        <v>438.0095833333333</v>
      </c>
      <c r="BS95" s="339">
        <f t="shared" si="45"/>
        <v>438.0095833333333</v>
      </c>
      <c r="BT95" s="339">
        <f t="shared" si="46"/>
        <v>438.0095833333333</v>
      </c>
      <c r="BU95" s="339">
        <f t="shared" si="46"/>
        <v>438.0095833333333</v>
      </c>
      <c r="BV95" s="339">
        <f t="shared" si="46"/>
        <v>438.0095833333333</v>
      </c>
      <c r="BW95" s="339">
        <f t="shared" si="46"/>
        <v>438.0095833333333</v>
      </c>
      <c r="BX95" s="339">
        <f t="shared" si="46"/>
        <v>438.0095833333333</v>
      </c>
      <c r="BY95" s="339">
        <f t="shared" si="46"/>
        <v>438.0095833333333</v>
      </c>
      <c r="BZ95" s="339">
        <f t="shared" si="46"/>
        <v>438.0095833333333</v>
      </c>
      <c r="CA95" s="339">
        <f t="shared" si="46"/>
        <v>438.0095833333333</v>
      </c>
      <c r="CB95" s="339">
        <f t="shared" si="46"/>
        <v>438.0095833333333</v>
      </c>
      <c r="CC95" s="339">
        <f t="shared" si="46"/>
        <v>438.0095833333333</v>
      </c>
      <c r="CD95" s="339">
        <f t="shared" si="46"/>
        <v>438.0095833333333</v>
      </c>
      <c r="CE95" s="339">
        <f t="shared" si="46"/>
        <v>438.0095833333333</v>
      </c>
      <c r="CF95" s="339">
        <f t="shared" si="47"/>
        <v>438.0095833333333</v>
      </c>
      <c r="CG95" s="339">
        <f t="shared" si="47"/>
        <v>438.0095833333333</v>
      </c>
      <c r="CH95" s="339">
        <f t="shared" si="47"/>
        <v>438.0095833333333</v>
      </c>
      <c r="CI95" s="339">
        <f t="shared" si="47"/>
        <v>438.0095833333333</v>
      </c>
      <c r="CJ95" s="339">
        <f t="shared" si="47"/>
        <v>438.0095833333333</v>
      </c>
      <c r="CK95" s="339">
        <f t="shared" si="47"/>
        <v>438.0095833333333</v>
      </c>
      <c r="CL95" s="339">
        <f t="shared" si="47"/>
        <v>438.0095833333333</v>
      </c>
      <c r="CM95" s="339">
        <f t="shared" si="47"/>
        <v>438.0095833333333</v>
      </c>
      <c r="CN95" s="339">
        <f t="shared" si="47"/>
        <v>438.0095833333333</v>
      </c>
      <c r="CO95" s="339">
        <f t="shared" si="47"/>
        <v>438.0095833333333</v>
      </c>
      <c r="CP95" s="339">
        <f t="shared" si="47"/>
        <v>438.0095833333333</v>
      </c>
      <c r="CQ95" s="339">
        <f t="shared" si="47"/>
        <v>438.0095833333333</v>
      </c>
    </row>
    <row r="96" spans="2:96" ht="15.4">
      <c r="B96" s="456"/>
      <c r="C96" s="456"/>
      <c r="D96" s="403">
        <v>15892.58</v>
      </c>
      <c r="E96" s="403">
        <f t="shared" si="40"/>
        <v>441.46055555555557</v>
      </c>
      <c r="F96" s="403">
        <f t="shared" si="41"/>
        <v>3</v>
      </c>
      <c r="G96" s="403">
        <v>36</v>
      </c>
      <c r="H96" s="404">
        <v>43738</v>
      </c>
      <c r="I96" s="404">
        <f t="shared" si="42"/>
        <v>44833</v>
      </c>
      <c r="J96" s="459"/>
      <c r="X96" s="339">
        <f t="shared" si="43"/>
        <v>441.46055555555557</v>
      </c>
      <c r="Y96" s="339">
        <f t="shared" si="43"/>
        <v>441.46055555555557</v>
      </c>
      <c r="Z96" s="339">
        <f t="shared" si="43"/>
        <v>441.46055555555557</v>
      </c>
      <c r="AA96" s="339">
        <f t="shared" si="43"/>
        <v>441.46055555555557</v>
      </c>
      <c r="AB96" s="339">
        <f t="shared" si="43"/>
        <v>441.46055555555557</v>
      </c>
      <c r="AC96" s="339">
        <f t="shared" si="43"/>
        <v>441.46055555555557</v>
      </c>
      <c r="AD96" s="339">
        <f t="shared" si="43"/>
        <v>441.46055555555557</v>
      </c>
      <c r="AE96" s="339">
        <f t="shared" si="43"/>
        <v>441.46055555555557</v>
      </c>
      <c r="AF96" s="339">
        <f t="shared" si="43"/>
        <v>441.46055555555557</v>
      </c>
      <c r="AG96" s="339">
        <f t="shared" si="43"/>
        <v>441.46055555555557</v>
      </c>
      <c r="AH96" s="339">
        <f t="shared" si="43"/>
        <v>441.46055555555557</v>
      </c>
      <c r="AI96" s="339">
        <f t="shared" si="43"/>
        <v>441.46055555555557</v>
      </c>
      <c r="AJ96" s="339">
        <f t="shared" si="43"/>
        <v>441.46055555555557</v>
      </c>
      <c r="AK96" s="339">
        <f t="shared" si="43"/>
        <v>441.46055555555557</v>
      </c>
      <c r="AL96" s="339">
        <f t="shared" si="43"/>
        <v>441.46055555555557</v>
      </c>
      <c r="AM96" s="339">
        <f t="shared" si="43"/>
        <v>441.46055555555557</v>
      </c>
      <c r="AN96" s="339">
        <f t="shared" si="44"/>
        <v>441.46055555555557</v>
      </c>
      <c r="AO96" s="339">
        <f t="shared" si="44"/>
        <v>441.46055555555557</v>
      </c>
      <c r="AP96" s="339">
        <f t="shared" si="44"/>
        <v>441.46055555555557</v>
      </c>
      <c r="AQ96" s="339">
        <f t="shared" si="44"/>
        <v>441.46055555555557</v>
      </c>
      <c r="AR96" s="339">
        <f t="shared" si="44"/>
        <v>441.46055555555557</v>
      </c>
      <c r="AS96" s="339">
        <f t="shared" si="44"/>
        <v>441.46055555555557</v>
      </c>
      <c r="AT96" s="339">
        <f t="shared" si="44"/>
        <v>441.46055555555557</v>
      </c>
      <c r="AU96" s="339">
        <f t="shared" si="44"/>
        <v>441.46055555555557</v>
      </c>
      <c r="AV96" s="339">
        <f t="shared" si="44"/>
        <v>441.46055555555557</v>
      </c>
      <c r="AW96" s="339">
        <f t="shared" si="44"/>
        <v>441.46055555555557</v>
      </c>
      <c r="AX96" s="339">
        <f t="shared" si="44"/>
        <v>441.46055555555557</v>
      </c>
      <c r="AY96" s="339">
        <f t="shared" si="44"/>
        <v>441.46055555555557</v>
      </c>
      <c r="AZ96" s="339">
        <f t="shared" si="44"/>
        <v>441.46055555555557</v>
      </c>
      <c r="BA96" s="339">
        <f t="shared" si="44"/>
        <v>441.46055555555557</v>
      </c>
      <c r="BB96" s="339">
        <f t="shared" si="44"/>
        <v>441.46055555555557</v>
      </c>
      <c r="BC96" s="339">
        <f t="shared" si="44"/>
        <v>441.46055555555557</v>
      </c>
      <c r="BD96" s="339">
        <f t="shared" si="45"/>
        <v>441.46055555555557</v>
      </c>
      <c r="BE96" s="339">
        <f t="shared" si="45"/>
        <v>441.46055555555557</v>
      </c>
      <c r="BF96" s="339">
        <f t="shared" si="45"/>
        <v>441.46055555555557</v>
      </c>
      <c r="BG96" s="339">
        <f t="shared" si="45"/>
        <v>441.46055555555557</v>
      </c>
      <c r="BH96" s="339">
        <f t="shared" si="45"/>
        <v>0</v>
      </c>
      <c r="BI96" s="339">
        <f t="shared" si="45"/>
        <v>0</v>
      </c>
      <c r="BJ96" s="339">
        <f t="shared" si="45"/>
        <v>0</v>
      </c>
      <c r="BK96" s="339">
        <f t="shared" si="45"/>
        <v>0</v>
      </c>
      <c r="BL96" s="339">
        <f t="shared" si="45"/>
        <v>0</v>
      </c>
      <c r="BM96" s="339">
        <f t="shared" si="45"/>
        <v>0</v>
      </c>
      <c r="BN96" s="339">
        <f t="shared" si="45"/>
        <v>0</v>
      </c>
      <c r="BO96" s="339">
        <f t="shared" si="45"/>
        <v>0</v>
      </c>
      <c r="BP96" s="339">
        <f t="shared" si="45"/>
        <v>0</v>
      </c>
      <c r="BQ96" s="339">
        <f t="shared" si="45"/>
        <v>0</v>
      </c>
      <c r="BR96" s="339">
        <f t="shared" si="45"/>
        <v>0</v>
      </c>
      <c r="BS96" s="339">
        <f t="shared" si="45"/>
        <v>0</v>
      </c>
      <c r="BT96" s="339">
        <f t="shared" si="46"/>
        <v>0</v>
      </c>
      <c r="BU96" s="339">
        <f t="shared" si="46"/>
        <v>0</v>
      </c>
      <c r="BV96" s="339">
        <f t="shared" si="46"/>
        <v>0</v>
      </c>
      <c r="BW96" s="339">
        <f t="shared" si="46"/>
        <v>0</v>
      </c>
      <c r="BX96" s="339">
        <f t="shared" si="46"/>
        <v>0</v>
      </c>
      <c r="BY96" s="339">
        <f t="shared" si="46"/>
        <v>0</v>
      </c>
      <c r="BZ96" s="339">
        <f t="shared" si="46"/>
        <v>0</v>
      </c>
      <c r="CA96" s="339">
        <f t="shared" si="46"/>
        <v>0</v>
      </c>
      <c r="CB96" s="339">
        <f t="shared" si="46"/>
        <v>0</v>
      </c>
      <c r="CC96" s="339">
        <f t="shared" si="46"/>
        <v>0</v>
      </c>
      <c r="CD96" s="339">
        <f t="shared" si="46"/>
        <v>0</v>
      </c>
      <c r="CE96" s="339">
        <f t="shared" si="46"/>
        <v>0</v>
      </c>
      <c r="CF96" s="339">
        <f t="shared" si="47"/>
        <v>0</v>
      </c>
      <c r="CG96" s="339">
        <f t="shared" si="47"/>
        <v>0</v>
      </c>
      <c r="CH96" s="339">
        <f t="shared" si="47"/>
        <v>0</v>
      </c>
      <c r="CI96" s="339">
        <f t="shared" si="47"/>
        <v>0</v>
      </c>
      <c r="CJ96" s="339">
        <f t="shared" si="47"/>
        <v>0</v>
      </c>
      <c r="CK96" s="339">
        <f t="shared" si="47"/>
        <v>0</v>
      </c>
      <c r="CL96" s="339">
        <f t="shared" si="47"/>
        <v>0</v>
      </c>
      <c r="CM96" s="339">
        <f t="shared" si="47"/>
        <v>0</v>
      </c>
      <c r="CN96" s="339">
        <f t="shared" si="47"/>
        <v>0</v>
      </c>
      <c r="CO96" s="339">
        <f t="shared" si="47"/>
        <v>0</v>
      </c>
      <c r="CP96" s="339">
        <f t="shared" si="47"/>
        <v>0</v>
      </c>
      <c r="CQ96" s="339">
        <f t="shared" si="47"/>
        <v>0</v>
      </c>
    </row>
    <row r="97" spans="2:95" ht="15.4">
      <c r="B97" s="456"/>
      <c r="C97" s="456"/>
      <c r="D97" s="403">
        <v>2281.15</v>
      </c>
      <c r="E97" s="403">
        <f t="shared" si="40"/>
        <v>63.365277777777777</v>
      </c>
      <c r="F97" s="403">
        <f t="shared" si="41"/>
        <v>3</v>
      </c>
      <c r="G97" s="403">
        <v>36</v>
      </c>
      <c r="H97" s="404">
        <v>43738</v>
      </c>
      <c r="I97" s="404">
        <f t="shared" si="42"/>
        <v>44833</v>
      </c>
      <c r="J97" s="459"/>
      <c r="X97" s="339">
        <f t="shared" si="43"/>
        <v>63.365277777777777</v>
      </c>
      <c r="Y97" s="339">
        <f t="shared" si="43"/>
        <v>63.365277777777777</v>
      </c>
      <c r="Z97" s="339">
        <f t="shared" si="43"/>
        <v>63.365277777777777</v>
      </c>
      <c r="AA97" s="339">
        <f t="shared" si="43"/>
        <v>63.365277777777777</v>
      </c>
      <c r="AB97" s="339">
        <f t="shared" si="43"/>
        <v>63.365277777777777</v>
      </c>
      <c r="AC97" s="339">
        <f t="shared" si="43"/>
        <v>63.365277777777777</v>
      </c>
      <c r="AD97" s="339">
        <f t="shared" si="43"/>
        <v>63.365277777777777</v>
      </c>
      <c r="AE97" s="339">
        <f t="shared" si="43"/>
        <v>63.365277777777777</v>
      </c>
      <c r="AF97" s="339">
        <f t="shared" si="43"/>
        <v>63.365277777777777</v>
      </c>
      <c r="AG97" s="339">
        <f t="shared" si="43"/>
        <v>63.365277777777777</v>
      </c>
      <c r="AH97" s="339">
        <f t="shared" si="43"/>
        <v>63.365277777777777</v>
      </c>
      <c r="AI97" s="339">
        <f t="shared" si="43"/>
        <v>63.365277777777777</v>
      </c>
      <c r="AJ97" s="339">
        <f t="shared" si="43"/>
        <v>63.365277777777777</v>
      </c>
      <c r="AK97" s="339">
        <f t="shared" si="43"/>
        <v>63.365277777777777</v>
      </c>
      <c r="AL97" s="339">
        <f t="shared" si="43"/>
        <v>63.365277777777777</v>
      </c>
      <c r="AM97" s="339">
        <f t="shared" si="43"/>
        <v>63.365277777777777</v>
      </c>
      <c r="AN97" s="339">
        <f t="shared" si="44"/>
        <v>63.365277777777777</v>
      </c>
      <c r="AO97" s="339">
        <f t="shared" si="44"/>
        <v>63.365277777777777</v>
      </c>
      <c r="AP97" s="339">
        <f t="shared" si="44"/>
        <v>63.365277777777777</v>
      </c>
      <c r="AQ97" s="339">
        <f t="shared" si="44"/>
        <v>63.365277777777777</v>
      </c>
      <c r="AR97" s="339">
        <f t="shared" si="44"/>
        <v>63.365277777777777</v>
      </c>
      <c r="AS97" s="339">
        <f t="shared" si="44"/>
        <v>63.365277777777777</v>
      </c>
      <c r="AT97" s="339">
        <f t="shared" si="44"/>
        <v>63.365277777777777</v>
      </c>
      <c r="AU97" s="339">
        <f t="shared" si="44"/>
        <v>63.365277777777777</v>
      </c>
      <c r="AV97" s="339">
        <f t="shared" si="44"/>
        <v>63.365277777777777</v>
      </c>
      <c r="AW97" s="339">
        <f t="shared" si="44"/>
        <v>63.365277777777777</v>
      </c>
      <c r="AX97" s="339">
        <f t="shared" si="44"/>
        <v>63.365277777777777</v>
      </c>
      <c r="AY97" s="339">
        <f t="shared" si="44"/>
        <v>63.365277777777777</v>
      </c>
      <c r="AZ97" s="339">
        <f t="shared" si="44"/>
        <v>63.365277777777777</v>
      </c>
      <c r="BA97" s="339">
        <f t="shared" si="44"/>
        <v>63.365277777777777</v>
      </c>
      <c r="BB97" s="339">
        <f t="shared" si="44"/>
        <v>63.365277777777777</v>
      </c>
      <c r="BC97" s="339">
        <f t="shared" si="44"/>
        <v>63.365277777777777</v>
      </c>
      <c r="BD97" s="339">
        <f t="shared" si="45"/>
        <v>63.365277777777777</v>
      </c>
      <c r="BE97" s="339">
        <f t="shared" si="45"/>
        <v>63.365277777777777</v>
      </c>
      <c r="BF97" s="339">
        <f t="shared" si="45"/>
        <v>63.365277777777777</v>
      </c>
      <c r="BG97" s="339">
        <f t="shared" si="45"/>
        <v>63.365277777777777</v>
      </c>
      <c r="BH97" s="339">
        <f t="shared" si="45"/>
        <v>0</v>
      </c>
      <c r="BI97" s="339">
        <f t="shared" si="45"/>
        <v>0</v>
      </c>
      <c r="BJ97" s="339">
        <f t="shared" si="45"/>
        <v>0</v>
      </c>
      <c r="BK97" s="339">
        <f t="shared" si="45"/>
        <v>0</v>
      </c>
      <c r="BL97" s="339">
        <f t="shared" si="45"/>
        <v>0</v>
      </c>
      <c r="BM97" s="339">
        <f t="shared" si="45"/>
        <v>0</v>
      </c>
      <c r="BN97" s="339">
        <f t="shared" si="45"/>
        <v>0</v>
      </c>
      <c r="BO97" s="339">
        <f t="shared" si="45"/>
        <v>0</v>
      </c>
      <c r="BP97" s="339">
        <f t="shared" si="45"/>
        <v>0</v>
      </c>
      <c r="BQ97" s="339">
        <f t="shared" si="45"/>
        <v>0</v>
      </c>
      <c r="BR97" s="339">
        <f t="shared" si="45"/>
        <v>0</v>
      </c>
      <c r="BS97" s="339">
        <f t="shared" si="45"/>
        <v>0</v>
      </c>
      <c r="BT97" s="339">
        <f t="shared" si="46"/>
        <v>0</v>
      </c>
      <c r="BU97" s="339">
        <f t="shared" si="46"/>
        <v>0</v>
      </c>
      <c r="BV97" s="339">
        <f t="shared" si="46"/>
        <v>0</v>
      </c>
      <c r="BW97" s="339">
        <f t="shared" si="46"/>
        <v>0</v>
      </c>
      <c r="BX97" s="339">
        <f t="shared" si="46"/>
        <v>0</v>
      </c>
      <c r="BY97" s="339">
        <f t="shared" si="46"/>
        <v>0</v>
      </c>
      <c r="BZ97" s="339">
        <f t="shared" si="46"/>
        <v>0</v>
      </c>
      <c r="CA97" s="339">
        <f t="shared" si="46"/>
        <v>0</v>
      </c>
      <c r="CB97" s="339">
        <f t="shared" si="46"/>
        <v>0</v>
      </c>
      <c r="CC97" s="339">
        <f t="shared" si="46"/>
        <v>0</v>
      </c>
      <c r="CD97" s="339">
        <f t="shared" si="46"/>
        <v>0</v>
      </c>
      <c r="CE97" s="339">
        <f t="shared" si="46"/>
        <v>0</v>
      </c>
      <c r="CF97" s="339">
        <f t="shared" si="47"/>
        <v>0</v>
      </c>
      <c r="CG97" s="339">
        <f t="shared" si="47"/>
        <v>0</v>
      </c>
      <c r="CH97" s="339">
        <f t="shared" si="47"/>
        <v>0</v>
      </c>
      <c r="CI97" s="339">
        <f t="shared" si="47"/>
        <v>0</v>
      </c>
      <c r="CJ97" s="339">
        <f t="shared" si="47"/>
        <v>0</v>
      </c>
      <c r="CK97" s="339">
        <f t="shared" si="47"/>
        <v>0</v>
      </c>
      <c r="CL97" s="339">
        <f t="shared" si="47"/>
        <v>0</v>
      </c>
      <c r="CM97" s="339">
        <f t="shared" si="47"/>
        <v>0</v>
      </c>
      <c r="CN97" s="339">
        <f t="shared" si="47"/>
        <v>0</v>
      </c>
      <c r="CO97" s="339">
        <f t="shared" si="47"/>
        <v>0</v>
      </c>
      <c r="CP97" s="339">
        <f t="shared" si="47"/>
        <v>0</v>
      </c>
      <c r="CQ97" s="339">
        <f t="shared" si="47"/>
        <v>0</v>
      </c>
    </row>
    <row r="98" spans="2:95" ht="15.4">
      <c r="B98" s="456"/>
      <c r="C98" s="456"/>
      <c r="D98" s="403">
        <v>51442.13</v>
      </c>
      <c r="E98" s="403">
        <f t="shared" si="40"/>
        <v>535.85552083333334</v>
      </c>
      <c r="F98" s="403">
        <f t="shared" si="41"/>
        <v>8</v>
      </c>
      <c r="G98" s="403">
        <v>96</v>
      </c>
      <c r="H98" s="404">
        <v>43738</v>
      </c>
      <c r="I98" s="404">
        <f t="shared" si="42"/>
        <v>46658</v>
      </c>
      <c r="J98" s="459"/>
      <c r="X98" s="339">
        <f t="shared" si="43"/>
        <v>535.85552083333334</v>
      </c>
      <c r="Y98" s="339">
        <f t="shared" si="43"/>
        <v>535.85552083333334</v>
      </c>
      <c r="Z98" s="339">
        <f t="shared" si="43"/>
        <v>535.85552083333334</v>
      </c>
      <c r="AA98" s="339">
        <f t="shared" si="43"/>
        <v>535.85552083333334</v>
      </c>
      <c r="AB98" s="339">
        <f t="shared" si="43"/>
        <v>535.85552083333334</v>
      </c>
      <c r="AC98" s="339">
        <f t="shared" si="43"/>
        <v>535.85552083333334</v>
      </c>
      <c r="AD98" s="339">
        <f t="shared" si="43"/>
        <v>535.85552083333334</v>
      </c>
      <c r="AE98" s="339">
        <f t="shared" si="43"/>
        <v>535.85552083333334</v>
      </c>
      <c r="AF98" s="339">
        <f t="shared" si="43"/>
        <v>535.85552083333334</v>
      </c>
      <c r="AG98" s="339">
        <f t="shared" si="43"/>
        <v>535.85552083333334</v>
      </c>
      <c r="AH98" s="339">
        <f t="shared" si="43"/>
        <v>535.85552083333334</v>
      </c>
      <c r="AI98" s="339">
        <f t="shared" si="43"/>
        <v>535.85552083333334</v>
      </c>
      <c r="AJ98" s="339">
        <f t="shared" si="43"/>
        <v>535.85552083333334</v>
      </c>
      <c r="AK98" s="339">
        <f t="shared" si="43"/>
        <v>535.85552083333334</v>
      </c>
      <c r="AL98" s="339">
        <f t="shared" si="43"/>
        <v>535.85552083333334</v>
      </c>
      <c r="AM98" s="339">
        <f t="shared" si="43"/>
        <v>535.85552083333334</v>
      </c>
      <c r="AN98" s="339">
        <f t="shared" si="44"/>
        <v>535.85552083333334</v>
      </c>
      <c r="AO98" s="339">
        <f t="shared" si="44"/>
        <v>535.85552083333334</v>
      </c>
      <c r="AP98" s="339">
        <f t="shared" si="44"/>
        <v>535.85552083333334</v>
      </c>
      <c r="AQ98" s="339">
        <f t="shared" si="44"/>
        <v>535.85552083333334</v>
      </c>
      <c r="AR98" s="339">
        <f t="shared" si="44"/>
        <v>535.85552083333334</v>
      </c>
      <c r="AS98" s="339">
        <f t="shared" si="44"/>
        <v>535.85552083333334</v>
      </c>
      <c r="AT98" s="339">
        <f t="shared" si="44"/>
        <v>535.85552083333334</v>
      </c>
      <c r="AU98" s="339">
        <f t="shared" si="44"/>
        <v>535.85552083333334</v>
      </c>
      <c r="AV98" s="339">
        <f t="shared" si="44"/>
        <v>535.85552083333334</v>
      </c>
      <c r="AW98" s="339">
        <f t="shared" si="44"/>
        <v>535.85552083333334</v>
      </c>
      <c r="AX98" s="339">
        <f t="shared" si="44"/>
        <v>535.85552083333334</v>
      </c>
      <c r="AY98" s="339">
        <f t="shared" si="44"/>
        <v>535.85552083333334</v>
      </c>
      <c r="AZ98" s="339">
        <f t="shared" si="44"/>
        <v>535.85552083333334</v>
      </c>
      <c r="BA98" s="339">
        <f t="shared" si="44"/>
        <v>535.85552083333334</v>
      </c>
      <c r="BB98" s="339">
        <f t="shared" si="44"/>
        <v>535.85552083333334</v>
      </c>
      <c r="BC98" s="339">
        <f t="shared" si="44"/>
        <v>535.85552083333334</v>
      </c>
      <c r="BD98" s="339">
        <f t="shared" si="45"/>
        <v>535.85552083333334</v>
      </c>
      <c r="BE98" s="339">
        <f t="shared" si="45"/>
        <v>535.85552083333334</v>
      </c>
      <c r="BF98" s="339">
        <f t="shared" si="45"/>
        <v>535.85552083333334</v>
      </c>
      <c r="BG98" s="339">
        <f t="shared" si="45"/>
        <v>535.85552083333334</v>
      </c>
      <c r="BH98" s="339">
        <f t="shared" si="45"/>
        <v>535.85552083333334</v>
      </c>
      <c r="BI98" s="339">
        <f t="shared" si="45"/>
        <v>535.85552083333334</v>
      </c>
      <c r="BJ98" s="339">
        <f t="shared" si="45"/>
        <v>535.85552083333334</v>
      </c>
      <c r="BK98" s="339">
        <f t="shared" si="45"/>
        <v>535.85552083333334</v>
      </c>
      <c r="BL98" s="339">
        <f t="shared" si="45"/>
        <v>535.85552083333334</v>
      </c>
      <c r="BM98" s="339">
        <f t="shared" si="45"/>
        <v>535.85552083333334</v>
      </c>
      <c r="BN98" s="339">
        <f t="shared" si="45"/>
        <v>535.85552083333334</v>
      </c>
      <c r="BO98" s="339">
        <f t="shared" si="45"/>
        <v>535.85552083333334</v>
      </c>
      <c r="BP98" s="339">
        <f t="shared" si="45"/>
        <v>535.85552083333334</v>
      </c>
      <c r="BQ98" s="339">
        <f t="shared" si="45"/>
        <v>535.85552083333334</v>
      </c>
      <c r="BR98" s="339">
        <f t="shared" si="45"/>
        <v>535.85552083333334</v>
      </c>
      <c r="BS98" s="339">
        <f t="shared" si="45"/>
        <v>535.85552083333334</v>
      </c>
      <c r="BT98" s="339">
        <f t="shared" si="46"/>
        <v>535.85552083333334</v>
      </c>
      <c r="BU98" s="339">
        <f t="shared" si="46"/>
        <v>535.85552083333334</v>
      </c>
      <c r="BV98" s="339">
        <f t="shared" si="46"/>
        <v>535.85552083333334</v>
      </c>
      <c r="BW98" s="339">
        <f t="shared" si="46"/>
        <v>535.85552083333334</v>
      </c>
      <c r="BX98" s="339">
        <f t="shared" si="46"/>
        <v>535.85552083333334</v>
      </c>
      <c r="BY98" s="339">
        <f t="shared" si="46"/>
        <v>535.85552083333334</v>
      </c>
      <c r="BZ98" s="339">
        <f t="shared" si="46"/>
        <v>535.85552083333334</v>
      </c>
      <c r="CA98" s="339">
        <f t="shared" si="46"/>
        <v>535.85552083333334</v>
      </c>
      <c r="CB98" s="339">
        <f t="shared" si="46"/>
        <v>535.85552083333334</v>
      </c>
      <c r="CC98" s="339">
        <f t="shared" si="46"/>
        <v>535.85552083333334</v>
      </c>
      <c r="CD98" s="339">
        <f t="shared" si="46"/>
        <v>535.85552083333334</v>
      </c>
      <c r="CE98" s="339">
        <f t="shared" si="46"/>
        <v>535.85552083333334</v>
      </c>
      <c r="CF98" s="339">
        <f t="shared" si="47"/>
        <v>535.85552083333334</v>
      </c>
      <c r="CG98" s="339">
        <f t="shared" si="47"/>
        <v>535.85552083333334</v>
      </c>
      <c r="CH98" s="339">
        <f t="shared" si="47"/>
        <v>535.85552083333334</v>
      </c>
      <c r="CI98" s="339">
        <f t="shared" si="47"/>
        <v>535.85552083333334</v>
      </c>
      <c r="CJ98" s="339">
        <f t="shared" si="47"/>
        <v>535.85552083333334</v>
      </c>
      <c r="CK98" s="339">
        <f t="shared" si="47"/>
        <v>535.85552083333334</v>
      </c>
      <c r="CL98" s="339">
        <f t="shared" si="47"/>
        <v>535.85552083333334</v>
      </c>
      <c r="CM98" s="339">
        <f t="shared" si="47"/>
        <v>535.85552083333334</v>
      </c>
      <c r="CN98" s="339">
        <f t="shared" si="47"/>
        <v>535.85552083333334</v>
      </c>
      <c r="CO98" s="339">
        <f t="shared" si="47"/>
        <v>535.85552083333334</v>
      </c>
      <c r="CP98" s="339">
        <f t="shared" si="47"/>
        <v>535.85552083333334</v>
      </c>
      <c r="CQ98" s="339">
        <f t="shared" si="47"/>
        <v>535.85552083333334</v>
      </c>
    </row>
    <row r="99" spans="2:95" ht="15.4">
      <c r="B99" s="456"/>
      <c r="C99" s="456"/>
      <c r="D99" s="403">
        <v>2694.66</v>
      </c>
      <c r="E99" s="403">
        <f t="shared" si="40"/>
        <v>44.910999999999994</v>
      </c>
      <c r="F99" s="403">
        <f t="shared" si="41"/>
        <v>5</v>
      </c>
      <c r="G99" s="403">
        <v>60</v>
      </c>
      <c r="H99" s="404">
        <v>43738</v>
      </c>
      <c r="I99" s="404">
        <f t="shared" si="42"/>
        <v>45563</v>
      </c>
      <c r="J99" s="459"/>
      <c r="X99" s="339">
        <f t="shared" si="43"/>
        <v>44.910999999999994</v>
      </c>
      <c r="Y99" s="339">
        <f t="shared" si="43"/>
        <v>44.910999999999994</v>
      </c>
      <c r="Z99" s="339">
        <f t="shared" si="43"/>
        <v>44.910999999999994</v>
      </c>
      <c r="AA99" s="339">
        <f t="shared" si="43"/>
        <v>44.910999999999994</v>
      </c>
      <c r="AB99" s="339">
        <f t="shared" si="43"/>
        <v>44.910999999999994</v>
      </c>
      <c r="AC99" s="339">
        <f t="shared" si="43"/>
        <v>44.910999999999994</v>
      </c>
      <c r="AD99" s="339">
        <f t="shared" si="43"/>
        <v>44.910999999999994</v>
      </c>
      <c r="AE99" s="339">
        <f t="shared" si="43"/>
        <v>44.910999999999994</v>
      </c>
      <c r="AF99" s="339">
        <f t="shared" si="43"/>
        <v>44.910999999999994</v>
      </c>
      <c r="AG99" s="339">
        <f t="shared" si="43"/>
        <v>44.910999999999994</v>
      </c>
      <c r="AH99" s="339">
        <f t="shared" si="43"/>
        <v>44.910999999999994</v>
      </c>
      <c r="AI99" s="339">
        <f t="shared" si="43"/>
        <v>44.910999999999994</v>
      </c>
      <c r="AJ99" s="339">
        <f t="shared" si="43"/>
        <v>44.910999999999994</v>
      </c>
      <c r="AK99" s="339">
        <f t="shared" si="43"/>
        <v>44.910999999999994</v>
      </c>
      <c r="AL99" s="339">
        <f t="shared" si="43"/>
        <v>44.910999999999994</v>
      </c>
      <c r="AM99" s="339">
        <f t="shared" si="43"/>
        <v>44.910999999999994</v>
      </c>
      <c r="AN99" s="339">
        <f t="shared" si="44"/>
        <v>44.910999999999994</v>
      </c>
      <c r="AO99" s="339">
        <f t="shared" si="44"/>
        <v>44.910999999999994</v>
      </c>
      <c r="AP99" s="339">
        <f t="shared" si="44"/>
        <v>44.910999999999994</v>
      </c>
      <c r="AQ99" s="339">
        <f t="shared" si="44"/>
        <v>44.910999999999994</v>
      </c>
      <c r="AR99" s="339">
        <f t="shared" si="44"/>
        <v>44.910999999999994</v>
      </c>
      <c r="AS99" s="339">
        <f t="shared" si="44"/>
        <v>44.910999999999994</v>
      </c>
      <c r="AT99" s="339">
        <f t="shared" si="44"/>
        <v>44.910999999999994</v>
      </c>
      <c r="AU99" s="339">
        <f t="shared" si="44"/>
        <v>44.910999999999994</v>
      </c>
      <c r="AV99" s="339">
        <f t="shared" si="44"/>
        <v>44.910999999999994</v>
      </c>
      <c r="AW99" s="339">
        <f t="shared" si="44"/>
        <v>44.910999999999994</v>
      </c>
      <c r="AX99" s="339">
        <f t="shared" si="44"/>
        <v>44.910999999999994</v>
      </c>
      <c r="AY99" s="339">
        <f t="shared" si="44"/>
        <v>44.910999999999994</v>
      </c>
      <c r="AZ99" s="339">
        <f t="shared" si="44"/>
        <v>44.910999999999994</v>
      </c>
      <c r="BA99" s="339">
        <f t="shared" si="44"/>
        <v>44.910999999999994</v>
      </c>
      <c r="BB99" s="339">
        <f t="shared" si="44"/>
        <v>44.910999999999994</v>
      </c>
      <c r="BC99" s="339">
        <f t="shared" si="44"/>
        <v>44.910999999999994</v>
      </c>
      <c r="BD99" s="339">
        <f t="shared" si="45"/>
        <v>44.910999999999994</v>
      </c>
      <c r="BE99" s="339">
        <f t="shared" si="45"/>
        <v>44.910999999999994</v>
      </c>
      <c r="BF99" s="339">
        <f t="shared" si="45"/>
        <v>44.910999999999994</v>
      </c>
      <c r="BG99" s="339">
        <f t="shared" si="45"/>
        <v>44.910999999999994</v>
      </c>
      <c r="BH99" s="339">
        <f t="shared" si="45"/>
        <v>44.910999999999994</v>
      </c>
      <c r="BI99" s="339">
        <f t="shared" si="45"/>
        <v>44.910999999999994</v>
      </c>
      <c r="BJ99" s="339">
        <f t="shared" si="45"/>
        <v>44.910999999999994</v>
      </c>
      <c r="BK99" s="339">
        <f t="shared" si="45"/>
        <v>44.910999999999994</v>
      </c>
      <c r="BL99" s="339">
        <f t="shared" si="45"/>
        <v>44.910999999999994</v>
      </c>
      <c r="BM99" s="339">
        <f t="shared" si="45"/>
        <v>44.910999999999994</v>
      </c>
      <c r="BN99" s="339">
        <f t="shared" si="45"/>
        <v>44.910999999999994</v>
      </c>
      <c r="BO99" s="339">
        <f t="shared" si="45"/>
        <v>44.910999999999994</v>
      </c>
      <c r="BP99" s="339">
        <f t="shared" si="45"/>
        <v>44.910999999999994</v>
      </c>
      <c r="BQ99" s="339">
        <f t="shared" si="45"/>
        <v>44.910999999999994</v>
      </c>
      <c r="BR99" s="339">
        <f t="shared" si="45"/>
        <v>44.910999999999994</v>
      </c>
      <c r="BS99" s="339">
        <f t="shared" si="45"/>
        <v>44.910999999999994</v>
      </c>
      <c r="BT99" s="339">
        <f t="shared" si="46"/>
        <v>44.910999999999994</v>
      </c>
      <c r="BU99" s="339">
        <f t="shared" si="46"/>
        <v>44.910999999999994</v>
      </c>
      <c r="BV99" s="339">
        <f t="shared" si="46"/>
        <v>44.910999999999994</v>
      </c>
      <c r="BW99" s="339">
        <f t="shared" si="46"/>
        <v>44.910999999999994</v>
      </c>
      <c r="BX99" s="339">
        <f t="shared" si="46"/>
        <v>44.910999999999994</v>
      </c>
      <c r="BY99" s="339">
        <f t="shared" si="46"/>
        <v>44.910999999999994</v>
      </c>
      <c r="BZ99" s="339">
        <f t="shared" si="46"/>
        <v>44.910999999999994</v>
      </c>
      <c r="CA99" s="339">
        <f t="shared" si="46"/>
        <v>44.910999999999994</v>
      </c>
      <c r="CB99" s="339">
        <f t="shared" si="46"/>
        <v>44.910999999999994</v>
      </c>
      <c r="CC99" s="339">
        <f t="shared" si="46"/>
        <v>44.910999999999994</v>
      </c>
      <c r="CD99" s="339">
        <f t="shared" si="46"/>
        <v>44.910999999999994</v>
      </c>
      <c r="CE99" s="339">
        <f t="shared" si="46"/>
        <v>44.910999999999994</v>
      </c>
      <c r="CF99" s="339">
        <f t="shared" si="47"/>
        <v>0</v>
      </c>
      <c r="CG99" s="339">
        <f t="shared" si="47"/>
        <v>0</v>
      </c>
      <c r="CH99" s="339">
        <f t="shared" si="47"/>
        <v>0</v>
      </c>
      <c r="CI99" s="339">
        <f t="shared" si="47"/>
        <v>0</v>
      </c>
      <c r="CJ99" s="339">
        <f t="shared" si="47"/>
        <v>0</v>
      </c>
      <c r="CK99" s="339">
        <f t="shared" si="47"/>
        <v>0</v>
      </c>
      <c r="CL99" s="339">
        <f t="shared" si="47"/>
        <v>0</v>
      </c>
      <c r="CM99" s="339">
        <f t="shared" si="47"/>
        <v>0</v>
      </c>
      <c r="CN99" s="339">
        <f t="shared" si="47"/>
        <v>0</v>
      </c>
      <c r="CO99" s="339">
        <f t="shared" si="47"/>
        <v>0</v>
      </c>
      <c r="CP99" s="339">
        <f t="shared" si="47"/>
        <v>0</v>
      </c>
      <c r="CQ99" s="339">
        <f t="shared" si="47"/>
        <v>0</v>
      </c>
    </row>
    <row r="100" spans="2:95" ht="15.4">
      <c r="B100" s="456"/>
      <c r="C100" s="456"/>
      <c r="D100" s="403">
        <v>852.78</v>
      </c>
      <c r="E100" s="403">
        <f t="shared" si="40"/>
        <v>23.688333333333333</v>
      </c>
      <c r="F100" s="403">
        <f t="shared" si="41"/>
        <v>3</v>
      </c>
      <c r="G100" s="403">
        <v>36</v>
      </c>
      <c r="H100" s="404">
        <v>43738</v>
      </c>
      <c r="I100" s="404">
        <f t="shared" si="42"/>
        <v>44833</v>
      </c>
      <c r="J100" s="459"/>
      <c r="X100" s="339">
        <f t="shared" si="43"/>
        <v>23.688333333333333</v>
      </c>
      <c r="Y100" s="339">
        <f t="shared" si="43"/>
        <v>23.688333333333333</v>
      </c>
      <c r="Z100" s="339">
        <f t="shared" si="43"/>
        <v>23.688333333333333</v>
      </c>
      <c r="AA100" s="339">
        <f t="shared" si="43"/>
        <v>23.688333333333333</v>
      </c>
      <c r="AB100" s="339">
        <f t="shared" si="43"/>
        <v>23.688333333333333</v>
      </c>
      <c r="AC100" s="339">
        <f t="shared" si="43"/>
        <v>23.688333333333333</v>
      </c>
      <c r="AD100" s="339">
        <f t="shared" si="43"/>
        <v>23.688333333333333</v>
      </c>
      <c r="AE100" s="339">
        <f t="shared" si="43"/>
        <v>23.688333333333333</v>
      </c>
      <c r="AF100" s="339">
        <f t="shared" si="43"/>
        <v>23.688333333333333</v>
      </c>
      <c r="AG100" s="339">
        <f t="shared" si="43"/>
        <v>23.688333333333333</v>
      </c>
      <c r="AH100" s="339">
        <f t="shared" si="43"/>
        <v>23.688333333333333</v>
      </c>
      <c r="AI100" s="339">
        <f t="shared" si="43"/>
        <v>23.688333333333333</v>
      </c>
      <c r="AJ100" s="339">
        <f t="shared" si="43"/>
        <v>23.688333333333333</v>
      </c>
      <c r="AK100" s="339">
        <f t="shared" si="43"/>
        <v>23.688333333333333</v>
      </c>
      <c r="AL100" s="339">
        <f t="shared" si="43"/>
        <v>23.688333333333333</v>
      </c>
      <c r="AM100" s="339">
        <f t="shared" si="43"/>
        <v>23.688333333333333</v>
      </c>
      <c r="AN100" s="339">
        <f t="shared" si="44"/>
        <v>23.688333333333333</v>
      </c>
      <c r="AO100" s="339">
        <f t="shared" si="44"/>
        <v>23.688333333333333</v>
      </c>
      <c r="AP100" s="339">
        <f t="shared" si="44"/>
        <v>23.688333333333333</v>
      </c>
      <c r="AQ100" s="339">
        <f t="shared" si="44"/>
        <v>23.688333333333333</v>
      </c>
      <c r="AR100" s="339">
        <f t="shared" si="44"/>
        <v>23.688333333333333</v>
      </c>
      <c r="AS100" s="339">
        <f t="shared" si="44"/>
        <v>23.688333333333333</v>
      </c>
      <c r="AT100" s="339">
        <f t="shared" si="44"/>
        <v>23.688333333333333</v>
      </c>
      <c r="AU100" s="339">
        <f t="shared" si="44"/>
        <v>23.688333333333333</v>
      </c>
      <c r="AV100" s="339">
        <f t="shared" si="44"/>
        <v>23.688333333333333</v>
      </c>
      <c r="AW100" s="339">
        <f t="shared" si="44"/>
        <v>23.688333333333333</v>
      </c>
      <c r="AX100" s="339">
        <f t="shared" si="44"/>
        <v>23.688333333333333</v>
      </c>
      <c r="AY100" s="339">
        <f t="shared" si="44"/>
        <v>23.688333333333333</v>
      </c>
      <c r="AZ100" s="339">
        <f t="shared" si="44"/>
        <v>23.688333333333333</v>
      </c>
      <c r="BA100" s="339">
        <f t="shared" si="44"/>
        <v>23.688333333333333</v>
      </c>
      <c r="BB100" s="339">
        <f t="shared" si="44"/>
        <v>23.688333333333333</v>
      </c>
      <c r="BC100" s="339">
        <f t="shared" si="44"/>
        <v>23.688333333333333</v>
      </c>
      <c r="BD100" s="339">
        <f t="shared" si="45"/>
        <v>23.688333333333333</v>
      </c>
      <c r="BE100" s="339">
        <f t="shared" si="45"/>
        <v>23.688333333333333</v>
      </c>
      <c r="BF100" s="339">
        <f t="shared" si="45"/>
        <v>23.688333333333333</v>
      </c>
      <c r="BG100" s="339">
        <f t="shared" si="45"/>
        <v>23.688333333333333</v>
      </c>
      <c r="BH100" s="339">
        <f t="shared" si="45"/>
        <v>0</v>
      </c>
      <c r="BI100" s="339">
        <f t="shared" si="45"/>
        <v>0</v>
      </c>
      <c r="BJ100" s="339">
        <f t="shared" si="45"/>
        <v>0</v>
      </c>
      <c r="BK100" s="339">
        <f t="shared" si="45"/>
        <v>0</v>
      </c>
      <c r="BL100" s="339">
        <f t="shared" si="45"/>
        <v>0</v>
      </c>
      <c r="BM100" s="339">
        <f t="shared" si="45"/>
        <v>0</v>
      </c>
      <c r="BN100" s="339">
        <f t="shared" si="45"/>
        <v>0</v>
      </c>
      <c r="BO100" s="339">
        <f t="shared" si="45"/>
        <v>0</v>
      </c>
      <c r="BP100" s="339">
        <f t="shared" si="45"/>
        <v>0</v>
      </c>
      <c r="BQ100" s="339">
        <f t="shared" si="45"/>
        <v>0</v>
      </c>
      <c r="BR100" s="339">
        <f t="shared" si="45"/>
        <v>0</v>
      </c>
      <c r="BS100" s="339">
        <f t="shared" si="45"/>
        <v>0</v>
      </c>
      <c r="BT100" s="339">
        <f t="shared" si="46"/>
        <v>0</v>
      </c>
      <c r="BU100" s="339">
        <f t="shared" si="46"/>
        <v>0</v>
      </c>
      <c r="BV100" s="339">
        <f t="shared" si="46"/>
        <v>0</v>
      </c>
      <c r="BW100" s="339">
        <f t="shared" si="46"/>
        <v>0</v>
      </c>
      <c r="BX100" s="339">
        <f t="shared" si="46"/>
        <v>0</v>
      </c>
      <c r="BY100" s="339">
        <f t="shared" si="46"/>
        <v>0</v>
      </c>
      <c r="BZ100" s="339">
        <f t="shared" si="46"/>
        <v>0</v>
      </c>
      <c r="CA100" s="339">
        <f t="shared" si="46"/>
        <v>0</v>
      </c>
      <c r="CB100" s="339">
        <f t="shared" si="46"/>
        <v>0</v>
      </c>
      <c r="CC100" s="339">
        <f t="shared" si="46"/>
        <v>0</v>
      </c>
      <c r="CD100" s="339">
        <f t="shared" si="46"/>
        <v>0</v>
      </c>
      <c r="CE100" s="339">
        <f t="shared" si="46"/>
        <v>0</v>
      </c>
      <c r="CF100" s="339">
        <f t="shared" si="47"/>
        <v>0</v>
      </c>
      <c r="CG100" s="339">
        <f t="shared" si="47"/>
        <v>0</v>
      </c>
      <c r="CH100" s="339">
        <f t="shared" si="47"/>
        <v>0</v>
      </c>
      <c r="CI100" s="339">
        <f t="shared" si="47"/>
        <v>0</v>
      </c>
      <c r="CJ100" s="339">
        <f t="shared" si="47"/>
        <v>0</v>
      </c>
      <c r="CK100" s="339">
        <f t="shared" si="47"/>
        <v>0</v>
      </c>
      <c r="CL100" s="339">
        <f t="shared" si="47"/>
        <v>0</v>
      </c>
      <c r="CM100" s="339">
        <f t="shared" si="47"/>
        <v>0</v>
      </c>
      <c r="CN100" s="339">
        <f t="shared" si="47"/>
        <v>0</v>
      </c>
      <c r="CO100" s="339">
        <f t="shared" si="47"/>
        <v>0</v>
      </c>
      <c r="CP100" s="339">
        <f t="shared" si="47"/>
        <v>0</v>
      </c>
      <c r="CQ100" s="339">
        <f t="shared" si="47"/>
        <v>0</v>
      </c>
    </row>
    <row r="101" spans="2:95" ht="15.4">
      <c r="B101" s="456"/>
      <c r="C101" s="456"/>
      <c r="D101" s="403">
        <v>59891</v>
      </c>
      <c r="E101" s="403">
        <f t="shared" si="40"/>
        <v>1663.6388888888889</v>
      </c>
      <c r="F101" s="403">
        <f t="shared" si="41"/>
        <v>3</v>
      </c>
      <c r="G101" s="403">
        <v>36</v>
      </c>
      <c r="H101" s="404">
        <v>43738</v>
      </c>
      <c r="I101" s="404">
        <f t="shared" si="42"/>
        <v>44833</v>
      </c>
      <c r="J101" s="459"/>
      <c r="X101" s="339">
        <f t="shared" si="43"/>
        <v>1663.6388888888889</v>
      </c>
      <c r="Y101" s="339">
        <f t="shared" si="43"/>
        <v>1663.6388888888889</v>
      </c>
      <c r="Z101" s="339">
        <f t="shared" si="43"/>
        <v>1663.6388888888889</v>
      </c>
      <c r="AA101" s="339">
        <f t="shared" si="43"/>
        <v>1663.6388888888889</v>
      </c>
      <c r="AB101" s="339">
        <f t="shared" si="43"/>
        <v>1663.6388888888889</v>
      </c>
      <c r="AC101" s="339">
        <f t="shared" si="43"/>
        <v>1663.6388888888889</v>
      </c>
      <c r="AD101" s="339">
        <f t="shared" si="43"/>
        <v>1663.6388888888889</v>
      </c>
      <c r="AE101" s="339">
        <f t="shared" si="43"/>
        <v>1663.6388888888889</v>
      </c>
      <c r="AF101" s="339">
        <f t="shared" si="43"/>
        <v>1663.6388888888889</v>
      </c>
      <c r="AG101" s="339">
        <f t="shared" si="43"/>
        <v>1663.6388888888889</v>
      </c>
      <c r="AH101" s="339">
        <f t="shared" si="43"/>
        <v>1663.6388888888889</v>
      </c>
      <c r="AI101" s="339">
        <f t="shared" si="43"/>
        <v>1663.6388888888889</v>
      </c>
      <c r="AJ101" s="339">
        <f t="shared" si="43"/>
        <v>1663.6388888888889</v>
      </c>
      <c r="AK101" s="339">
        <f t="shared" si="43"/>
        <v>1663.6388888888889</v>
      </c>
      <c r="AL101" s="339">
        <f t="shared" si="43"/>
        <v>1663.6388888888889</v>
      </c>
      <c r="AM101" s="339">
        <f t="shared" si="43"/>
        <v>1663.6388888888889</v>
      </c>
      <c r="AN101" s="339">
        <f t="shared" si="44"/>
        <v>1663.6388888888889</v>
      </c>
      <c r="AO101" s="339">
        <f t="shared" si="44"/>
        <v>1663.6388888888889</v>
      </c>
      <c r="AP101" s="339">
        <f t="shared" si="44"/>
        <v>1663.6388888888889</v>
      </c>
      <c r="AQ101" s="339">
        <f t="shared" si="44"/>
        <v>1663.6388888888889</v>
      </c>
      <c r="AR101" s="339">
        <f t="shared" si="44"/>
        <v>1663.6388888888889</v>
      </c>
      <c r="AS101" s="339">
        <f t="shared" si="44"/>
        <v>1663.6388888888889</v>
      </c>
      <c r="AT101" s="339">
        <f t="shared" si="44"/>
        <v>1663.6388888888889</v>
      </c>
      <c r="AU101" s="339">
        <f t="shared" si="44"/>
        <v>1663.6388888888889</v>
      </c>
      <c r="AV101" s="339">
        <f t="shared" si="44"/>
        <v>1663.6388888888889</v>
      </c>
      <c r="AW101" s="339">
        <f t="shared" si="44"/>
        <v>1663.6388888888889</v>
      </c>
      <c r="AX101" s="339">
        <f t="shared" si="44"/>
        <v>1663.6388888888889</v>
      </c>
      <c r="AY101" s="339">
        <f t="shared" si="44"/>
        <v>1663.6388888888889</v>
      </c>
      <c r="AZ101" s="339">
        <f t="shared" si="44"/>
        <v>1663.6388888888889</v>
      </c>
      <c r="BA101" s="339">
        <f t="shared" si="44"/>
        <v>1663.6388888888889</v>
      </c>
      <c r="BB101" s="339">
        <f t="shared" si="44"/>
        <v>1663.6388888888889</v>
      </c>
      <c r="BC101" s="339">
        <f t="shared" si="44"/>
        <v>1663.6388888888889</v>
      </c>
      <c r="BD101" s="339">
        <f t="shared" si="45"/>
        <v>1663.6388888888889</v>
      </c>
      <c r="BE101" s="339">
        <f t="shared" si="45"/>
        <v>1663.6388888888889</v>
      </c>
      <c r="BF101" s="339">
        <f t="shared" si="45"/>
        <v>1663.6388888888889</v>
      </c>
      <c r="BG101" s="339">
        <f t="shared" si="45"/>
        <v>1663.6388888888889</v>
      </c>
      <c r="BH101" s="339">
        <f t="shared" si="45"/>
        <v>0</v>
      </c>
      <c r="BI101" s="339">
        <f t="shared" si="45"/>
        <v>0</v>
      </c>
      <c r="BJ101" s="339">
        <f t="shared" si="45"/>
        <v>0</v>
      </c>
      <c r="BK101" s="339">
        <f t="shared" si="45"/>
        <v>0</v>
      </c>
      <c r="BL101" s="339">
        <f t="shared" si="45"/>
        <v>0</v>
      </c>
      <c r="BM101" s="339">
        <f t="shared" si="45"/>
        <v>0</v>
      </c>
      <c r="BN101" s="339">
        <f t="shared" si="45"/>
        <v>0</v>
      </c>
      <c r="BO101" s="339">
        <f t="shared" si="45"/>
        <v>0</v>
      </c>
      <c r="BP101" s="339">
        <f t="shared" si="45"/>
        <v>0</v>
      </c>
      <c r="BQ101" s="339">
        <f t="shared" si="45"/>
        <v>0</v>
      </c>
      <c r="BR101" s="339">
        <f t="shared" si="45"/>
        <v>0</v>
      </c>
      <c r="BS101" s="339">
        <f t="shared" si="45"/>
        <v>0</v>
      </c>
      <c r="BT101" s="339">
        <f t="shared" si="46"/>
        <v>0</v>
      </c>
      <c r="BU101" s="339">
        <f t="shared" si="46"/>
        <v>0</v>
      </c>
      <c r="BV101" s="339">
        <f t="shared" si="46"/>
        <v>0</v>
      </c>
      <c r="BW101" s="339">
        <f t="shared" si="46"/>
        <v>0</v>
      </c>
      <c r="BX101" s="339">
        <f t="shared" si="46"/>
        <v>0</v>
      </c>
      <c r="BY101" s="339">
        <f t="shared" si="46"/>
        <v>0</v>
      </c>
      <c r="BZ101" s="339">
        <f t="shared" si="46"/>
        <v>0</v>
      </c>
      <c r="CA101" s="339">
        <f t="shared" si="46"/>
        <v>0</v>
      </c>
      <c r="CB101" s="339">
        <f t="shared" si="46"/>
        <v>0</v>
      </c>
      <c r="CC101" s="339">
        <f t="shared" si="46"/>
        <v>0</v>
      </c>
      <c r="CD101" s="339">
        <f t="shared" si="46"/>
        <v>0</v>
      </c>
      <c r="CE101" s="339">
        <f t="shared" si="46"/>
        <v>0</v>
      </c>
      <c r="CF101" s="339">
        <f t="shared" si="47"/>
        <v>0</v>
      </c>
      <c r="CG101" s="339">
        <f t="shared" si="47"/>
        <v>0</v>
      </c>
      <c r="CH101" s="339">
        <f t="shared" si="47"/>
        <v>0</v>
      </c>
      <c r="CI101" s="339">
        <f t="shared" si="47"/>
        <v>0</v>
      </c>
      <c r="CJ101" s="339">
        <f t="shared" si="47"/>
        <v>0</v>
      </c>
      <c r="CK101" s="339">
        <f t="shared" si="47"/>
        <v>0</v>
      </c>
      <c r="CL101" s="339">
        <f t="shared" si="47"/>
        <v>0</v>
      </c>
      <c r="CM101" s="339">
        <f t="shared" si="47"/>
        <v>0</v>
      </c>
      <c r="CN101" s="339">
        <f t="shared" si="47"/>
        <v>0</v>
      </c>
      <c r="CO101" s="339">
        <f t="shared" si="47"/>
        <v>0</v>
      </c>
      <c r="CP101" s="339">
        <f t="shared" si="47"/>
        <v>0</v>
      </c>
      <c r="CQ101" s="339">
        <f t="shared" si="47"/>
        <v>0</v>
      </c>
    </row>
    <row r="102" spans="2:95" ht="15.4">
      <c r="B102" s="456"/>
      <c r="C102" s="456"/>
      <c r="D102" s="403">
        <v>9934.75</v>
      </c>
      <c r="E102" s="403">
        <f t="shared" si="40"/>
        <v>275.96527777777777</v>
      </c>
      <c r="F102" s="403">
        <f t="shared" si="41"/>
        <v>3</v>
      </c>
      <c r="G102" s="403">
        <v>36</v>
      </c>
      <c r="H102" s="404">
        <v>43830</v>
      </c>
      <c r="I102" s="404">
        <f t="shared" si="42"/>
        <v>44925</v>
      </c>
      <c r="J102" s="459"/>
      <c r="AA102" s="339">
        <f t="shared" si="43"/>
        <v>275.96527777777777</v>
      </c>
      <c r="AB102" s="339">
        <f t="shared" si="43"/>
        <v>275.96527777777777</v>
      </c>
      <c r="AC102" s="339">
        <f t="shared" si="43"/>
        <v>275.96527777777777</v>
      </c>
      <c r="AD102" s="339">
        <f t="shared" si="43"/>
        <v>275.96527777777777</v>
      </c>
      <c r="AE102" s="339">
        <f t="shared" si="43"/>
        <v>275.96527777777777</v>
      </c>
      <c r="AF102" s="339">
        <f t="shared" si="43"/>
        <v>275.96527777777777</v>
      </c>
      <c r="AG102" s="339">
        <f t="shared" si="43"/>
        <v>275.96527777777777</v>
      </c>
      <c r="AH102" s="339">
        <f t="shared" si="43"/>
        <v>275.96527777777777</v>
      </c>
      <c r="AI102" s="339">
        <f t="shared" si="43"/>
        <v>275.96527777777777</v>
      </c>
      <c r="AJ102" s="339">
        <f t="shared" si="43"/>
        <v>275.96527777777777</v>
      </c>
      <c r="AK102" s="339">
        <f t="shared" si="43"/>
        <v>275.96527777777777</v>
      </c>
      <c r="AL102" s="339">
        <f t="shared" si="43"/>
        <v>275.96527777777777</v>
      </c>
      <c r="AM102" s="339">
        <f t="shared" si="43"/>
        <v>275.96527777777777</v>
      </c>
      <c r="AN102" s="339">
        <f t="shared" si="44"/>
        <v>275.96527777777777</v>
      </c>
      <c r="AO102" s="339">
        <f t="shared" si="44"/>
        <v>275.96527777777777</v>
      </c>
      <c r="AP102" s="339">
        <f t="shared" si="44"/>
        <v>275.96527777777777</v>
      </c>
      <c r="AQ102" s="339">
        <f t="shared" si="44"/>
        <v>275.96527777777777</v>
      </c>
      <c r="AR102" s="339">
        <f t="shared" si="44"/>
        <v>275.96527777777777</v>
      </c>
      <c r="AS102" s="339">
        <f t="shared" si="44"/>
        <v>275.96527777777777</v>
      </c>
      <c r="AT102" s="339">
        <f t="shared" si="44"/>
        <v>275.96527777777777</v>
      </c>
      <c r="AU102" s="339">
        <f t="shared" si="44"/>
        <v>275.96527777777777</v>
      </c>
      <c r="AV102" s="339">
        <f t="shared" si="44"/>
        <v>275.96527777777777</v>
      </c>
      <c r="AW102" s="339">
        <f t="shared" si="44"/>
        <v>275.96527777777777</v>
      </c>
      <c r="AX102" s="339">
        <f t="shared" si="44"/>
        <v>275.96527777777777</v>
      </c>
      <c r="AY102" s="339">
        <f t="shared" si="44"/>
        <v>275.96527777777777</v>
      </c>
      <c r="AZ102" s="339">
        <f t="shared" si="44"/>
        <v>275.96527777777777</v>
      </c>
      <c r="BA102" s="339">
        <f t="shared" si="44"/>
        <v>275.96527777777777</v>
      </c>
      <c r="BB102" s="339">
        <f t="shared" si="44"/>
        <v>275.96527777777777</v>
      </c>
      <c r="BC102" s="339">
        <f t="shared" ref="BC102:BD102" si="48">IF($I102&gt;BC$7-30,$E102,0)</f>
        <v>275.96527777777777</v>
      </c>
      <c r="BD102" s="339">
        <f t="shared" si="48"/>
        <v>275.96527777777777</v>
      </c>
      <c r="BE102" s="339">
        <f t="shared" si="45"/>
        <v>275.96527777777777</v>
      </c>
      <c r="BF102" s="339">
        <f t="shared" si="45"/>
        <v>275.96527777777777</v>
      </c>
      <c r="BG102" s="339">
        <f t="shared" si="45"/>
        <v>275.96527777777777</v>
      </c>
      <c r="BH102" s="339">
        <f t="shared" si="45"/>
        <v>275.96527777777777</v>
      </c>
      <c r="BI102" s="339">
        <f t="shared" si="45"/>
        <v>275.96527777777777</v>
      </c>
      <c r="BJ102" s="339">
        <f t="shared" si="45"/>
        <v>275.96527777777777</v>
      </c>
      <c r="BK102" s="339">
        <f t="shared" si="45"/>
        <v>0</v>
      </c>
      <c r="BL102" s="339">
        <f t="shared" si="45"/>
        <v>0</v>
      </c>
      <c r="BM102" s="339">
        <f t="shared" si="45"/>
        <v>0</v>
      </c>
      <c r="BN102" s="339">
        <f t="shared" si="45"/>
        <v>0</v>
      </c>
      <c r="BO102" s="339">
        <f t="shared" si="45"/>
        <v>0</v>
      </c>
      <c r="BP102" s="339">
        <f t="shared" si="45"/>
        <v>0</v>
      </c>
      <c r="BQ102" s="339">
        <f t="shared" si="45"/>
        <v>0</v>
      </c>
      <c r="BR102" s="339">
        <f t="shared" si="45"/>
        <v>0</v>
      </c>
      <c r="BS102" s="339">
        <f t="shared" si="45"/>
        <v>0</v>
      </c>
      <c r="BT102" s="339">
        <f t="shared" si="46"/>
        <v>0</v>
      </c>
      <c r="BU102" s="339">
        <f t="shared" si="46"/>
        <v>0</v>
      </c>
      <c r="BV102" s="339">
        <f t="shared" si="46"/>
        <v>0</v>
      </c>
      <c r="BW102" s="339">
        <f t="shared" si="46"/>
        <v>0</v>
      </c>
      <c r="BX102" s="339">
        <f t="shared" si="46"/>
        <v>0</v>
      </c>
      <c r="BY102" s="339">
        <f t="shared" si="46"/>
        <v>0</v>
      </c>
      <c r="BZ102" s="339">
        <f t="shared" si="46"/>
        <v>0</v>
      </c>
      <c r="CA102" s="339">
        <f t="shared" si="46"/>
        <v>0</v>
      </c>
      <c r="CB102" s="339">
        <f t="shared" si="46"/>
        <v>0</v>
      </c>
      <c r="CC102" s="339">
        <f t="shared" si="46"/>
        <v>0</v>
      </c>
      <c r="CD102" s="339">
        <f t="shared" si="46"/>
        <v>0</v>
      </c>
      <c r="CE102" s="339">
        <f t="shared" si="46"/>
        <v>0</v>
      </c>
      <c r="CF102" s="339">
        <f t="shared" si="46"/>
        <v>0</v>
      </c>
      <c r="CG102" s="339">
        <f t="shared" si="46"/>
        <v>0</v>
      </c>
      <c r="CH102" s="339">
        <f t="shared" si="46"/>
        <v>0</v>
      </c>
      <c r="CI102" s="339">
        <f t="shared" si="47"/>
        <v>0</v>
      </c>
      <c r="CJ102" s="339">
        <f t="shared" si="47"/>
        <v>0</v>
      </c>
      <c r="CK102" s="339">
        <f t="shared" si="47"/>
        <v>0</v>
      </c>
      <c r="CL102" s="339">
        <f t="shared" si="47"/>
        <v>0</v>
      </c>
      <c r="CM102" s="339">
        <f t="shared" si="47"/>
        <v>0</v>
      </c>
      <c r="CN102" s="339">
        <f t="shared" si="47"/>
        <v>0</v>
      </c>
      <c r="CO102" s="339">
        <f t="shared" si="47"/>
        <v>0</v>
      </c>
      <c r="CP102" s="339">
        <f t="shared" si="47"/>
        <v>0</v>
      </c>
      <c r="CQ102" s="339">
        <f t="shared" si="47"/>
        <v>0</v>
      </c>
    </row>
    <row r="103" spans="2:95" ht="15.4">
      <c r="B103" s="456"/>
      <c r="C103" s="456"/>
      <c r="D103" s="403">
        <v>51591.91</v>
      </c>
      <c r="E103" s="403">
        <f t="shared" si="40"/>
        <v>859.86516666666671</v>
      </c>
      <c r="F103" s="403">
        <f t="shared" si="41"/>
        <v>5</v>
      </c>
      <c r="G103" s="403">
        <v>60</v>
      </c>
      <c r="H103" s="404">
        <v>43830</v>
      </c>
      <c r="I103" s="404">
        <f t="shared" si="42"/>
        <v>45655</v>
      </c>
      <c r="J103" s="459"/>
      <c r="AA103" s="339">
        <f t="shared" ref="AA103:AP113" si="49">IF($I103&gt;AA$7-30,$E103,0)</f>
        <v>859.86516666666671</v>
      </c>
      <c r="AB103" s="339">
        <f t="shared" si="49"/>
        <v>859.86516666666671</v>
      </c>
      <c r="AC103" s="339">
        <f t="shared" si="49"/>
        <v>859.86516666666671</v>
      </c>
      <c r="AD103" s="339">
        <f t="shared" si="49"/>
        <v>859.86516666666671</v>
      </c>
      <c r="AE103" s="339">
        <f t="shared" si="49"/>
        <v>859.86516666666671</v>
      </c>
      <c r="AF103" s="339">
        <f t="shared" si="49"/>
        <v>859.86516666666671</v>
      </c>
      <c r="AG103" s="339">
        <f t="shared" si="49"/>
        <v>859.86516666666671</v>
      </c>
      <c r="AH103" s="339">
        <f t="shared" si="49"/>
        <v>859.86516666666671</v>
      </c>
      <c r="AI103" s="339">
        <f t="shared" si="49"/>
        <v>859.86516666666671</v>
      </c>
      <c r="AJ103" s="339">
        <f t="shared" si="49"/>
        <v>859.86516666666671</v>
      </c>
      <c r="AK103" s="339">
        <f t="shared" si="49"/>
        <v>859.86516666666671</v>
      </c>
      <c r="AL103" s="339">
        <f t="shared" si="49"/>
        <v>859.86516666666671</v>
      </c>
      <c r="AM103" s="339">
        <f t="shared" si="49"/>
        <v>859.86516666666671</v>
      </c>
      <c r="AN103" s="339">
        <f t="shared" si="49"/>
        <v>859.86516666666671</v>
      </c>
      <c r="AO103" s="339">
        <f t="shared" si="49"/>
        <v>859.86516666666671</v>
      </c>
      <c r="AP103" s="339">
        <f t="shared" si="49"/>
        <v>859.86516666666671</v>
      </c>
      <c r="AQ103" s="339">
        <f t="shared" ref="AQ103:BF113" si="50">IF($I103&gt;AQ$7-30,$E103,0)</f>
        <v>859.86516666666671</v>
      </c>
      <c r="AR103" s="339">
        <f t="shared" si="50"/>
        <v>859.86516666666671</v>
      </c>
      <c r="AS103" s="339">
        <f t="shared" si="50"/>
        <v>859.86516666666671</v>
      </c>
      <c r="AT103" s="339">
        <f t="shared" si="50"/>
        <v>859.86516666666671</v>
      </c>
      <c r="AU103" s="339">
        <f t="shared" si="50"/>
        <v>859.86516666666671</v>
      </c>
      <c r="AV103" s="339">
        <f t="shared" si="50"/>
        <v>859.86516666666671</v>
      </c>
      <c r="AW103" s="339">
        <f t="shared" si="50"/>
        <v>859.86516666666671</v>
      </c>
      <c r="AX103" s="339">
        <f t="shared" si="50"/>
        <v>859.86516666666671</v>
      </c>
      <c r="AY103" s="339">
        <f t="shared" si="50"/>
        <v>859.86516666666671</v>
      </c>
      <c r="AZ103" s="339">
        <f t="shared" si="50"/>
        <v>859.86516666666671</v>
      </c>
      <c r="BA103" s="339">
        <f t="shared" si="50"/>
        <v>859.86516666666671</v>
      </c>
      <c r="BB103" s="339">
        <f t="shared" si="50"/>
        <v>859.86516666666671</v>
      </c>
      <c r="BC103" s="339">
        <f t="shared" si="50"/>
        <v>859.86516666666671</v>
      </c>
      <c r="BD103" s="339">
        <f t="shared" si="50"/>
        <v>859.86516666666671</v>
      </c>
      <c r="BE103" s="339">
        <f t="shared" si="50"/>
        <v>859.86516666666671</v>
      </c>
      <c r="BF103" s="339">
        <f t="shared" si="50"/>
        <v>859.86516666666671</v>
      </c>
      <c r="BG103" s="339">
        <f t="shared" ref="BG103:BV113" si="51">IF($I103&gt;BG$7-30,$E103,0)</f>
        <v>859.86516666666671</v>
      </c>
      <c r="BH103" s="339">
        <f t="shared" si="51"/>
        <v>859.86516666666671</v>
      </c>
      <c r="BI103" s="339">
        <f t="shared" si="51"/>
        <v>859.86516666666671</v>
      </c>
      <c r="BJ103" s="339">
        <f t="shared" si="51"/>
        <v>859.86516666666671</v>
      </c>
      <c r="BK103" s="339">
        <f t="shared" si="51"/>
        <v>859.86516666666671</v>
      </c>
      <c r="BL103" s="339">
        <f t="shared" si="51"/>
        <v>859.86516666666671</v>
      </c>
      <c r="BM103" s="339">
        <f t="shared" si="51"/>
        <v>859.86516666666671</v>
      </c>
      <c r="BN103" s="339">
        <f t="shared" si="51"/>
        <v>859.86516666666671</v>
      </c>
      <c r="BO103" s="339">
        <f t="shared" si="51"/>
        <v>859.86516666666671</v>
      </c>
      <c r="BP103" s="339">
        <f t="shared" si="51"/>
        <v>859.86516666666671</v>
      </c>
      <c r="BQ103" s="339">
        <f t="shared" si="51"/>
        <v>859.86516666666671</v>
      </c>
      <c r="BR103" s="339">
        <f t="shared" si="51"/>
        <v>859.86516666666671</v>
      </c>
      <c r="BS103" s="339">
        <f t="shared" si="51"/>
        <v>859.86516666666671</v>
      </c>
      <c r="BT103" s="339">
        <f t="shared" si="51"/>
        <v>859.86516666666671</v>
      </c>
      <c r="BU103" s="339">
        <f t="shared" si="51"/>
        <v>859.86516666666671</v>
      </c>
      <c r="BV103" s="339">
        <f t="shared" si="51"/>
        <v>859.86516666666671</v>
      </c>
      <c r="BW103" s="339">
        <f t="shared" ref="BW103:CL113" si="52">IF($I103&gt;BW$7-30,$E103,0)</f>
        <v>859.86516666666671</v>
      </c>
      <c r="BX103" s="339">
        <f t="shared" si="52"/>
        <v>859.86516666666671</v>
      </c>
      <c r="BY103" s="339">
        <f t="shared" si="52"/>
        <v>859.86516666666671</v>
      </c>
      <c r="BZ103" s="339">
        <f t="shared" si="52"/>
        <v>859.86516666666671</v>
      </c>
      <c r="CA103" s="339">
        <f t="shared" si="52"/>
        <v>859.86516666666671</v>
      </c>
      <c r="CB103" s="339">
        <f t="shared" si="52"/>
        <v>859.86516666666671</v>
      </c>
      <c r="CC103" s="339">
        <f t="shared" si="52"/>
        <v>859.86516666666671</v>
      </c>
      <c r="CD103" s="339">
        <f t="shared" si="52"/>
        <v>859.86516666666671</v>
      </c>
      <c r="CE103" s="339">
        <f t="shared" si="52"/>
        <v>859.86516666666671</v>
      </c>
      <c r="CF103" s="339">
        <f t="shared" si="52"/>
        <v>859.86516666666671</v>
      </c>
      <c r="CG103" s="339">
        <f t="shared" si="52"/>
        <v>859.86516666666671</v>
      </c>
      <c r="CH103" s="339">
        <f t="shared" si="52"/>
        <v>859.86516666666671</v>
      </c>
      <c r="CI103" s="339">
        <f t="shared" si="52"/>
        <v>0</v>
      </c>
      <c r="CJ103" s="339">
        <f t="shared" si="52"/>
        <v>0</v>
      </c>
      <c r="CK103" s="339">
        <f t="shared" si="52"/>
        <v>0</v>
      </c>
      <c r="CL103" s="339">
        <f t="shared" si="52"/>
        <v>0</v>
      </c>
      <c r="CM103" s="339">
        <f t="shared" ref="CH103:CQ113" si="53">IF($I103&gt;CM$7-30,$E103,0)</f>
        <v>0</v>
      </c>
      <c r="CN103" s="339">
        <f t="shared" si="53"/>
        <v>0</v>
      </c>
      <c r="CO103" s="339">
        <f t="shared" si="53"/>
        <v>0</v>
      </c>
      <c r="CP103" s="339">
        <f t="shared" si="53"/>
        <v>0</v>
      </c>
      <c r="CQ103" s="339">
        <f t="shared" si="53"/>
        <v>0</v>
      </c>
    </row>
    <row r="104" spans="2:95" ht="15.4">
      <c r="B104" s="456"/>
      <c r="C104" s="456"/>
      <c r="D104" s="403">
        <v>84999.72</v>
      </c>
      <c r="E104" s="403">
        <f t="shared" si="40"/>
        <v>1416.662</v>
      </c>
      <c r="F104" s="403">
        <f t="shared" si="41"/>
        <v>5</v>
      </c>
      <c r="G104" s="403">
        <v>60</v>
      </c>
      <c r="H104" s="404">
        <v>43830</v>
      </c>
      <c r="I104" s="404">
        <f t="shared" si="42"/>
        <v>45655</v>
      </c>
      <c r="J104" s="459"/>
      <c r="AA104" s="339">
        <f t="shared" si="49"/>
        <v>1416.662</v>
      </c>
      <c r="AB104" s="339">
        <f t="shared" si="49"/>
        <v>1416.662</v>
      </c>
      <c r="AC104" s="339">
        <f t="shared" si="49"/>
        <v>1416.662</v>
      </c>
      <c r="AD104" s="339">
        <f t="shared" si="49"/>
        <v>1416.662</v>
      </c>
      <c r="AE104" s="339">
        <f t="shared" si="49"/>
        <v>1416.662</v>
      </c>
      <c r="AF104" s="339">
        <f t="shared" si="49"/>
        <v>1416.662</v>
      </c>
      <c r="AG104" s="339">
        <f t="shared" si="49"/>
        <v>1416.662</v>
      </c>
      <c r="AH104" s="339">
        <f t="shared" si="49"/>
        <v>1416.662</v>
      </c>
      <c r="AI104" s="339">
        <f t="shared" si="49"/>
        <v>1416.662</v>
      </c>
      <c r="AJ104" s="339">
        <f t="shared" si="49"/>
        <v>1416.662</v>
      </c>
      <c r="AK104" s="339">
        <f t="shared" si="49"/>
        <v>1416.662</v>
      </c>
      <c r="AL104" s="339">
        <f t="shared" si="49"/>
        <v>1416.662</v>
      </c>
      <c r="AM104" s="339">
        <f t="shared" si="49"/>
        <v>1416.662</v>
      </c>
      <c r="AN104" s="339">
        <f t="shared" si="49"/>
        <v>1416.662</v>
      </c>
      <c r="AO104" s="339">
        <f t="shared" si="49"/>
        <v>1416.662</v>
      </c>
      <c r="AP104" s="339">
        <f t="shared" si="49"/>
        <v>1416.662</v>
      </c>
      <c r="AQ104" s="339">
        <f t="shared" si="50"/>
        <v>1416.662</v>
      </c>
      <c r="AR104" s="339">
        <f t="shared" si="50"/>
        <v>1416.662</v>
      </c>
      <c r="AS104" s="339">
        <f t="shared" si="50"/>
        <v>1416.662</v>
      </c>
      <c r="AT104" s="339">
        <f t="shared" si="50"/>
        <v>1416.662</v>
      </c>
      <c r="AU104" s="339">
        <f t="shared" si="50"/>
        <v>1416.662</v>
      </c>
      <c r="AV104" s="339">
        <f t="shared" si="50"/>
        <v>1416.662</v>
      </c>
      <c r="AW104" s="339">
        <f t="shared" si="50"/>
        <v>1416.662</v>
      </c>
      <c r="AX104" s="339">
        <f t="shared" si="50"/>
        <v>1416.662</v>
      </c>
      <c r="AY104" s="339">
        <f t="shared" si="50"/>
        <v>1416.662</v>
      </c>
      <c r="AZ104" s="339">
        <f t="shared" si="50"/>
        <v>1416.662</v>
      </c>
      <c r="BA104" s="339">
        <f t="shared" si="50"/>
        <v>1416.662</v>
      </c>
      <c r="BB104" s="339">
        <f t="shared" si="50"/>
        <v>1416.662</v>
      </c>
      <c r="BC104" s="339">
        <f t="shared" si="50"/>
        <v>1416.662</v>
      </c>
      <c r="BD104" s="339">
        <f t="shared" si="50"/>
        <v>1416.662</v>
      </c>
      <c r="BE104" s="339">
        <f t="shared" si="50"/>
        <v>1416.662</v>
      </c>
      <c r="BF104" s="339">
        <f t="shared" si="50"/>
        <v>1416.662</v>
      </c>
      <c r="BG104" s="339">
        <f t="shared" si="51"/>
        <v>1416.662</v>
      </c>
      <c r="BH104" s="339">
        <f t="shared" si="51"/>
        <v>1416.662</v>
      </c>
      <c r="BI104" s="339">
        <f t="shared" si="51"/>
        <v>1416.662</v>
      </c>
      <c r="BJ104" s="339">
        <f t="shared" si="51"/>
        <v>1416.662</v>
      </c>
      <c r="BK104" s="339">
        <f t="shared" si="51"/>
        <v>1416.662</v>
      </c>
      <c r="BL104" s="339">
        <f t="shared" si="51"/>
        <v>1416.662</v>
      </c>
      <c r="BM104" s="339">
        <f t="shared" si="51"/>
        <v>1416.662</v>
      </c>
      <c r="BN104" s="339">
        <f t="shared" si="51"/>
        <v>1416.662</v>
      </c>
      <c r="BO104" s="339">
        <f t="shared" si="51"/>
        <v>1416.662</v>
      </c>
      <c r="BP104" s="339">
        <f t="shared" si="51"/>
        <v>1416.662</v>
      </c>
      <c r="BQ104" s="339">
        <f t="shared" si="51"/>
        <v>1416.662</v>
      </c>
      <c r="BR104" s="339">
        <f t="shared" si="51"/>
        <v>1416.662</v>
      </c>
      <c r="BS104" s="339">
        <f t="shared" si="51"/>
        <v>1416.662</v>
      </c>
      <c r="BT104" s="339">
        <f t="shared" si="51"/>
        <v>1416.662</v>
      </c>
      <c r="BU104" s="339">
        <f t="shared" si="51"/>
        <v>1416.662</v>
      </c>
      <c r="BV104" s="339">
        <f t="shared" si="51"/>
        <v>1416.662</v>
      </c>
      <c r="BW104" s="339">
        <f t="shared" si="52"/>
        <v>1416.662</v>
      </c>
      <c r="BX104" s="339">
        <f t="shared" si="52"/>
        <v>1416.662</v>
      </c>
      <c r="BY104" s="339">
        <f t="shared" si="52"/>
        <v>1416.662</v>
      </c>
      <c r="BZ104" s="339">
        <f t="shared" si="52"/>
        <v>1416.662</v>
      </c>
      <c r="CA104" s="339">
        <f t="shared" si="52"/>
        <v>1416.662</v>
      </c>
      <c r="CB104" s="339">
        <f t="shared" si="52"/>
        <v>1416.662</v>
      </c>
      <c r="CC104" s="339">
        <f t="shared" si="52"/>
        <v>1416.662</v>
      </c>
      <c r="CD104" s="339">
        <f t="shared" si="52"/>
        <v>1416.662</v>
      </c>
      <c r="CE104" s="339">
        <f t="shared" si="52"/>
        <v>1416.662</v>
      </c>
      <c r="CF104" s="339">
        <f t="shared" si="52"/>
        <v>1416.662</v>
      </c>
      <c r="CG104" s="339">
        <f t="shared" si="52"/>
        <v>1416.662</v>
      </c>
      <c r="CH104" s="339">
        <f t="shared" si="52"/>
        <v>1416.662</v>
      </c>
      <c r="CI104" s="339">
        <f t="shared" si="53"/>
        <v>0</v>
      </c>
      <c r="CJ104" s="339">
        <f t="shared" si="53"/>
        <v>0</v>
      </c>
      <c r="CK104" s="339">
        <f t="shared" si="53"/>
        <v>0</v>
      </c>
      <c r="CL104" s="339">
        <f t="shared" si="53"/>
        <v>0</v>
      </c>
      <c r="CM104" s="339">
        <f t="shared" si="53"/>
        <v>0</v>
      </c>
      <c r="CN104" s="339">
        <f t="shared" si="53"/>
        <v>0</v>
      </c>
      <c r="CO104" s="339">
        <f t="shared" si="53"/>
        <v>0</v>
      </c>
      <c r="CP104" s="339">
        <f t="shared" si="53"/>
        <v>0</v>
      </c>
      <c r="CQ104" s="339">
        <f t="shared" si="53"/>
        <v>0</v>
      </c>
    </row>
    <row r="105" spans="2:95" ht="15.4">
      <c r="B105" s="456"/>
      <c r="C105" s="456"/>
      <c r="D105" s="403">
        <v>4229.75</v>
      </c>
      <c r="E105" s="403">
        <f t="shared" si="40"/>
        <v>70.495833333333337</v>
      </c>
      <c r="F105" s="403">
        <f t="shared" si="41"/>
        <v>5</v>
      </c>
      <c r="G105" s="403">
        <v>60</v>
      </c>
      <c r="H105" s="404">
        <v>43830</v>
      </c>
      <c r="I105" s="404">
        <f t="shared" si="42"/>
        <v>45655</v>
      </c>
      <c r="J105" s="459"/>
      <c r="AA105" s="339">
        <f t="shared" si="49"/>
        <v>70.495833333333337</v>
      </c>
      <c r="AB105" s="339">
        <f t="shared" si="49"/>
        <v>70.495833333333337</v>
      </c>
      <c r="AC105" s="339">
        <f t="shared" si="49"/>
        <v>70.495833333333337</v>
      </c>
      <c r="AD105" s="339">
        <f t="shared" si="49"/>
        <v>70.495833333333337</v>
      </c>
      <c r="AE105" s="339">
        <f t="shared" si="49"/>
        <v>70.495833333333337</v>
      </c>
      <c r="AF105" s="339">
        <f t="shared" si="49"/>
        <v>70.495833333333337</v>
      </c>
      <c r="AG105" s="339">
        <f t="shared" si="49"/>
        <v>70.495833333333337</v>
      </c>
      <c r="AH105" s="339">
        <f t="shared" si="49"/>
        <v>70.495833333333337</v>
      </c>
      <c r="AI105" s="339">
        <f t="shared" si="49"/>
        <v>70.495833333333337</v>
      </c>
      <c r="AJ105" s="339">
        <f t="shared" si="49"/>
        <v>70.495833333333337</v>
      </c>
      <c r="AK105" s="339">
        <f t="shared" si="49"/>
        <v>70.495833333333337</v>
      </c>
      <c r="AL105" s="339">
        <f t="shared" si="49"/>
        <v>70.495833333333337</v>
      </c>
      <c r="AM105" s="339">
        <f t="shared" si="49"/>
        <v>70.495833333333337</v>
      </c>
      <c r="AN105" s="339">
        <f t="shared" si="49"/>
        <v>70.495833333333337</v>
      </c>
      <c r="AO105" s="339">
        <f t="shared" si="49"/>
        <v>70.495833333333337</v>
      </c>
      <c r="AP105" s="339">
        <f t="shared" si="49"/>
        <v>70.495833333333337</v>
      </c>
      <c r="AQ105" s="339">
        <f t="shared" si="50"/>
        <v>70.495833333333337</v>
      </c>
      <c r="AR105" s="339">
        <f t="shared" si="50"/>
        <v>70.495833333333337</v>
      </c>
      <c r="AS105" s="339">
        <f t="shared" si="50"/>
        <v>70.495833333333337</v>
      </c>
      <c r="AT105" s="339">
        <f t="shared" si="50"/>
        <v>70.495833333333337</v>
      </c>
      <c r="AU105" s="339">
        <f t="shared" si="50"/>
        <v>70.495833333333337</v>
      </c>
      <c r="AV105" s="339">
        <f t="shared" si="50"/>
        <v>70.495833333333337</v>
      </c>
      <c r="AW105" s="339">
        <f t="shared" si="50"/>
        <v>70.495833333333337</v>
      </c>
      <c r="AX105" s="339">
        <f t="shared" si="50"/>
        <v>70.495833333333337</v>
      </c>
      <c r="AY105" s="339">
        <f t="shared" si="50"/>
        <v>70.495833333333337</v>
      </c>
      <c r="AZ105" s="339">
        <f t="shared" si="50"/>
        <v>70.495833333333337</v>
      </c>
      <c r="BA105" s="339">
        <f t="shared" si="50"/>
        <v>70.495833333333337</v>
      </c>
      <c r="BB105" s="339">
        <f t="shared" si="50"/>
        <v>70.495833333333337</v>
      </c>
      <c r="BC105" s="339">
        <f t="shared" si="50"/>
        <v>70.495833333333337</v>
      </c>
      <c r="BD105" s="339">
        <f t="shared" si="50"/>
        <v>70.495833333333337</v>
      </c>
      <c r="BE105" s="339">
        <f t="shared" si="50"/>
        <v>70.495833333333337</v>
      </c>
      <c r="BF105" s="339">
        <f t="shared" si="50"/>
        <v>70.495833333333337</v>
      </c>
      <c r="BG105" s="339">
        <f t="shared" si="51"/>
        <v>70.495833333333337</v>
      </c>
      <c r="BH105" s="339">
        <f t="shared" si="51"/>
        <v>70.495833333333337</v>
      </c>
      <c r="BI105" s="339">
        <f t="shared" si="51"/>
        <v>70.495833333333337</v>
      </c>
      <c r="BJ105" s="339">
        <f t="shared" si="51"/>
        <v>70.495833333333337</v>
      </c>
      <c r="BK105" s="339">
        <f t="shared" si="51"/>
        <v>70.495833333333337</v>
      </c>
      <c r="BL105" s="339">
        <f t="shared" si="51"/>
        <v>70.495833333333337</v>
      </c>
      <c r="BM105" s="339">
        <f t="shared" si="51"/>
        <v>70.495833333333337</v>
      </c>
      <c r="BN105" s="339">
        <f t="shared" si="51"/>
        <v>70.495833333333337</v>
      </c>
      <c r="BO105" s="339">
        <f t="shared" si="51"/>
        <v>70.495833333333337</v>
      </c>
      <c r="BP105" s="339">
        <f t="shared" si="51"/>
        <v>70.495833333333337</v>
      </c>
      <c r="BQ105" s="339">
        <f t="shared" si="51"/>
        <v>70.495833333333337</v>
      </c>
      <c r="BR105" s="339">
        <f t="shared" si="51"/>
        <v>70.495833333333337</v>
      </c>
      <c r="BS105" s="339">
        <f t="shared" si="51"/>
        <v>70.495833333333337</v>
      </c>
      <c r="BT105" s="339">
        <f t="shared" si="51"/>
        <v>70.495833333333337</v>
      </c>
      <c r="BU105" s="339">
        <f t="shared" si="51"/>
        <v>70.495833333333337</v>
      </c>
      <c r="BV105" s="339">
        <f t="shared" si="51"/>
        <v>70.495833333333337</v>
      </c>
      <c r="BW105" s="339">
        <f t="shared" si="52"/>
        <v>70.495833333333337</v>
      </c>
      <c r="BX105" s="339">
        <f t="shared" si="52"/>
        <v>70.495833333333337</v>
      </c>
      <c r="BY105" s="339">
        <f t="shared" si="52"/>
        <v>70.495833333333337</v>
      </c>
      <c r="BZ105" s="339">
        <f t="shared" si="52"/>
        <v>70.495833333333337</v>
      </c>
      <c r="CA105" s="339">
        <f t="shared" si="52"/>
        <v>70.495833333333337</v>
      </c>
      <c r="CB105" s="339">
        <f t="shared" si="52"/>
        <v>70.495833333333337</v>
      </c>
      <c r="CC105" s="339">
        <f t="shared" si="52"/>
        <v>70.495833333333337</v>
      </c>
      <c r="CD105" s="339">
        <f t="shared" si="52"/>
        <v>70.495833333333337</v>
      </c>
      <c r="CE105" s="339">
        <f t="shared" si="52"/>
        <v>70.495833333333337</v>
      </c>
      <c r="CF105" s="339">
        <f t="shared" si="52"/>
        <v>70.495833333333337</v>
      </c>
      <c r="CG105" s="339">
        <f t="shared" si="52"/>
        <v>70.495833333333337</v>
      </c>
      <c r="CH105" s="339">
        <f t="shared" si="52"/>
        <v>70.495833333333337</v>
      </c>
      <c r="CI105" s="339">
        <f t="shared" si="53"/>
        <v>0</v>
      </c>
      <c r="CJ105" s="339">
        <f t="shared" si="53"/>
        <v>0</v>
      </c>
      <c r="CK105" s="339">
        <f t="shared" si="53"/>
        <v>0</v>
      </c>
      <c r="CL105" s="339">
        <f t="shared" si="53"/>
        <v>0</v>
      </c>
      <c r="CM105" s="339">
        <f t="shared" si="53"/>
        <v>0</v>
      </c>
      <c r="CN105" s="339">
        <f t="shared" si="53"/>
        <v>0</v>
      </c>
      <c r="CO105" s="339">
        <f t="shared" si="53"/>
        <v>0</v>
      </c>
      <c r="CP105" s="339">
        <f t="shared" si="53"/>
        <v>0</v>
      </c>
      <c r="CQ105" s="339">
        <f t="shared" si="53"/>
        <v>0</v>
      </c>
    </row>
    <row r="106" spans="2:95" ht="15.4">
      <c r="B106" s="456"/>
      <c r="C106" s="456"/>
      <c r="D106" s="403">
        <v>12350</v>
      </c>
      <c r="E106" s="403">
        <f t="shared" si="40"/>
        <v>343.05555555555554</v>
      </c>
      <c r="F106" s="403">
        <f t="shared" si="41"/>
        <v>3</v>
      </c>
      <c r="G106" s="403">
        <v>36</v>
      </c>
      <c r="H106" s="404">
        <v>43830</v>
      </c>
      <c r="I106" s="404">
        <f t="shared" si="42"/>
        <v>44925</v>
      </c>
      <c r="J106" s="459"/>
      <c r="AA106" s="339">
        <f t="shared" si="49"/>
        <v>343.05555555555554</v>
      </c>
      <c r="AB106" s="339">
        <f t="shared" si="49"/>
        <v>343.05555555555554</v>
      </c>
      <c r="AC106" s="339">
        <f t="shared" si="49"/>
        <v>343.05555555555554</v>
      </c>
      <c r="AD106" s="339">
        <f t="shared" si="49"/>
        <v>343.05555555555554</v>
      </c>
      <c r="AE106" s="339">
        <f t="shared" si="49"/>
        <v>343.05555555555554</v>
      </c>
      <c r="AF106" s="339">
        <f t="shared" si="49"/>
        <v>343.05555555555554</v>
      </c>
      <c r="AG106" s="339">
        <f t="shared" si="49"/>
        <v>343.05555555555554</v>
      </c>
      <c r="AH106" s="339">
        <f t="shared" si="49"/>
        <v>343.05555555555554</v>
      </c>
      <c r="AI106" s="339">
        <f t="shared" si="49"/>
        <v>343.05555555555554</v>
      </c>
      <c r="AJ106" s="339">
        <f t="shared" si="49"/>
        <v>343.05555555555554</v>
      </c>
      <c r="AK106" s="339">
        <f t="shared" si="49"/>
        <v>343.05555555555554</v>
      </c>
      <c r="AL106" s="339">
        <f t="shared" si="49"/>
        <v>343.05555555555554</v>
      </c>
      <c r="AM106" s="339">
        <f t="shared" si="49"/>
        <v>343.05555555555554</v>
      </c>
      <c r="AN106" s="339">
        <f t="shared" si="49"/>
        <v>343.05555555555554</v>
      </c>
      <c r="AO106" s="339">
        <f t="shared" si="49"/>
        <v>343.05555555555554</v>
      </c>
      <c r="AP106" s="339">
        <f t="shared" si="49"/>
        <v>343.05555555555554</v>
      </c>
      <c r="AQ106" s="339">
        <f t="shared" si="50"/>
        <v>343.05555555555554</v>
      </c>
      <c r="AR106" s="339">
        <f t="shared" si="50"/>
        <v>343.05555555555554</v>
      </c>
      <c r="AS106" s="339">
        <f t="shared" si="50"/>
        <v>343.05555555555554</v>
      </c>
      <c r="AT106" s="339">
        <f t="shared" si="50"/>
        <v>343.05555555555554</v>
      </c>
      <c r="AU106" s="339">
        <f t="shared" si="50"/>
        <v>343.05555555555554</v>
      </c>
      <c r="AV106" s="339">
        <f t="shared" si="50"/>
        <v>343.05555555555554</v>
      </c>
      <c r="AW106" s="339">
        <f t="shared" si="50"/>
        <v>343.05555555555554</v>
      </c>
      <c r="AX106" s="339">
        <f t="shared" si="50"/>
        <v>343.05555555555554</v>
      </c>
      <c r="AY106" s="339">
        <f t="shared" si="50"/>
        <v>343.05555555555554</v>
      </c>
      <c r="AZ106" s="339">
        <f t="shared" si="50"/>
        <v>343.05555555555554</v>
      </c>
      <c r="BA106" s="339">
        <f t="shared" si="50"/>
        <v>343.05555555555554</v>
      </c>
      <c r="BB106" s="339">
        <f t="shared" si="50"/>
        <v>343.05555555555554</v>
      </c>
      <c r="BC106" s="339">
        <f t="shared" si="50"/>
        <v>343.05555555555554</v>
      </c>
      <c r="BD106" s="339">
        <f t="shared" si="50"/>
        <v>343.05555555555554</v>
      </c>
      <c r="BE106" s="339">
        <f t="shared" si="50"/>
        <v>343.05555555555554</v>
      </c>
      <c r="BF106" s="339">
        <f t="shared" si="50"/>
        <v>343.05555555555554</v>
      </c>
      <c r="BG106" s="339">
        <f t="shared" si="51"/>
        <v>343.05555555555554</v>
      </c>
      <c r="BH106" s="339">
        <f t="shared" si="51"/>
        <v>343.05555555555554</v>
      </c>
      <c r="BI106" s="339">
        <f t="shared" si="51"/>
        <v>343.05555555555554</v>
      </c>
      <c r="BJ106" s="339">
        <f t="shared" si="51"/>
        <v>343.05555555555554</v>
      </c>
      <c r="BK106" s="339">
        <f t="shared" si="51"/>
        <v>0</v>
      </c>
      <c r="BL106" s="339">
        <f t="shared" si="51"/>
        <v>0</v>
      </c>
      <c r="BM106" s="339">
        <f t="shared" si="51"/>
        <v>0</v>
      </c>
      <c r="BN106" s="339">
        <f t="shared" si="51"/>
        <v>0</v>
      </c>
      <c r="BO106" s="339">
        <f t="shared" si="51"/>
        <v>0</v>
      </c>
      <c r="BP106" s="339">
        <f t="shared" si="51"/>
        <v>0</v>
      </c>
      <c r="BQ106" s="339">
        <f t="shared" si="51"/>
        <v>0</v>
      </c>
      <c r="BR106" s="339">
        <f t="shared" si="51"/>
        <v>0</v>
      </c>
      <c r="BS106" s="339">
        <f t="shared" si="51"/>
        <v>0</v>
      </c>
      <c r="BT106" s="339">
        <f t="shared" si="51"/>
        <v>0</v>
      </c>
      <c r="BU106" s="339">
        <f t="shared" si="51"/>
        <v>0</v>
      </c>
      <c r="BV106" s="339">
        <f t="shared" si="51"/>
        <v>0</v>
      </c>
      <c r="BW106" s="339">
        <f t="shared" si="52"/>
        <v>0</v>
      </c>
      <c r="BX106" s="339">
        <f t="shared" si="52"/>
        <v>0</v>
      </c>
      <c r="BY106" s="339">
        <f t="shared" si="52"/>
        <v>0</v>
      </c>
      <c r="BZ106" s="339">
        <f t="shared" si="52"/>
        <v>0</v>
      </c>
      <c r="CA106" s="339">
        <f t="shared" si="52"/>
        <v>0</v>
      </c>
      <c r="CB106" s="339">
        <f t="shared" si="52"/>
        <v>0</v>
      </c>
      <c r="CC106" s="339">
        <f t="shared" si="52"/>
        <v>0</v>
      </c>
      <c r="CD106" s="339">
        <f t="shared" si="52"/>
        <v>0</v>
      </c>
      <c r="CE106" s="339">
        <f t="shared" si="52"/>
        <v>0</v>
      </c>
      <c r="CF106" s="339">
        <f t="shared" si="52"/>
        <v>0</v>
      </c>
      <c r="CG106" s="339">
        <f t="shared" si="52"/>
        <v>0</v>
      </c>
      <c r="CH106" s="339">
        <f t="shared" si="52"/>
        <v>0</v>
      </c>
      <c r="CI106" s="339">
        <f t="shared" si="53"/>
        <v>0</v>
      </c>
      <c r="CJ106" s="339">
        <f t="shared" si="53"/>
        <v>0</v>
      </c>
      <c r="CK106" s="339">
        <f t="shared" si="53"/>
        <v>0</v>
      </c>
      <c r="CL106" s="339">
        <f t="shared" si="53"/>
        <v>0</v>
      </c>
      <c r="CM106" s="339">
        <f t="shared" si="53"/>
        <v>0</v>
      </c>
      <c r="CN106" s="339">
        <f t="shared" si="53"/>
        <v>0</v>
      </c>
      <c r="CO106" s="339">
        <f t="shared" si="53"/>
        <v>0</v>
      </c>
      <c r="CP106" s="339">
        <f t="shared" si="53"/>
        <v>0</v>
      </c>
      <c r="CQ106" s="339">
        <f t="shared" si="53"/>
        <v>0</v>
      </c>
    </row>
    <row r="107" spans="2:95" ht="15.4">
      <c r="B107" s="456"/>
      <c r="C107" s="456"/>
      <c r="D107" s="403">
        <v>3411.91</v>
      </c>
      <c r="E107" s="403">
        <f t="shared" si="40"/>
        <v>94.775277777777774</v>
      </c>
      <c r="F107" s="403">
        <f t="shared" si="41"/>
        <v>3</v>
      </c>
      <c r="G107" s="403">
        <v>36</v>
      </c>
      <c r="H107" s="404">
        <v>43830</v>
      </c>
      <c r="I107" s="404">
        <f t="shared" si="42"/>
        <v>44925</v>
      </c>
      <c r="J107" s="459"/>
      <c r="AA107" s="339">
        <f t="shared" si="49"/>
        <v>94.775277777777774</v>
      </c>
      <c r="AB107" s="339">
        <f t="shared" si="49"/>
        <v>94.775277777777774</v>
      </c>
      <c r="AC107" s="339">
        <f t="shared" si="49"/>
        <v>94.775277777777774</v>
      </c>
      <c r="AD107" s="339">
        <f t="shared" si="49"/>
        <v>94.775277777777774</v>
      </c>
      <c r="AE107" s="339">
        <f t="shared" si="49"/>
        <v>94.775277777777774</v>
      </c>
      <c r="AF107" s="339">
        <f t="shared" si="49"/>
        <v>94.775277777777774</v>
      </c>
      <c r="AG107" s="339">
        <f t="shared" si="49"/>
        <v>94.775277777777774</v>
      </c>
      <c r="AH107" s="339">
        <f t="shared" si="49"/>
        <v>94.775277777777774</v>
      </c>
      <c r="AI107" s="339">
        <f t="shared" si="49"/>
        <v>94.775277777777774</v>
      </c>
      <c r="AJ107" s="339">
        <f t="shared" si="49"/>
        <v>94.775277777777774</v>
      </c>
      <c r="AK107" s="339">
        <f t="shared" si="49"/>
        <v>94.775277777777774</v>
      </c>
      <c r="AL107" s="339">
        <f t="shared" si="49"/>
        <v>94.775277777777774</v>
      </c>
      <c r="AM107" s="339">
        <f t="shared" si="49"/>
        <v>94.775277777777774</v>
      </c>
      <c r="AN107" s="339">
        <f t="shared" si="49"/>
        <v>94.775277777777774</v>
      </c>
      <c r="AO107" s="339">
        <f t="shared" si="49"/>
        <v>94.775277777777774</v>
      </c>
      <c r="AP107" s="339">
        <f t="shared" si="49"/>
        <v>94.775277777777774</v>
      </c>
      <c r="AQ107" s="339">
        <f t="shared" si="50"/>
        <v>94.775277777777774</v>
      </c>
      <c r="AR107" s="339">
        <f t="shared" si="50"/>
        <v>94.775277777777774</v>
      </c>
      <c r="AS107" s="339">
        <f t="shared" si="50"/>
        <v>94.775277777777774</v>
      </c>
      <c r="AT107" s="339">
        <f t="shared" si="50"/>
        <v>94.775277777777774</v>
      </c>
      <c r="AU107" s="339">
        <f t="shared" si="50"/>
        <v>94.775277777777774</v>
      </c>
      <c r="AV107" s="339">
        <f t="shared" si="50"/>
        <v>94.775277777777774</v>
      </c>
      <c r="AW107" s="339">
        <f t="shared" si="50"/>
        <v>94.775277777777774</v>
      </c>
      <c r="AX107" s="339">
        <f t="shared" si="50"/>
        <v>94.775277777777774</v>
      </c>
      <c r="AY107" s="339">
        <f t="shared" si="50"/>
        <v>94.775277777777774</v>
      </c>
      <c r="AZ107" s="339">
        <f t="shared" si="50"/>
        <v>94.775277777777774</v>
      </c>
      <c r="BA107" s="339">
        <f t="shared" si="50"/>
        <v>94.775277777777774</v>
      </c>
      <c r="BB107" s="339">
        <f t="shared" si="50"/>
        <v>94.775277777777774</v>
      </c>
      <c r="BC107" s="339">
        <f t="shared" si="50"/>
        <v>94.775277777777774</v>
      </c>
      <c r="BD107" s="339">
        <f t="shared" si="50"/>
        <v>94.775277777777774</v>
      </c>
      <c r="BE107" s="339">
        <f t="shared" si="50"/>
        <v>94.775277777777774</v>
      </c>
      <c r="BF107" s="339">
        <f t="shared" si="50"/>
        <v>94.775277777777774</v>
      </c>
      <c r="BG107" s="339">
        <f t="shared" si="51"/>
        <v>94.775277777777774</v>
      </c>
      <c r="BH107" s="339">
        <f t="shared" si="51"/>
        <v>94.775277777777774</v>
      </c>
      <c r="BI107" s="339">
        <f t="shared" si="51"/>
        <v>94.775277777777774</v>
      </c>
      <c r="BJ107" s="339">
        <f t="shared" si="51"/>
        <v>94.775277777777774</v>
      </c>
      <c r="BK107" s="339">
        <f t="shared" si="51"/>
        <v>0</v>
      </c>
      <c r="BL107" s="339">
        <f t="shared" si="51"/>
        <v>0</v>
      </c>
      <c r="BM107" s="339">
        <f t="shared" si="51"/>
        <v>0</v>
      </c>
      <c r="BN107" s="339">
        <f t="shared" si="51"/>
        <v>0</v>
      </c>
      <c r="BO107" s="339">
        <f t="shared" si="51"/>
        <v>0</v>
      </c>
      <c r="BP107" s="339">
        <f t="shared" si="51"/>
        <v>0</v>
      </c>
      <c r="BQ107" s="339">
        <f t="shared" si="51"/>
        <v>0</v>
      </c>
      <c r="BR107" s="339">
        <f t="shared" si="51"/>
        <v>0</v>
      </c>
      <c r="BS107" s="339">
        <f t="shared" si="51"/>
        <v>0</v>
      </c>
      <c r="BT107" s="339">
        <f t="shared" si="51"/>
        <v>0</v>
      </c>
      <c r="BU107" s="339">
        <f t="shared" si="51"/>
        <v>0</v>
      </c>
      <c r="BV107" s="339">
        <f t="shared" si="51"/>
        <v>0</v>
      </c>
      <c r="BW107" s="339">
        <f t="shared" si="52"/>
        <v>0</v>
      </c>
      <c r="BX107" s="339">
        <f t="shared" si="52"/>
        <v>0</v>
      </c>
      <c r="BY107" s="339">
        <f t="shared" si="52"/>
        <v>0</v>
      </c>
      <c r="BZ107" s="339">
        <f t="shared" si="52"/>
        <v>0</v>
      </c>
      <c r="CA107" s="339">
        <f t="shared" si="52"/>
        <v>0</v>
      </c>
      <c r="CB107" s="339">
        <f t="shared" si="52"/>
        <v>0</v>
      </c>
      <c r="CC107" s="339">
        <f t="shared" si="52"/>
        <v>0</v>
      </c>
      <c r="CD107" s="339">
        <f t="shared" si="52"/>
        <v>0</v>
      </c>
      <c r="CE107" s="339">
        <f t="shared" si="52"/>
        <v>0</v>
      </c>
      <c r="CF107" s="339">
        <f t="shared" si="52"/>
        <v>0</v>
      </c>
      <c r="CG107" s="339">
        <f t="shared" si="52"/>
        <v>0</v>
      </c>
      <c r="CH107" s="339">
        <f t="shared" si="52"/>
        <v>0</v>
      </c>
      <c r="CI107" s="339">
        <f t="shared" si="52"/>
        <v>0</v>
      </c>
      <c r="CJ107" s="339">
        <f t="shared" si="52"/>
        <v>0</v>
      </c>
      <c r="CK107" s="339">
        <f t="shared" si="52"/>
        <v>0</v>
      </c>
      <c r="CL107" s="339">
        <f t="shared" si="52"/>
        <v>0</v>
      </c>
      <c r="CM107" s="339">
        <f t="shared" si="53"/>
        <v>0</v>
      </c>
      <c r="CN107" s="339">
        <f t="shared" si="53"/>
        <v>0</v>
      </c>
      <c r="CO107" s="339">
        <f t="shared" si="53"/>
        <v>0</v>
      </c>
      <c r="CP107" s="339">
        <f t="shared" si="53"/>
        <v>0</v>
      </c>
      <c r="CQ107" s="339">
        <f t="shared" si="53"/>
        <v>0</v>
      </c>
    </row>
    <row r="108" spans="2:95" ht="15.4">
      <c r="B108" s="456"/>
      <c r="C108" s="456"/>
      <c r="D108" s="403">
        <v>9944.18</v>
      </c>
      <c r="E108" s="403">
        <f t="shared" si="40"/>
        <v>165.73633333333333</v>
      </c>
      <c r="F108" s="403">
        <f t="shared" si="41"/>
        <v>5</v>
      </c>
      <c r="G108" s="403">
        <v>60</v>
      </c>
      <c r="H108" s="404">
        <v>43921</v>
      </c>
      <c r="I108" s="404">
        <f t="shared" si="42"/>
        <v>45746</v>
      </c>
      <c r="J108" s="459"/>
      <c r="AD108" s="339">
        <f t="shared" si="49"/>
        <v>165.73633333333333</v>
      </c>
      <c r="AE108" s="339">
        <f t="shared" si="49"/>
        <v>165.73633333333333</v>
      </c>
      <c r="AF108" s="339">
        <f t="shared" si="49"/>
        <v>165.73633333333333</v>
      </c>
      <c r="AG108" s="339">
        <f t="shared" si="49"/>
        <v>165.73633333333333</v>
      </c>
      <c r="AH108" s="339">
        <f t="shared" si="49"/>
        <v>165.73633333333333</v>
      </c>
      <c r="AI108" s="339">
        <f t="shared" si="49"/>
        <v>165.73633333333333</v>
      </c>
      <c r="AJ108" s="339">
        <f t="shared" si="49"/>
        <v>165.73633333333333</v>
      </c>
      <c r="AK108" s="339">
        <f t="shared" si="49"/>
        <v>165.73633333333333</v>
      </c>
      <c r="AL108" s="339">
        <f t="shared" si="49"/>
        <v>165.73633333333333</v>
      </c>
      <c r="AM108" s="339">
        <f t="shared" si="49"/>
        <v>165.73633333333333</v>
      </c>
      <c r="AN108" s="339">
        <f t="shared" si="49"/>
        <v>165.73633333333333</v>
      </c>
      <c r="AO108" s="339">
        <f t="shared" si="49"/>
        <v>165.73633333333333</v>
      </c>
      <c r="AP108" s="339">
        <f t="shared" si="49"/>
        <v>165.73633333333333</v>
      </c>
      <c r="AQ108" s="339">
        <f t="shared" si="50"/>
        <v>165.73633333333333</v>
      </c>
      <c r="AR108" s="339">
        <f t="shared" si="50"/>
        <v>165.73633333333333</v>
      </c>
      <c r="AS108" s="339">
        <f t="shared" si="50"/>
        <v>165.73633333333333</v>
      </c>
      <c r="AT108" s="339">
        <f t="shared" si="50"/>
        <v>165.73633333333333</v>
      </c>
      <c r="AU108" s="339">
        <f t="shared" si="50"/>
        <v>165.73633333333333</v>
      </c>
      <c r="AV108" s="339">
        <f t="shared" si="50"/>
        <v>165.73633333333333</v>
      </c>
      <c r="AW108" s="339">
        <f t="shared" si="50"/>
        <v>165.73633333333333</v>
      </c>
      <c r="AX108" s="339">
        <f t="shared" si="50"/>
        <v>165.73633333333333</v>
      </c>
      <c r="AY108" s="339">
        <f t="shared" si="50"/>
        <v>165.73633333333333</v>
      </c>
      <c r="AZ108" s="339">
        <f t="shared" si="50"/>
        <v>165.73633333333333</v>
      </c>
      <c r="BA108" s="339">
        <f t="shared" si="50"/>
        <v>165.73633333333333</v>
      </c>
      <c r="BB108" s="339">
        <f t="shared" si="50"/>
        <v>165.73633333333333</v>
      </c>
      <c r="BC108" s="339">
        <f t="shared" si="50"/>
        <v>165.73633333333333</v>
      </c>
      <c r="BD108" s="339">
        <f t="shared" si="50"/>
        <v>165.73633333333333</v>
      </c>
      <c r="BE108" s="339">
        <f t="shared" si="50"/>
        <v>165.73633333333333</v>
      </c>
      <c r="BF108" s="339">
        <f t="shared" si="50"/>
        <v>165.73633333333333</v>
      </c>
      <c r="BG108" s="339">
        <f t="shared" si="51"/>
        <v>165.73633333333333</v>
      </c>
      <c r="BH108" s="339">
        <f t="shared" si="51"/>
        <v>165.73633333333333</v>
      </c>
      <c r="BI108" s="339">
        <f t="shared" si="51"/>
        <v>165.73633333333333</v>
      </c>
      <c r="BJ108" s="339">
        <f t="shared" si="51"/>
        <v>165.73633333333333</v>
      </c>
      <c r="BK108" s="339">
        <f t="shared" si="51"/>
        <v>165.73633333333333</v>
      </c>
      <c r="BL108" s="339">
        <f t="shared" si="51"/>
        <v>165.73633333333333</v>
      </c>
      <c r="BM108" s="339">
        <f t="shared" si="51"/>
        <v>165.73633333333333</v>
      </c>
      <c r="BN108" s="339">
        <f t="shared" si="51"/>
        <v>165.73633333333333</v>
      </c>
      <c r="BO108" s="339">
        <f t="shared" si="51"/>
        <v>165.73633333333333</v>
      </c>
      <c r="BP108" s="339">
        <f t="shared" si="51"/>
        <v>165.73633333333333</v>
      </c>
      <c r="BQ108" s="339">
        <f t="shared" si="51"/>
        <v>165.73633333333333</v>
      </c>
      <c r="BR108" s="339">
        <f t="shared" si="51"/>
        <v>165.73633333333333</v>
      </c>
      <c r="BS108" s="339">
        <f t="shared" si="51"/>
        <v>165.73633333333333</v>
      </c>
      <c r="BT108" s="339">
        <f t="shared" si="51"/>
        <v>165.73633333333333</v>
      </c>
      <c r="BU108" s="339">
        <f t="shared" si="51"/>
        <v>165.73633333333333</v>
      </c>
      <c r="BV108" s="339">
        <f t="shared" si="51"/>
        <v>165.73633333333333</v>
      </c>
      <c r="BW108" s="339">
        <f t="shared" si="52"/>
        <v>165.73633333333333</v>
      </c>
      <c r="BX108" s="339">
        <f t="shared" si="52"/>
        <v>165.73633333333333</v>
      </c>
      <c r="BY108" s="339">
        <f t="shared" si="52"/>
        <v>165.73633333333333</v>
      </c>
      <c r="BZ108" s="339">
        <f t="shared" si="52"/>
        <v>165.73633333333333</v>
      </c>
      <c r="CA108" s="339">
        <f t="shared" si="52"/>
        <v>165.73633333333333</v>
      </c>
      <c r="CB108" s="339">
        <f t="shared" si="52"/>
        <v>165.73633333333333</v>
      </c>
      <c r="CC108" s="339">
        <f t="shared" si="52"/>
        <v>165.73633333333333</v>
      </c>
      <c r="CD108" s="339">
        <f t="shared" si="52"/>
        <v>165.73633333333333</v>
      </c>
      <c r="CE108" s="339">
        <f t="shared" si="52"/>
        <v>165.73633333333333</v>
      </c>
      <c r="CF108" s="339">
        <f t="shared" si="52"/>
        <v>165.73633333333333</v>
      </c>
      <c r="CG108" s="339">
        <f t="shared" si="52"/>
        <v>165.73633333333333</v>
      </c>
      <c r="CH108" s="339">
        <f t="shared" si="53"/>
        <v>165.73633333333333</v>
      </c>
      <c r="CI108" s="339">
        <f t="shared" si="53"/>
        <v>165.73633333333333</v>
      </c>
      <c r="CJ108" s="339">
        <f t="shared" si="53"/>
        <v>165.73633333333333</v>
      </c>
      <c r="CK108" s="339">
        <f t="shared" si="53"/>
        <v>165.73633333333333</v>
      </c>
      <c r="CL108" s="339">
        <f t="shared" si="53"/>
        <v>0</v>
      </c>
      <c r="CM108" s="339">
        <f t="shared" si="53"/>
        <v>0</v>
      </c>
      <c r="CN108" s="339">
        <f t="shared" si="53"/>
        <v>0</v>
      </c>
      <c r="CO108" s="339">
        <f t="shared" si="53"/>
        <v>0</v>
      </c>
      <c r="CP108" s="339">
        <f t="shared" si="53"/>
        <v>0</v>
      </c>
      <c r="CQ108" s="339">
        <f t="shared" si="53"/>
        <v>0</v>
      </c>
    </row>
    <row r="109" spans="2:95" ht="15.4">
      <c r="B109" s="456"/>
      <c r="C109" s="456"/>
      <c r="D109" s="403">
        <v>30651.79</v>
      </c>
      <c r="E109" s="403">
        <f t="shared" si="40"/>
        <v>638.57895833333339</v>
      </c>
      <c r="F109" s="403">
        <f t="shared" si="41"/>
        <v>4</v>
      </c>
      <c r="G109" s="403">
        <v>48</v>
      </c>
      <c r="H109" s="404">
        <v>43921</v>
      </c>
      <c r="I109" s="404">
        <f t="shared" si="42"/>
        <v>45381</v>
      </c>
      <c r="J109" s="459"/>
      <c r="AD109" s="339">
        <f t="shared" si="49"/>
        <v>638.57895833333339</v>
      </c>
      <c r="AE109" s="339">
        <f t="shared" si="49"/>
        <v>638.57895833333339</v>
      </c>
      <c r="AF109" s="339">
        <f t="shared" si="49"/>
        <v>638.57895833333339</v>
      </c>
      <c r="AG109" s="339">
        <f t="shared" si="49"/>
        <v>638.57895833333339</v>
      </c>
      <c r="AH109" s="339">
        <f t="shared" si="49"/>
        <v>638.57895833333339</v>
      </c>
      <c r="AI109" s="339">
        <f t="shared" si="49"/>
        <v>638.57895833333339</v>
      </c>
      <c r="AJ109" s="339">
        <f t="shared" si="49"/>
        <v>638.57895833333339</v>
      </c>
      <c r="AK109" s="339">
        <f t="shared" si="49"/>
        <v>638.57895833333339</v>
      </c>
      <c r="AL109" s="339">
        <f t="shared" si="49"/>
        <v>638.57895833333339</v>
      </c>
      <c r="AM109" s="339">
        <f t="shared" si="49"/>
        <v>638.57895833333339</v>
      </c>
      <c r="AN109" s="339">
        <f t="shared" si="49"/>
        <v>638.57895833333339</v>
      </c>
      <c r="AO109" s="339">
        <f t="shared" si="49"/>
        <v>638.57895833333339</v>
      </c>
      <c r="AP109" s="339">
        <f t="shared" si="49"/>
        <v>638.57895833333339</v>
      </c>
      <c r="AQ109" s="339">
        <f t="shared" si="50"/>
        <v>638.57895833333339</v>
      </c>
      <c r="AR109" s="339">
        <f t="shared" si="50"/>
        <v>638.57895833333339</v>
      </c>
      <c r="AS109" s="339">
        <f t="shared" si="50"/>
        <v>638.57895833333339</v>
      </c>
      <c r="AT109" s="339">
        <f t="shared" si="50"/>
        <v>638.57895833333339</v>
      </c>
      <c r="AU109" s="339">
        <f t="shared" si="50"/>
        <v>638.57895833333339</v>
      </c>
      <c r="AV109" s="339">
        <f t="shared" si="50"/>
        <v>638.57895833333339</v>
      </c>
      <c r="AW109" s="339">
        <f t="shared" si="50"/>
        <v>638.57895833333339</v>
      </c>
      <c r="AX109" s="339">
        <f t="shared" si="50"/>
        <v>638.57895833333339</v>
      </c>
      <c r="AY109" s="339">
        <f t="shared" si="50"/>
        <v>638.57895833333339</v>
      </c>
      <c r="AZ109" s="339">
        <f t="shared" si="50"/>
        <v>638.57895833333339</v>
      </c>
      <c r="BA109" s="339">
        <f t="shared" si="50"/>
        <v>638.57895833333339</v>
      </c>
      <c r="BB109" s="339">
        <f t="shared" si="50"/>
        <v>638.57895833333339</v>
      </c>
      <c r="BC109" s="339">
        <f t="shared" si="50"/>
        <v>638.57895833333339</v>
      </c>
      <c r="BD109" s="339">
        <f t="shared" si="50"/>
        <v>638.57895833333339</v>
      </c>
      <c r="BE109" s="339">
        <f t="shared" si="50"/>
        <v>638.57895833333339</v>
      </c>
      <c r="BF109" s="339">
        <f t="shared" si="50"/>
        <v>638.57895833333339</v>
      </c>
      <c r="BG109" s="339">
        <f t="shared" si="51"/>
        <v>638.57895833333339</v>
      </c>
      <c r="BH109" s="339">
        <f t="shared" si="51"/>
        <v>638.57895833333339</v>
      </c>
      <c r="BI109" s="339">
        <f t="shared" si="51"/>
        <v>638.57895833333339</v>
      </c>
      <c r="BJ109" s="339">
        <f t="shared" si="51"/>
        <v>638.57895833333339</v>
      </c>
      <c r="BK109" s="339">
        <f t="shared" si="51"/>
        <v>638.57895833333339</v>
      </c>
      <c r="BL109" s="339">
        <f t="shared" si="51"/>
        <v>638.57895833333339</v>
      </c>
      <c r="BM109" s="339">
        <f t="shared" si="51"/>
        <v>638.57895833333339</v>
      </c>
      <c r="BN109" s="339">
        <f t="shared" si="51"/>
        <v>638.57895833333339</v>
      </c>
      <c r="BO109" s="339">
        <f t="shared" si="51"/>
        <v>638.57895833333339</v>
      </c>
      <c r="BP109" s="339">
        <f t="shared" si="51"/>
        <v>638.57895833333339</v>
      </c>
      <c r="BQ109" s="339">
        <f t="shared" si="51"/>
        <v>638.57895833333339</v>
      </c>
      <c r="BR109" s="339">
        <f t="shared" si="51"/>
        <v>638.57895833333339</v>
      </c>
      <c r="BS109" s="339">
        <f t="shared" si="51"/>
        <v>638.57895833333339</v>
      </c>
      <c r="BT109" s="339">
        <f t="shared" si="51"/>
        <v>638.57895833333339</v>
      </c>
      <c r="BU109" s="339">
        <f t="shared" si="51"/>
        <v>638.57895833333339</v>
      </c>
      <c r="BV109" s="339">
        <f t="shared" si="51"/>
        <v>638.57895833333339</v>
      </c>
      <c r="BW109" s="339">
        <f t="shared" si="52"/>
        <v>638.57895833333339</v>
      </c>
      <c r="BX109" s="339">
        <f t="shared" si="52"/>
        <v>638.57895833333339</v>
      </c>
      <c r="BY109" s="339">
        <f t="shared" si="52"/>
        <v>638.57895833333339</v>
      </c>
      <c r="BZ109" s="339">
        <f t="shared" si="52"/>
        <v>0</v>
      </c>
      <c r="CA109" s="339">
        <f t="shared" si="52"/>
        <v>0</v>
      </c>
      <c r="CB109" s="339">
        <f t="shared" si="52"/>
        <v>0</v>
      </c>
      <c r="CC109" s="339">
        <f t="shared" si="52"/>
        <v>0</v>
      </c>
      <c r="CD109" s="339">
        <f t="shared" si="52"/>
        <v>0</v>
      </c>
      <c r="CE109" s="339">
        <f t="shared" si="52"/>
        <v>0</v>
      </c>
      <c r="CF109" s="339">
        <f t="shared" si="52"/>
        <v>0</v>
      </c>
      <c r="CG109" s="339">
        <f t="shared" si="52"/>
        <v>0</v>
      </c>
      <c r="CH109" s="339">
        <f t="shared" si="53"/>
        <v>0</v>
      </c>
      <c r="CI109" s="339">
        <f t="shared" si="53"/>
        <v>0</v>
      </c>
      <c r="CJ109" s="339">
        <f t="shared" si="53"/>
        <v>0</v>
      </c>
      <c r="CK109" s="339">
        <f t="shared" si="53"/>
        <v>0</v>
      </c>
      <c r="CL109" s="339">
        <f t="shared" si="53"/>
        <v>0</v>
      </c>
      <c r="CM109" s="339">
        <f t="shared" si="53"/>
        <v>0</v>
      </c>
      <c r="CN109" s="339">
        <f t="shared" si="53"/>
        <v>0</v>
      </c>
      <c r="CO109" s="339">
        <f t="shared" si="53"/>
        <v>0</v>
      </c>
      <c r="CP109" s="339">
        <f t="shared" si="53"/>
        <v>0</v>
      </c>
      <c r="CQ109" s="339">
        <f t="shared" si="53"/>
        <v>0</v>
      </c>
    </row>
    <row r="110" spans="2:95" ht="15.4">
      <c r="B110" s="456"/>
      <c r="C110" s="456"/>
      <c r="D110" s="403">
        <v>37677.97</v>
      </c>
      <c r="E110" s="403">
        <f t="shared" si="40"/>
        <v>627.96616666666671</v>
      </c>
      <c r="F110" s="403">
        <f t="shared" si="41"/>
        <v>5</v>
      </c>
      <c r="G110" s="403">
        <v>60</v>
      </c>
      <c r="H110" s="404">
        <v>43921</v>
      </c>
      <c r="I110" s="404">
        <f t="shared" si="42"/>
        <v>45746</v>
      </c>
      <c r="J110" s="459"/>
      <c r="AD110" s="339">
        <f t="shared" si="49"/>
        <v>627.96616666666671</v>
      </c>
      <c r="AE110" s="339">
        <f t="shared" si="49"/>
        <v>627.96616666666671</v>
      </c>
      <c r="AF110" s="339">
        <f t="shared" si="49"/>
        <v>627.96616666666671</v>
      </c>
      <c r="AG110" s="339">
        <f t="shared" si="49"/>
        <v>627.96616666666671</v>
      </c>
      <c r="AH110" s="339">
        <f t="shared" si="49"/>
        <v>627.96616666666671</v>
      </c>
      <c r="AI110" s="339">
        <f t="shared" si="49"/>
        <v>627.96616666666671</v>
      </c>
      <c r="AJ110" s="339">
        <f t="shared" si="49"/>
        <v>627.96616666666671</v>
      </c>
      <c r="AK110" s="339">
        <f t="shared" si="49"/>
        <v>627.96616666666671</v>
      </c>
      <c r="AL110" s="339">
        <f t="shared" si="49"/>
        <v>627.96616666666671</v>
      </c>
      <c r="AM110" s="339">
        <f t="shared" si="49"/>
        <v>627.96616666666671</v>
      </c>
      <c r="AN110" s="339">
        <f t="shared" si="49"/>
        <v>627.96616666666671</v>
      </c>
      <c r="AO110" s="339">
        <f t="shared" si="49"/>
        <v>627.96616666666671</v>
      </c>
      <c r="AP110" s="339">
        <f t="shared" si="49"/>
        <v>627.96616666666671</v>
      </c>
      <c r="AQ110" s="339">
        <f t="shared" si="50"/>
        <v>627.96616666666671</v>
      </c>
      <c r="AR110" s="339">
        <f t="shared" si="50"/>
        <v>627.96616666666671</v>
      </c>
      <c r="AS110" s="339">
        <f t="shared" si="50"/>
        <v>627.96616666666671</v>
      </c>
      <c r="AT110" s="339">
        <f t="shared" si="50"/>
        <v>627.96616666666671</v>
      </c>
      <c r="AU110" s="339">
        <f t="shared" si="50"/>
        <v>627.96616666666671</v>
      </c>
      <c r="AV110" s="339">
        <f t="shared" si="50"/>
        <v>627.96616666666671</v>
      </c>
      <c r="AW110" s="339">
        <f t="shared" si="50"/>
        <v>627.96616666666671</v>
      </c>
      <c r="AX110" s="339">
        <f t="shared" si="50"/>
        <v>627.96616666666671</v>
      </c>
      <c r="AY110" s="339">
        <f t="shared" si="50"/>
        <v>627.96616666666671</v>
      </c>
      <c r="AZ110" s="339">
        <f t="shared" si="50"/>
        <v>627.96616666666671</v>
      </c>
      <c r="BA110" s="339">
        <f t="shared" si="50"/>
        <v>627.96616666666671</v>
      </c>
      <c r="BB110" s="339">
        <f t="shared" si="50"/>
        <v>627.96616666666671</v>
      </c>
      <c r="BC110" s="339">
        <f t="shared" si="50"/>
        <v>627.96616666666671</v>
      </c>
      <c r="BD110" s="339">
        <f t="shared" si="50"/>
        <v>627.96616666666671</v>
      </c>
      <c r="BE110" s="339">
        <f t="shared" si="50"/>
        <v>627.96616666666671</v>
      </c>
      <c r="BF110" s="339">
        <f t="shared" si="50"/>
        <v>627.96616666666671</v>
      </c>
      <c r="BG110" s="339">
        <f t="shared" si="51"/>
        <v>627.96616666666671</v>
      </c>
      <c r="BH110" s="339">
        <f t="shared" si="51"/>
        <v>627.96616666666671</v>
      </c>
      <c r="BI110" s="339">
        <f t="shared" si="51"/>
        <v>627.96616666666671</v>
      </c>
      <c r="BJ110" s="339">
        <f t="shared" si="51"/>
        <v>627.96616666666671</v>
      </c>
      <c r="BK110" s="339">
        <f t="shared" si="51"/>
        <v>627.96616666666671</v>
      </c>
      <c r="BL110" s="339">
        <f t="shared" si="51"/>
        <v>627.96616666666671</v>
      </c>
      <c r="BM110" s="339">
        <f t="shared" si="51"/>
        <v>627.96616666666671</v>
      </c>
      <c r="BN110" s="339">
        <f t="shared" si="51"/>
        <v>627.96616666666671</v>
      </c>
      <c r="BO110" s="339">
        <f t="shared" si="51"/>
        <v>627.96616666666671</v>
      </c>
      <c r="BP110" s="339">
        <f t="shared" si="51"/>
        <v>627.96616666666671</v>
      </c>
      <c r="BQ110" s="339">
        <f t="shared" si="51"/>
        <v>627.96616666666671</v>
      </c>
      <c r="BR110" s="339">
        <f t="shared" si="51"/>
        <v>627.96616666666671</v>
      </c>
      <c r="BS110" s="339">
        <f t="shared" si="51"/>
        <v>627.96616666666671</v>
      </c>
      <c r="BT110" s="339">
        <f t="shared" si="51"/>
        <v>627.96616666666671</v>
      </c>
      <c r="BU110" s="339">
        <f t="shared" si="51"/>
        <v>627.96616666666671</v>
      </c>
      <c r="BV110" s="339">
        <f t="shared" si="51"/>
        <v>627.96616666666671</v>
      </c>
      <c r="BW110" s="339">
        <f t="shared" si="52"/>
        <v>627.96616666666671</v>
      </c>
      <c r="BX110" s="339">
        <f t="shared" si="52"/>
        <v>627.96616666666671</v>
      </c>
      <c r="BY110" s="339">
        <f t="shared" si="52"/>
        <v>627.96616666666671</v>
      </c>
      <c r="BZ110" s="339">
        <f t="shared" si="52"/>
        <v>627.96616666666671</v>
      </c>
      <c r="CA110" s="339">
        <f t="shared" si="52"/>
        <v>627.96616666666671</v>
      </c>
      <c r="CB110" s="339">
        <f t="shared" si="52"/>
        <v>627.96616666666671</v>
      </c>
      <c r="CC110" s="339">
        <f t="shared" si="52"/>
        <v>627.96616666666671</v>
      </c>
      <c r="CD110" s="339">
        <f t="shared" si="52"/>
        <v>627.96616666666671</v>
      </c>
      <c r="CE110" s="339">
        <f t="shared" si="52"/>
        <v>627.96616666666671</v>
      </c>
      <c r="CF110" s="339">
        <f t="shared" si="52"/>
        <v>627.96616666666671</v>
      </c>
      <c r="CG110" s="339">
        <f t="shared" si="52"/>
        <v>627.96616666666671</v>
      </c>
      <c r="CH110" s="339">
        <f t="shared" si="52"/>
        <v>627.96616666666671</v>
      </c>
      <c r="CI110" s="339">
        <f t="shared" si="52"/>
        <v>627.96616666666671</v>
      </c>
      <c r="CJ110" s="339">
        <f t="shared" si="52"/>
        <v>627.96616666666671</v>
      </c>
      <c r="CK110" s="339">
        <f t="shared" si="52"/>
        <v>627.96616666666671</v>
      </c>
      <c r="CL110" s="339">
        <f t="shared" si="52"/>
        <v>0</v>
      </c>
      <c r="CM110" s="339">
        <f t="shared" si="53"/>
        <v>0</v>
      </c>
      <c r="CN110" s="339">
        <f t="shared" si="53"/>
        <v>0</v>
      </c>
      <c r="CO110" s="339">
        <f t="shared" si="53"/>
        <v>0</v>
      </c>
      <c r="CP110" s="339">
        <f t="shared" si="53"/>
        <v>0</v>
      </c>
      <c r="CQ110" s="339">
        <f t="shared" si="53"/>
        <v>0</v>
      </c>
    </row>
    <row r="111" spans="2:95" ht="15.4">
      <c r="B111" s="456"/>
      <c r="C111" s="456"/>
      <c r="D111" s="403">
        <v>1700</v>
      </c>
      <c r="E111" s="403">
        <f t="shared" si="40"/>
        <v>47.222222222222221</v>
      </c>
      <c r="F111" s="403">
        <f t="shared" si="41"/>
        <v>3</v>
      </c>
      <c r="G111" s="403">
        <v>36</v>
      </c>
      <c r="H111" s="404">
        <v>43921</v>
      </c>
      <c r="I111" s="404">
        <f t="shared" si="42"/>
        <v>45016</v>
      </c>
      <c r="J111" s="459"/>
      <c r="AD111" s="339">
        <f t="shared" si="49"/>
        <v>47.222222222222221</v>
      </c>
      <c r="AE111" s="339">
        <f t="shared" si="49"/>
        <v>47.222222222222221</v>
      </c>
      <c r="AF111" s="339">
        <f t="shared" si="49"/>
        <v>47.222222222222221</v>
      </c>
      <c r="AG111" s="339">
        <f t="shared" si="49"/>
        <v>47.222222222222221</v>
      </c>
      <c r="AH111" s="339">
        <f t="shared" si="49"/>
        <v>47.222222222222221</v>
      </c>
      <c r="AI111" s="339">
        <f t="shared" si="49"/>
        <v>47.222222222222221</v>
      </c>
      <c r="AJ111" s="339">
        <f t="shared" si="49"/>
        <v>47.222222222222221</v>
      </c>
      <c r="AK111" s="339">
        <f t="shared" si="49"/>
        <v>47.222222222222221</v>
      </c>
      <c r="AL111" s="339">
        <f t="shared" si="49"/>
        <v>47.222222222222221</v>
      </c>
      <c r="AM111" s="339">
        <f t="shared" si="49"/>
        <v>47.222222222222221</v>
      </c>
      <c r="AN111" s="339">
        <f t="shared" si="49"/>
        <v>47.222222222222221</v>
      </c>
      <c r="AO111" s="339">
        <f t="shared" si="49"/>
        <v>47.222222222222221</v>
      </c>
      <c r="AP111" s="339">
        <f t="shared" si="49"/>
        <v>47.222222222222221</v>
      </c>
      <c r="AQ111" s="339">
        <f t="shared" si="50"/>
        <v>47.222222222222221</v>
      </c>
      <c r="AR111" s="339">
        <f t="shared" si="50"/>
        <v>47.222222222222221</v>
      </c>
      <c r="AS111" s="339">
        <f t="shared" si="50"/>
        <v>47.222222222222221</v>
      </c>
      <c r="AT111" s="339">
        <f t="shared" si="50"/>
        <v>47.222222222222221</v>
      </c>
      <c r="AU111" s="339">
        <f t="shared" si="50"/>
        <v>47.222222222222221</v>
      </c>
      <c r="AV111" s="339">
        <f t="shared" si="50"/>
        <v>47.222222222222221</v>
      </c>
      <c r="AW111" s="339">
        <f t="shared" si="50"/>
        <v>47.222222222222221</v>
      </c>
      <c r="AX111" s="339">
        <f t="shared" si="50"/>
        <v>47.222222222222221</v>
      </c>
      <c r="AY111" s="339">
        <f t="shared" si="50"/>
        <v>47.222222222222221</v>
      </c>
      <c r="AZ111" s="339">
        <f t="shared" si="50"/>
        <v>47.222222222222221</v>
      </c>
      <c r="BA111" s="339">
        <f t="shared" si="50"/>
        <v>47.222222222222221</v>
      </c>
      <c r="BB111" s="339">
        <f t="shared" si="50"/>
        <v>47.222222222222221</v>
      </c>
      <c r="BC111" s="339">
        <f t="shared" si="50"/>
        <v>47.222222222222221</v>
      </c>
      <c r="BD111" s="339">
        <f t="shared" si="50"/>
        <v>47.222222222222221</v>
      </c>
      <c r="BE111" s="339">
        <f t="shared" si="50"/>
        <v>47.222222222222221</v>
      </c>
      <c r="BF111" s="339">
        <f t="shared" si="50"/>
        <v>47.222222222222221</v>
      </c>
      <c r="BG111" s="339">
        <f t="shared" si="51"/>
        <v>47.222222222222221</v>
      </c>
      <c r="BH111" s="339">
        <f t="shared" si="51"/>
        <v>47.222222222222221</v>
      </c>
      <c r="BI111" s="339">
        <f t="shared" si="51"/>
        <v>47.222222222222221</v>
      </c>
      <c r="BJ111" s="339">
        <f t="shared" si="51"/>
        <v>47.222222222222221</v>
      </c>
      <c r="BK111" s="339">
        <f t="shared" si="51"/>
        <v>47.222222222222221</v>
      </c>
      <c r="BL111" s="339">
        <f t="shared" si="51"/>
        <v>47.222222222222221</v>
      </c>
      <c r="BM111" s="339">
        <f t="shared" si="51"/>
        <v>47.222222222222221</v>
      </c>
      <c r="BN111" s="339">
        <f t="shared" si="51"/>
        <v>0</v>
      </c>
      <c r="BO111" s="339">
        <f t="shared" si="51"/>
        <v>0</v>
      </c>
      <c r="BP111" s="339">
        <f t="shared" si="51"/>
        <v>0</v>
      </c>
      <c r="BQ111" s="339">
        <f t="shared" si="51"/>
        <v>0</v>
      </c>
      <c r="BR111" s="339">
        <f t="shared" si="51"/>
        <v>0</v>
      </c>
      <c r="BS111" s="339">
        <f t="shared" si="51"/>
        <v>0</v>
      </c>
      <c r="BT111" s="339">
        <f t="shared" si="51"/>
        <v>0</v>
      </c>
      <c r="BU111" s="339">
        <f t="shared" si="51"/>
        <v>0</v>
      </c>
      <c r="BV111" s="339">
        <f t="shared" si="51"/>
        <v>0</v>
      </c>
      <c r="BW111" s="339">
        <f t="shared" si="52"/>
        <v>0</v>
      </c>
      <c r="BX111" s="339">
        <f t="shared" si="52"/>
        <v>0</v>
      </c>
      <c r="BY111" s="339">
        <f t="shared" si="52"/>
        <v>0</v>
      </c>
      <c r="BZ111" s="339">
        <f t="shared" si="52"/>
        <v>0</v>
      </c>
      <c r="CA111" s="339">
        <f t="shared" si="52"/>
        <v>0</v>
      </c>
      <c r="CB111" s="339">
        <f t="shared" si="52"/>
        <v>0</v>
      </c>
      <c r="CC111" s="339">
        <f t="shared" si="52"/>
        <v>0</v>
      </c>
      <c r="CD111" s="339">
        <f t="shared" si="52"/>
        <v>0</v>
      </c>
      <c r="CE111" s="339">
        <f t="shared" si="52"/>
        <v>0</v>
      </c>
      <c r="CF111" s="339">
        <f t="shared" si="52"/>
        <v>0</v>
      </c>
      <c r="CG111" s="339">
        <f t="shared" si="52"/>
        <v>0</v>
      </c>
      <c r="CH111" s="339">
        <f t="shared" si="52"/>
        <v>0</v>
      </c>
      <c r="CI111" s="339">
        <f t="shared" si="52"/>
        <v>0</v>
      </c>
      <c r="CJ111" s="339">
        <f t="shared" si="52"/>
        <v>0</v>
      </c>
      <c r="CK111" s="339">
        <f t="shared" si="52"/>
        <v>0</v>
      </c>
      <c r="CL111" s="339">
        <f t="shared" si="52"/>
        <v>0</v>
      </c>
      <c r="CM111" s="339">
        <f t="shared" si="53"/>
        <v>0</v>
      </c>
      <c r="CN111" s="339">
        <f t="shared" si="53"/>
        <v>0</v>
      </c>
      <c r="CO111" s="339">
        <f t="shared" si="53"/>
        <v>0</v>
      </c>
      <c r="CP111" s="339">
        <f t="shared" si="53"/>
        <v>0</v>
      </c>
      <c r="CQ111" s="339">
        <f t="shared" si="53"/>
        <v>0</v>
      </c>
    </row>
    <row r="112" spans="2:95" ht="15.4">
      <c r="B112" s="456"/>
      <c r="C112" s="456"/>
      <c r="D112" s="403">
        <v>34243.99</v>
      </c>
      <c r="E112" s="403">
        <f t="shared" si="40"/>
        <v>570.73316666666665</v>
      </c>
      <c r="F112" s="403">
        <f t="shared" si="41"/>
        <v>5</v>
      </c>
      <c r="G112" s="403">
        <v>60</v>
      </c>
      <c r="H112" s="404">
        <v>44104</v>
      </c>
      <c r="I112" s="404">
        <f t="shared" si="42"/>
        <v>45929</v>
      </c>
      <c r="J112" s="459"/>
      <c r="AJ112" s="339">
        <f t="shared" si="49"/>
        <v>570.73316666666665</v>
      </c>
      <c r="AK112" s="339">
        <f t="shared" si="49"/>
        <v>570.73316666666665</v>
      </c>
      <c r="AL112" s="339">
        <f t="shared" si="49"/>
        <v>570.73316666666665</v>
      </c>
      <c r="AM112" s="339">
        <f t="shared" si="49"/>
        <v>570.73316666666665</v>
      </c>
      <c r="AN112" s="339">
        <f t="shared" si="49"/>
        <v>570.73316666666665</v>
      </c>
      <c r="AO112" s="339">
        <f t="shared" si="49"/>
        <v>570.73316666666665</v>
      </c>
      <c r="AP112" s="339">
        <f t="shared" si="49"/>
        <v>570.73316666666665</v>
      </c>
      <c r="AQ112" s="339">
        <f t="shared" si="50"/>
        <v>570.73316666666665</v>
      </c>
      <c r="AR112" s="339">
        <f t="shared" si="50"/>
        <v>570.73316666666665</v>
      </c>
      <c r="AS112" s="339">
        <f t="shared" si="50"/>
        <v>570.73316666666665</v>
      </c>
      <c r="AT112" s="339">
        <f t="shared" si="50"/>
        <v>570.73316666666665</v>
      </c>
      <c r="AU112" s="339">
        <f t="shared" si="50"/>
        <v>570.73316666666665</v>
      </c>
      <c r="AV112" s="339">
        <f t="shared" si="50"/>
        <v>570.73316666666665</v>
      </c>
      <c r="AW112" s="339">
        <f t="shared" si="50"/>
        <v>570.73316666666665</v>
      </c>
      <c r="AX112" s="339">
        <f t="shared" si="50"/>
        <v>570.73316666666665</v>
      </c>
      <c r="AY112" s="339">
        <f t="shared" si="50"/>
        <v>570.73316666666665</v>
      </c>
      <c r="AZ112" s="339">
        <f t="shared" si="50"/>
        <v>570.73316666666665</v>
      </c>
      <c r="BA112" s="339">
        <f t="shared" si="50"/>
        <v>570.73316666666665</v>
      </c>
      <c r="BB112" s="339">
        <f t="shared" si="50"/>
        <v>570.73316666666665</v>
      </c>
      <c r="BC112" s="339">
        <f t="shared" si="50"/>
        <v>570.73316666666665</v>
      </c>
      <c r="BD112" s="339">
        <f t="shared" si="50"/>
        <v>570.73316666666665</v>
      </c>
      <c r="BE112" s="339">
        <f t="shared" si="50"/>
        <v>570.73316666666665</v>
      </c>
      <c r="BF112" s="339">
        <f t="shared" si="50"/>
        <v>570.73316666666665</v>
      </c>
      <c r="BG112" s="339">
        <f t="shared" si="51"/>
        <v>570.73316666666665</v>
      </c>
      <c r="BH112" s="339">
        <f t="shared" si="51"/>
        <v>570.73316666666665</v>
      </c>
      <c r="BI112" s="339">
        <f t="shared" si="51"/>
        <v>570.73316666666665</v>
      </c>
      <c r="BJ112" s="339">
        <f t="shared" si="51"/>
        <v>570.73316666666665</v>
      </c>
      <c r="BK112" s="339">
        <f t="shared" si="51"/>
        <v>570.73316666666665</v>
      </c>
      <c r="BL112" s="339">
        <f t="shared" si="51"/>
        <v>570.73316666666665</v>
      </c>
      <c r="BM112" s="339">
        <f t="shared" si="51"/>
        <v>570.73316666666665</v>
      </c>
      <c r="BN112" s="339">
        <f t="shared" si="51"/>
        <v>570.73316666666665</v>
      </c>
      <c r="BO112" s="339">
        <f t="shared" si="51"/>
        <v>570.73316666666665</v>
      </c>
      <c r="BP112" s="339">
        <f t="shared" si="51"/>
        <v>570.73316666666665</v>
      </c>
      <c r="BQ112" s="339">
        <f t="shared" si="51"/>
        <v>570.73316666666665</v>
      </c>
      <c r="BR112" s="339">
        <f t="shared" si="51"/>
        <v>570.73316666666665</v>
      </c>
      <c r="BS112" s="339">
        <f t="shared" si="51"/>
        <v>570.73316666666665</v>
      </c>
      <c r="BT112" s="339">
        <f t="shared" si="51"/>
        <v>570.73316666666665</v>
      </c>
      <c r="BU112" s="339">
        <f t="shared" si="51"/>
        <v>570.73316666666665</v>
      </c>
      <c r="BV112" s="339">
        <f t="shared" si="51"/>
        <v>570.73316666666665</v>
      </c>
      <c r="BW112" s="339">
        <f t="shared" si="52"/>
        <v>570.73316666666665</v>
      </c>
      <c r="BX112" s="339">
        <f t="shared" si="52"/>
        <v>570.73316666666665</v>
      </c>
      <c r="BY112" s="339">
        <f t="shared" si="52"/>
        <v>570.73316666666665</v>
      </c>
      <c r="BZ112" s="339">
        <f t="shared" si="52"/>
        <v>570.73316666666665</v>
      </c>
      <c r="CA112" s="339">
        <f t="shared" si="52"/>
        <v>570.73316666666665</v>
      </c>
      <c r="CB112" s="339">
        <f t="shared" si="52"/>
        <v>570.73316666666665</v>
      </c>
      <c r="CC112" s="339">
        <f t="shared" si="52"/>
        <v>570.73316666666665</v>
      </c>
      <c r="CD112" s="339">
        <f t="shared" si="52"/>
        <v>570.73316666666665</v>
      </c>
      <c r="CE112" s="339">
        <f t="shared" si="52"/>
        <v>570.73316666666665</v>
      </c>
      <c r="CF112" s="339">
        <f t="shared" si="52"/>
        <v>570.73316666666665</v>
      </c>
      <c r="CG112" s="339">
        <f t="shared" si="52"/>
        <v>570.73316666666665</v>
      </c>
      <c r="CH112" s="339">
        <f t="shared" si="52"/>
        <v>570.73316666666665</v>
      </c>
      <c r="CI112" s="339">
        <f t="shared" si="52"/>
        <v>570.73316666666665</v>
      </c>
      <c r="CJ112" s="339">
        <f t="shared" si="52"/>
        <v>570.73316666666665</v>
      </c>
      <c r="CK112" s="339">
        <f t="shared" si="52"/>
        <v>570.73316666666665</v>
      </c>
      <c r="CL112" s="339">
        <f t="shared" si="52"/>
        <v>570.73316666666665</v>
      </c>
      <c r="CM112" s="339">
        <f t="shared" si="53"/>
        <v>570.73316666666665</v>
      </c>
      <c r="CN112" s="339">
        <f t="shared" si="53"/>
        <v>570.73316666666665</v>
      </c>
      <c r="CO112" s="339">
        <f t="shared" si="53"/>
        <v>570.73316666666665</v>
      </c>
      <c r="CP112" s="339">
        <f t="shared" si="53"/>
        <v>570.73316666666665</v>
      </c>
      <c r="CQ112" s="339">
        <f t="shared" si="53"/>
        <v>570.73316666666665</v>
      </c>
    </row>
    <row r="113" spans="2:95" ht="15.4">
      <c r="B113" s="456"/>
      <c r="C113" s="456"/>
      <c r="D113" s="403">
        <v>65637.679999999993</v>
      </c>
      <c r="E113" s="403">
        <f t="shared" si="40"/>
        <v>1823.2688888888888</v>
      </c>
      <c r="F113" s="403">
        <f t="shared" si="41"/>
        <v>3</v>
      </c>
      <c r="G113" s="403">
        <v>36</v>
      </c>
      <c r="H113" s="404">
        <v>44104</v>
      </c>
      <c r="I113" s="404">
        <f t="shared" si="42"/>
        <v>45199</v>
      </c>
      <c r="J113" s="459"/>
      <c r="AJ113" s="339">
        <f t="shared" si="49"/>
        <v>1823.2688888888888</v>
      </c>
      <c r="AK113" s="339">
        <f t="shared" si="49"/>
        <v>1823.2688888888888</v>
      </c>
      <c r="AL113" s="339">
        <f t="shared" si="49"/>
        <v>1823.2688888888888</v>
      </c>
      <c r="AM113" s="339">
        <f t="shared" si="49"/>
        <v>1823.2688888888888</v>
      </c>
      <c r="AN113" s="339">
        <f t="shared" si="49"/>
        <v>1823.2688888888888</v>
      </c>
      <c r="AO113" s="339">
        <f t="shared" si="49"/>
        <v>1823.2688888888888</v>
      </c>
      <c r="AP113" s="339">
        <f t="shared" si="49"/>
        <v>1823.2688888888888</v>
      </c>
      <c r="AQ113" s="339">
        <f t="shared" si="50"/>
        <v>1823.2688888888888</v>
      </c>
      <c r="AR113" s="339">
        <f t="shared" si="50"/>
        <v>1823.2688888888888</v>
      </c>
      <c r="AS113" s="339">
        <f t="shared" si="50"/>
        <v>1823.2688888888888</v>
      </c>
      <c r="AT113" s="339">
        <f t="shared" si="50"/>
        <v>1823.2688888888888</v>
      </c>
      <c r="AU113" s="339">
        <f t="shared" si="50"/>
        <v>1823.2688888888888</v>
      </c>
      <c r="AV113" s="339">
        <f t="shared" si="50"/>
        <v>1823.2688888888888</v>
      </c>
      <c r="AW113" s="339">
        <f t="shared" si="50"/>
        <v>1823.2688888888888</v>
      </c>
      <c r="AX113" s="339">
        <f t="shared" si="50"/>
        <v>1823.2688888888888</v>
      </c>
      <c r="AY113" s="339">
        <f t="shared" si="50"/>
        <v>1823.2688888888888</v>
      </c>
      <c r="AZ113" s="339">
        <f t="shared" si="50"/>
        <v>1823.2688888888888</v>
      </c>
      <c r="BA113" s="339">
        <f t="shared" si="50"/>
        <v>1823.2688888888888</v>
      </c>
      <c r="BB113" s="339">
        <f t="shared" si="50"/>
        <v>1823.2688888888888</v>
      </c>
      <c r="BC113" s="339">
        <f t="shared" si="50"/>
        <v>1823.2688888888888</v>
      </c>
      <c r="BD113" s="339">
        <f t="shared" si="50"/>
        <v>1823.2688888888888</v>
      </c>
      <c r="BE113" s="339">
        <f t="shared" si="50"/>
        <v>1823.2688888888888</v>
      </c>
      <c r="BF113" s="339">
        <f t="shared" si="50"/>
        <v>1823.2688888888888</v>
      </c>
      <c r="BG113" s="339">
        <f t="shared" si="51"/>
        <v>1823.2688888888888</v>
      </c>
      <c r="BH113" s="339">
        <f t="shared" si="51"/>
        <v>1823.2688888888888</v>
      </c>
      <c r="BI113" s="339">
        <f t="shared" si="51"/>
        <v>1823.2688888888888</v>
      </c>
      <c r="BJ113" s="339">
        <f t="shared" si="51"/>
        <v>1823.2688888888888</v>
      </c>
      <c r="BK113" s="339">
        <f t="shared" si="51"/>
        <v>1823.2688888888888</v>
      </c>
      <c r="BL113" s="339">
        <f t="shared" si="51"/>
        <v>1823.2688888888888</v>
      </c>
      <c r="BM113" s="339">
        <f t="shared" si="51"/>
        <v>1823.2688888888888</v>
      </c>
      <c r="BN113" s="339">
        <f t="shared" si="51"/>
        <v>1823.2688888888888</v>
      </c>
      <c r="BO113" s="339">
        <f t="shared" si="51"/>
        <v>1823.2688888888888</v>
      </c>
      <c r="BP113" s="339">
        <f t="shared" si="51"/>
        <v>1823.2688888888888</v>
      </c>
      <c r="BQ113" s="339">
        <f t="shared" si="51"/>
        <v>1823.2688888888888</v>
      </c>
      <c r="BR113" s="339">
        <f t="shared" si="51"/>
        <v>1823.2688888888888</v>
      </c>
      <c r="BS113" s="339">
        <f t="shared" si="51"/>
        <v>1823.2688888888888</v>
      </c>
      <c r="BT113" s="339">
        <f t="shared" si="51"/>
        <v>0</v>
      </c>
      <c r="BU113" s="339">
        <f t="shared" si="51"/>
        <v>0</v>
      </c>
      <c r="BV113" s="339">
        <f t="shared" si="51"/>
        <v>0</v>
      </c>
      <c r="BW113" s="339">
        <f t="shared" si="52"/>
        <v>0</v>
      </c>
      <c r="BX113" s="339">
        <f t="shared" si="52"/>
        <v>0</v>
      </c>
      <c r="BY113" s="339">
        <f t="shared" si="52"/>
        <v>0</v>
      </c>
      <c r="BZ113" s="339">
        <f t="shared" si="52"/>
        <v>0</v>
      </c>
      <c r="CA113" s="339">
        <f t="shared" si="52"/>
        <v>0</v>
      </c>
      <c r="CB113" s="339">
        <f t="shared" si="52"/>
        <v>0</v>
      </c>
      <c r="CC113" s="339">
        <f t="shared" si="52"/>
        <v>0</v>
      </c>
      <c r="CD113" s="339">
        <f t="shared" si="52"/>
        <v>0</v>
      </c>
      <c r="CE113" s="339">
        <f t="shared" si="52"/>
        <v>0</v>
      </c>
      <c r="CF113" s="339">
        <f t="shared" si="52"/>
        <v>0</v>
      </c>
      <c r="CG113" s="339">
        <f t="shared" si="52"/>
        <v>0</v>
      </c>
      <c r="CH113" s="339">
        <f t="shared" si="52"/>
        <v>0</v>
      </c>
      <c r="CI113" s="339">
        <f t="shared" si="52"/>
        <v>0</v>
      </c>
      <c r="CJ113" s="339">
        <f t="shared" si="52"/>
        <v>0</v>
      </c>
      <c r="CK113" s="339">
        <f t="shared" si="52"/>
        <v>0</v>
      </c>
      <c r="CL113" s="339">
        <f t="shared" si="52"/>
        <v>0</v>
      </c>
      <c r="CM113" s="339">
        <f t="shared" si="53"/>
        <v>0</v>
      </c>
      <c r="CN113" s="339">
        <f t="shared" si="53"/>
        <v>0</v>
      </c>
      <c r="CO113" s="339">
        <f t="shared" si="53"/>
        <v>0</v>
      </c>
      <c r="CP113" s="339">
        <f t="shared" si="53"/>
        <v>0</v>
      </c>
      <c r="CQ113" s="339">
        <f t="shared" si="53"/>
        <v>0</v>
      </c>
    </row>
    <row r="115" spans="2:95" ht="15.4">
      <c r="B115" s="406" t="s">
        <v>550</v>
      </c>
    </row>
    <row r="116" spans="2:95" ht="15.4">
      <c r="B116" s="456"/>
      <c r="C116" s="456"/>
      <c r="D116" s="403">
        <v>149000</v>
      </c>
      <c r="E116" s="403">
        <f t="shared" ref="E116:E125" si="54">D116/G116</f>
        <v>2483.3333333333335</v>
      </c>
      <c r="F116" s="403">
        <f t="shared" ref="F116:F125" si="55">G116/12</f>
        <v>5</v>
      </c>
      <c r="G116" s="403">
        <v>60</v>
      </c>
      <c r="H116" s="404">
        <v>44104</v>
      </c>
      <c r="I116" s="404">
        <f t="shared" ref="I116:I125" si="56">H116+F116*365</f>
        <v>45929</v>
      </c>
      <c r="J116" s="459"/>
      <c r="AJ116" s="339">
        <f t="shared" ref="AJ116:AY125" si="57">IF($I116&gt;AJ$7-30,$E116,0)</f>
        <v>2483.3333333333335</v>
      </c>
      <c r="AK116" s="339">
        <f t="shared" si="57"/>
        <v>2483.3333333333335</v>
      </c>
      <c r="AL116" s="339">
        <f t="shared" si="57"/>
        <v>2483.3333333333335</v>
      </c>
      <c r="AM116" s="339">
        <f t="shared" si="57"/>
        <v>2483.3333333333335</v>
      </c>
      <c r="AN116" s="339">
        <f t="shared" si="57"/>
        <v>2483.3333333333335</v>
      </c>
      <c r="AO116" s="339">
        <f t="shared" si="57"/>
        <v>2483.3333333333335</v>
      </c>
      <c r="AP116" s="339">
        <f t="shared" si="57"/>
        <v>2483.3333333333335</v>
      </c>
      <c r="AQ116" s="339">
        <f t="shared" si="57"/>
        <v>2483.3333333333335</v>
      </c>
      <c r="AR116" s="339">
        <f t="shared" si="57"/>
        <v>2483.3333333333335</v>
      </c>
      <c r="AS116" s="339">
        <f t="shared" si="57"/>
        <v>2483.3333333333335</v>
      </c>
      <c r="AT116" s="339">
        <f t="shared" si="57"/>
        <v>2483.3333333333335</v>
      </c>
      <c r="AU116" s="339">
        <f t="shared" si="57"/>
        <v>2483.3333333333335</v>
      </c>
      <c r="AV116" s="339">
        <f t="shared" si="57"/>
        <v>2483.3333333333335</v>
      </c>
      <c r="AW116" s="339">
        <f t="shared" si="57"/>
        <v>2483.3333333333335</v>
      </c>
      <c r="AX116" s="339">
        <f t="shared" si="57"/>
        <v>2483.3333333333335</v>
      </c>
      <c r="AY116" s="339">
        <f t="shared" si="57"/>
        <v>2483.3333333333335</v>
      </c>
      <c r="AZ116" s="339">
        <f t="shared" ref="AZ116:BO125" si="58">IF($I116&gt;AZ$7-30,$E116,0)</f>
        <v>2483.3333333333335</v>
      </c>
      <c r="BA116" s="339">
        <f t="shared" si="58"/>
        <v>2483.3333333333335</v>
      </c>
      <c r="BB116" s="339">
        <f t="shared" si="58"/>
        <v>2483.3333333333335</v>
      </c>
      <c r="BC116" s="339">
        <f t="shared" si="58"/>
        <v>2483.3333333333335</v>
      </c>
      <c r="BD116" s="339">
        <f t="shared" si="58"/>
        <v>2483.3333333333335</v>
      </c>
      <c r="BE116" s="339">
        <f t="shared" si="58"/>
        <v>2483.3333333333335</v>
      </c>
      <c r="BF116" s="339">
        <f t="shared" si="58"/>
        <v>2483.3333333333335</v>
      </c>
      <c r="BG116" s="339">
        <f t="shared" si="58"/>
        <v>2483.3333333333335</v>
      </c>
      <c r="BH116" s="339">
        <f t="shared" si="58"/>
        <v>2483.3333333333335</v>
      </c>
      <c r="BI116" s="339">
        <f t="shared" si="58"/>
        <v>2483.3333333333335</v>
      </c>
      <c r="BJ116" s="339">
        <f t="shared" si="58"/>
        <v>2483.3333333333335</v>
      </c>
      <c r="BK116" s="339">
        <f t="shared" si="58"/>
        <v>2483.3333333333335</v>
      </c>
      <c r="BL116" s="339">
        <f t="shared" si="58"/>
        <v>2483.3333333333335</v>
      </c>
      <c r="BM116" s="339">
        <f t="shared" si="58"/>
        <v>2483.3333333333335</v>
      </c>
      <c r="BN116" s="339">
        <f t="shared" si="58"/>
        <v>2483.3333333333335</v>
      </c>
      <c r="BO116" s="339">
        <f t="shared" si="58"/>
        <v>2483.3333333333335</v>
      </c>
      <c r="BP116" s="339">
        <f t="shared" ref="BP116:CE125" si="59">IF($I116&gt;BP$7-30,$E116,0)</f>
        <v>2483.3333333333335</v>
      </c>
      <c r="BQ116" s="339">
        <f t="shared" si="59"/>
        <v>2483.3333333333335</v>
      </c>
      <c r="BR116" s="339">
        <f t="shared" si="59"/>
        <v>2483.3333333333335</v>
      </c>
      <c r="BS116" s="339">
        <f t="shared" si="59"/>
        <v>2483.3333333333335</v>
      </c>
      <c r="BT116" s="339">
        <f t="shared" si="59"/>
        <v>2483.3333333333335</v>
      </c>
      <c r="BU116" s="339">
        <f t="shared" si="59"/>
        <v>2483.3333333333335</v>
      </c>
      <c r="BV116" s="339">
        <f t="shared" si="59"/>
        <v>2483.3333333333335</v>
      </c>
      <c r="BW116" s="339">
        <f t="shared" si="59"/>
        <v>2483.3333333333335</v>
      </c>
      <c r="BX116" s="339">
        <f t="shared" si="59"/>
        <v>2483.3333333333335</v>
      </c>
      <c r="BY116" s="339">
        <f t="shared" si="59"/>
        <v>2483.3333333333335</v>
      </c>
      <c r="BZ116" s="339">
        <f t="shared" si="59"/>
        <v>2483.3333333333335</v>
      </c>
      <c r="CA116" s="339">
        <f t="shared" si="59"/>
        <v>2483.3333333333335</v>
      </c>
      <c r="CB116" s="339">
        <f t="shared" si="59"/>
        <v>2483.3333333333335</v>
      </c>
      <c r="CC116" s="339">
        <f t="shared" si="59"/>
        <v>2483.3333333333335</v>
      </c>
      <c r="CD116" s="339">
        <f t="shared" si="59"/>
        <v>2483.3333333333335</v>
      </c>
      <c r="CE116" s="339">
        <f t="shared" si="59"/>
        <v>2483.3333333333335</v>
      </c>
      <c r="CF116" s="339">
        <f t="shared" ref="CF116:CQ125" si="60">IF($I116&gt;CF$7-30,$E116,0)</f>
        <v>2483.3333333333335</v>
      </c>
      <c r="CG116" s="339">
        <f t="shared" si="60"/>
        <v>2483.3333333333335</v>
      </c>
      <c r="CH116" s="339">
        <f t="shared" si="60"/>
        <v>2483.3333333333335</v>
      </c>
      <c r="CI116" s="339">
        <f t="shared" si="60"/>
        <v>2483.3333333333335</v>
      </c>
      <c r="CJ116" s="339">
        <f t="shared" si="60"/>
        <v>2483.3333333333335</v>
      </c>
      <c r="CK116" s="339">
        <f t="shared" si="60"/>
        <v>2483.3333333333335</v>
      </c>
      <c r="CL116" s="339">
        <f t="shared" si="60"/>
        <v>2483.3333333333335</v>
      </c>
      <c r="CM116" s="339">
        <f t="shared" si="60"/>
        <v>2483.3333333333335</v>
      </c>
      <c r="CN116" s="339">
        <f t="shared" si="60"/>
        <v>2483.3333333333335</v>
      </c>
      <c r="CO116" s="339">
        <f t="shared" si="60"/>
        <v>2483.3333333333335</v>
      </c>
      <c r="CP116" s="339">
        <f t="shared" si="60"/>
        <v>2483.3333333333335</v>
      </c>
      <c r="CQ116" s="339">
        <f t="shared" si="60"/>
        <v>2483.3333333333335</v>
      </c>
    </row>
    <row r="117" spans="2:95" ht="15.4">
      <c r="B117" s="456"/>
      <c r="C117" s="456"/>
      <c r="D117" s="403">
        <v>150000</v>
      </c>
      <c r="E117" s="403">
        <f t="shared" si="54"/>
        <v>4166.666666666667</v>
      </c>
      <c r="F117" s="403">
        <f t="shared" si="55"/>
        <v>3</v>
      </c>
      <c r="G117" s="403">
        <v>36</v>
      </c>
      <c r="H117" s="404">
        <v>44104</v>
      </c>
      <c r="I117" s="404">
        <f t="shared" si="56"/>
        <v>45199</v>
      </c>
      <c r="J117" s="459"/>
      <c r="AJ117" s="339">
        <f t="shared" si="57"/>
        <v>4166.666666666667</v>
      </c>
      <c r="AK117" s="339">
        <f t="shared" si="57"/>
        <v>4166.666666666667</v>
      </c>
      <c r="AL117" s="339">
        <f t="shared" si="57"/>
        <v>4166.666666666667</v>
      </c>
      <c r="AM117" s="339">
        <f t="shared" si="57"/>
        <v>4166.666666666667</v>
      </c>
      <c r="AN117" s="339">
        <f t="shared" si="57"/>
        <v>4166.666666666667</v>
      </c>
      <c r="AO117" s="339">
        <f t="shared" si="57"/>
        <v>4166.666666666667</v>
      </c>
      <c r="AP117" s="339">
        <f t="shared" si="57"/>
        <v>4166.666666666667</v>
      </c>
      <c r="AQ117" s="339">
        <f t="shared" si="57"/>
        <v>4166.666666666667</v>
      </c>
      <c r="AR117" s="339">
        <f t="shared" si="57"/>
        <v>4166.666666666667</v>
      </c>
      <c r="AS117" s="339">
        <f t="shared" si="57"/>
        <v>4166.666666666667</v>
      </c>
      <c r="AT117" s="339">
        <f t="shared" si="57"/>
        <v>4166.666666666667</v>
      </c>
      <c r="AU117" s="339">
        <f t="shared" si="57"/>
        <v>4166.666666666667</v>
      </c>
      <c r="AV117" s="339">
        <f t="shared" si="57"/>
        <v>4166.666666666667</v>
      </c>
      <c r="AW117" s="339">
        <f t="shared" si="57"/>
        <v>4166.666666666667</v>
      </c>
      <c r="AX117" s="339">
        <f t="shared" si="57"/>
        <v>4166.666666666667</v>
      </c>
      <c r="AY117" s="339">
        <f t="shared" si="57"/>
        <v>4166.666666666667</v>
      </c>
      <c r="AZ117" s="339">
        <f t="shared" si="58"/>
        <v>4166.666666666667</v>
      </c>
      <c r="BA117" s="339">
        <f t="shared" si="58"/>
        <v>4166.666666666667</v>
      </c>
      <c r="BB117" s="339">
        <f t="shared" si="58"/>
        <v>4166.666666666667</v>
      </c>
      <c r="BC117" s="339">
        <f t="shared" si="58"/>
        <v>4166.666666666667</v>
      </c>
      <c r="BD117" s="339">
        <f t="shared" si="58"/>
        <v>4166.666666666667</v>
      </c>
      <c r="BE117" s="339">
        <f t="shared" si="58"/>
        <v>4166.666666666667</v>
      </c>
      <c r="BF117" s="339">
        <f t="shared" si="58"/>
        <v>4166.666666666667</v>
      </c>
      <c r="BG117" s="339">
        <f t="shared" si="58"/>
        <v>4166.666666666667</v>
      </c>
      <c r="BH117" s="339">
        <f t="shared" si="58"/>
        <v>4166.666666666667</v>
      </c>
      <c r="BI117" s="339">
        <f t="shared" si="58"/>
        <v>4166.666666666667</v>
      </c>
      <c r="BJ117" s="339">
        <f t="shared" si="58"/>
        <v>4166.666666666667</v>
      </c>
      <c r="BK117" s="339">
        <f t="shared" si="58"/>
        <v>4166.666666666667</v>
      </c>
      <c r="BL117" s="339">
        <f t="shared" si="58"/>
        <v>4166.666666666667</v>
      </c>
      <c r="BM117" s="339">
        <f t="shared" si="58"/>
        <v>4166.666666666667</v>
      </c>
      <c r="BN117" s="339">
        <f t="shared" si="58"/>
        <v>4166.666666666667</v>
      </c>
      <c r="BO117" s="339">
        <f t="shared" si="58"/>
        <v>4166.666666666667</v>
      </c>
      <c r="BP117" s="339">
        <f t="shared" si="59"/>
        <v>4166.666666666667</v>
      </c>
      <c r="BQ117" s="339">
        <f t="shared" si="59"/>
        <v>4166.666666666667</v>
      </c>
      <c r="BR117" s="339">
        <f t="shared" si="59"/>
        <v>4166.666666666667</v>
      </c>
      <c r="BS117" s="339">
        <f t="shared" si="59"/>
        <v>4166.666666666667</v>
      </c>
      <c r="BT117" s="339">
        <f t="shared" si="59"/>
        <v>0</v>
      </c>
      <c r="BU117" s="339">
        <f t="shared" si="59"/>
        <v>0</v>
      </c>
      <c r="BV117" s="339">
        <f t="shared" si="59"/>
        <v>0</v>
      </c>
      <c r="BW117" s="339">
        <f t="shared" si="59"/>
        <v>0</v>
      </c>
      <c r="BX117" s="339">
        <f t="shared" si="59"/>
        <v>0</v>
      </c>
      <c r="BY117" s="339">
        <f t="shared" si="59"/>
        <v>0</v>
      </c>
      <c r="BZ117" s="339">
        <f t="shared" si="59"/>
        <v>0</v>
      </c>
      <c r="CA117" s="339">
        <f t="shared" si="59"/>
        <v>0</v>
      </c>
      <c r="CB117" s="339">
        <f t="shared" si="59"/>
        <v>0</v>
      </c>
      <c r="CC117" s="339">
        <f t="shared" si="59"/>
        <v>0</v>
      </c>
      <c r="CD117" s="339">
        <f t="shared" si="59"/>
        <v>0</v>
      </c>
      <c r="CE117" s="339">
        <f t="shared" si="59"/>
        <v>0</v>
      </c>
      <c r="CF117" s="339">
        <f t="shared" si="60"/>
        <v>0</v>
      </c>
      <c r="CG117" s="339">
        <f t="shared" si="60"/>
        <v>0</v>
      </c>
      <c r="CH117" s="339">
        <f t="shared" si="60"/>
        <v>0</v>
      </c>
      <c r="CI117" s="339">
        <f t="shared" si="60"/>
        <v>0</v>
      </c>
      <c r="CJ117" s="339">
        <f t="shared" si="60"/>
        <v>0</v>
      </c>
      <c r="CK117" s="339">
        <f t="shared" si="60"/>
        <v>0</v>
      </c>
      <c r="CL117" s="339">
        <f t="shared" si="60"/>
        <v>0</v>
      </c>
      <c r="CM117" s="339">
        <f t="shared" si="60"/>
        <v>0</v>
      </c>
      <c r="CN117" s="339">
        <f t="shared" si="60"/>
        <v>0</v>
      </c>
      <c r="CO117" s="339">
        <f t="shared" si="60"/>
        <v>0</v>
      </c>
      <c r="CP117" s="339">
        <f t="shared" si="60"/>
        <v>0</v>
      </c>
      <c r="CQ117" s="339">
        <f t="shared" si="60"/>
        <v>0</v>
      </c>
    </row>
    <row r="118" spans="2:95" ht="15.4">
      <c r="B118" s="456"/>
      <c r="C118" s="456"/>
      <c r="D118" s="403">
        <v>1308000</v>
      </c>
      <c r="E118" s="403">
        <f t="shared" si="54"/>
        <v>13625</v>
      </c>
      <c r="F118" s="403">
        <f t="shared" si="55"/>
        <v>8</v>
      </c>
      <c r="G118" s="403">
        <v>96</v>
      </c>
      <c r="H118" s="404">
        <v>44104</v>
      </c>
      <c r="I118" s="404">
        <f t="shared" si="56"/>
        <v>47024</v>
      </c>
      <c r="J118" s="459"/>
      <c r="AJ118" s="339">
        <f t="shared" si="57"/>
        <v>13625</v>
      </c>
      <c r="AK118" s="339">
        <f t="shared" si="57"/>
        <v>13625</v>
      </c>
      <c r="AL118" s="339">
        <f t="shared" si="57"/>
        <v>13625</v>
      </c>
      <c r="AM118" s="339">
        <f t="shared" si="57"/>
        <v>13625</v>
      </c>
      <c r="AN118" s="339">
        <f t="shared" si="57"/>
        <v>13625</v>
      </c>
      <c r="AO118" s="339">
        <f t="shared" si="57"/>
        <v>13625</v>
      </c>
      <c r="AP118" s="339">
        <f t="shared" si="57"/>
        <v>13625</v>
      </c>
      <c r="AQ118" s="339">
        <f t="shared" si="57"/>
        <v>13625</v>
      </c>
      <c r="AR118" s="339">
        <f t="shared" si="57"/>
        <v>13625</v>
      </c>
      <c r="AS118" s="339">
        <f t="shared" si="57"/>
        <v>13625</v>
      </c>
      <c r="AT118" s="339">
        <f t="shared" si="57"/>
        <v>13625</v>
      </c>
      <c r="AU118" s="339">
        <f t="shared" si="57"/>
        <v>13625</v>
      </c>
      <c r="AV118" s="339">
        <f t="shared" si="57"/>
        <v>13625</v>
      </c>
      <c r="AW118" s="339">
        <f t="shared" si="57"/>
        <v>13625</v>
      </c>
      <c r="AX118" s="339">
        <f t="shared" si="57"/>
        <v>13625</v>
      </c>
      <c r="AY118" s="339">
        <f t="shared" si="57"/>
        <v>13625</v>
      </c>
      <c r="AZ118" s="339">
        <f t="shared" si="58"/>
        <v>13625</v>
      </c>
      <c r="BA118" s="339">
        <f t="shared" si="58"/>
        <v>13625</v>
      </c>
      <c r="BB118" s="339">
        <f t="shared" si="58"/>
        <v>13625</v>
      </c>
      <c r="BC118" s="339">
        <f t="shared" si="58"/>
        <v>13625</v>
      </c>
      <c r="BD118" s="339">
        <f t="shared" si="58"/>
        <v>13625</v>
      </c>
      <c r="BE118" s="339">
        <f t="shared" si="58"/>
        <v>13625</v>
      </c>
      <c r="BF118" s="339">
        <f t="shared" si="58"/>
        <v>13625</v>
      </c>
      <c r="BG118" s="339">
        <f t="shared" si="58"/>
        <v>13625</v>
      </c>
      <c r="BH118" s="339">
        <f t="shared" si="58"/>
        <v>13625</v>
      </c>
      <c r="BI118" s="339">
        <f t="shared" si="58"/>
        <v>13625</v>
      </c>
      <c r="BJ118" s="339">
        <f t="shared" si="58"/>
        <v>13625</v>
      </c>
      <c r="BK118" s="339">
        <f t="shared" si="58"/>
        <v>13625</v>
      </c>
      <c r="BL118" s="339">
        <f t="shared" si="58"/>
        <v>13625</v>
      </c>
      <c r="BM118" s="339">
        <f t="shared" si="58"/>
        <v>13625</v>
      </c>
      <c r="BN118" s="339">
        <f t="shared" si="58"/>
        <v>13625</v>
      </c>
      <c r="BO118" s="339">
        <f t="shared" si="58"/>
        <v>13625</v>
      </c>
      <c r="BP118" s="339">
        <f t="shared" si="59"/>
        <v>13625</v>
      </c>
      <c r="BQ118" s="339">
        <f t="shared" si="59"/>
        <v>13625</v>
      </c>
      <c r="BR118" s="339">
        <f t="shared" si="59"/>
        <v>13625</v>
      </c>
      <c r="BS118" s="339">
        <f t="shared" si="59"/>
        <v>13625</v>
      </c>
      <c r="BT118" s="339">
        <f t="shared" si="59"/>
        <v>13625</v>
      </c>
      <c r="BU118" s="339">
        <f t="shared" si="59"/>
        <v>13625</v>
      </c>
      <c r="BV118" s="339">
        <f t="shared" si="59"/>
        <v>13625</v>
      </c>
      <c r="BW118" s="339">
        <f t="shared" si="59"/>
        <v>13625</v>
      </c>
      <c r="BX118" s="339">
        <f t="shared" si="59"/>
        <v>13625</v>
      </c>
      <c r="BY118" s="339">
        <f t="shared" si="59"/>
        <v>13625</v>
      </c>
      <c r="BZ118" s="339">
        <f t="shared" si="59"/>
        <v>13625</v>
      </c>
      <c r="CA118" s="339">
        <f t="shared" si="59"/>
        <v>13625</v>
      </c>
      <c r="CB118" s="339">
        <f t="shared" si="59"/>
        <v>13625</v>
      </c>
      <c r="CC118" s="339">
        <f t="shared" si="59"/>
        <v>13625</v>
      </c>
      <c r="CD118" s="339">
        <f t="shared" si="59"/>
        <v>13625</v>
      </c>
      <c r="CE118" s="339">
        <f t="shared" si="59"/>
        <v>13625</v>
      </c>
      <c r="CF118" s="339">
        <f t="shared" si="60"/>
        <v>13625</v>
      </c>
      <c r="CG118" s="339">
        <f t="shared" si="60"/>
        <v>13625</v>
      </c>
      <c r="CH118" s="339">
        <f t="shared" si="60"/>
        <v>13625</v>
      </c>
      <c r="CI118" s="339">
        <f t="shared" si="60"/>
        <v>13625</v>
      </c>
      <c r="CJ118" s="339">
        <f t="shared" si="60"/>
        <v>13625</v>
      </c>
      <c r="CK118" s="339">
        <f t="shared" si="60"/>
        <v>13625</v>
      </c>
      <c r="CL118" s="339">
        <f t="shared" si="60"/>
        <v>13625</v>
      </c>
      <c r="CM118" s="339">
        <f t="shared" si="60"/>
        <v>13625</v>
      </c>
      <c r="CN118" s="339">
        <f t="shared" si="60"/>
        <v>13625</v>
      </c>
      <c r="CO118" s="339">
        <f t="shared" si="60"/>
        <v>13625</v>
      </c>
      <c r="CP118" s="339">
        <f t="shared" si="60"/>
        <v>13625</v>
      </c>
      <c r="CQ118" s="339">
        <f t="shared" si="60"/>
        <v>13625</v>
      </c>
    </row>
    <row r="119" spans="2:95" ht="15.4">
      <c r="B119" s="456"/>
      <c r="C119" s="456"/>
      <c r="D119" s="403">
        <v>219000</v>
      </c>
      <c r="E119" s="403">
        <f t="shared" si="54"/>
        <v>3650</v>
      </c>
      <c r="F119" s="403">
        <f t="shared" si="55"/>
        <v>5</v>
      </c>
      <c r="G119" s="403">
        <v>60</v>
      </c>
      <c r="H119" s="404">
        <v>44104</v>
      </c>
      <c r="I119" s="404">
        <f t="shared" si="56"/>
        <v>45929</v>
      </c>
      <c r="J119" s="459"/>
      <c r="AJ119" s="339">
        <f t="shared" si="57"/>
        <v>3650</v>
      </c>
      <c r="AK119" s="339">
        <f t="shared" si="57"/>
        <v>3650</v>
      </c>
      <c r="AL119" s="339">
        <f t="shared" si="57"/>
        <v>3650</v>
      </c>
      <c r="AM119" s="339">
        <f t="shared" si="57"/>
        <v>3650</v>
      </c>
      <c r="AN119" s="339">
        <f t="shared" si="57"/>
        <v>3650</v>
      </c>
      <c r="AO119" s="339">
        <f t="shared" si="57"/>
        <v>3650</v>
      </c>
      <c r="AP119" s="339">
        <f t="shared" si="57"/>
        <v>3650</v>
      </c>
      <c r="AQ119" s="339">
        <f t="shared" si="57"/>
        <v>3650</v>
      </c>
      <c r="AR119" s="339">
        <f t="shared" si="57"/>
        <v>3650</v>
      </c>
      <c r="AS119" s="339">
        <f t="shared" si="57"/>
        <v>3650</v>
      </c>
      <c r="AT119" s="339">
        <f t="shared" si="57"/>
        <v>3650</v>
      </c>
      <c r="AU119" s="339">
        <f t="shared" si="57"/>
        <v>3650</v>
      </c>
      <c r="AV119" s="339">
        <f t="shared" si="57"/>
        <v>3650</v>
      </c>
      <c r="AW119" s="339">
        <f t="shared" si="57"/>
        <v>3650</v>
      </c>
      <c r="AX119" s="339">
        <f t="shared" si="57"/>
        <v>3650</v>
      </c>
      <c r="AY119" s="339">
        <f t="shared" si="57"/>
        <v>3650</v>
      </c>
      <c r="AZ119" s="339">
        <f t="shared" si="58"/>
        <v>3650</v>
      </c>
      <c r="BA119" s="339">
        <f t="shared" si="58"/>
        <v>3650</v>
      </c>
      <c r="BB119" s="339">
        <f t="shared" si="58"/>
        <v>3650</v>
      </c>
      <c r="BC119" s="339">
        <f t="shared" si="58"/>
        <v>3650</v>
      </c>
      <c r="BD119" s="339">
        <f t="shared" si="58"/>
        <v>3650</v>
      </c>
      <c r="BE119" s="339">
        <f t="shared" si="58"/>
        <v>3650</v>
      </c>
      <c r="BF119" s="339">
        <f t="shared" si="58"/>
        <v>3650</v>
      </c>
      <c r="BG119" s="339">
        <f t="shared" si="58"/>
        <v>3650</v>
      </c>
      <c r="BH119" s="339">
        <f t="shared" si="58"/>
        <v>3650</v>
      </c>
      <c r="BI119" s="339">
        <f t="shared" si="58"/>
        <v>3650</v>
      </c>
      <c r="BJ119" s="339">
        <f t="shared" si="58"/>
        <v>3650</v>
      </c>
      <c r="BK119" s="339">
        <f t="shared" si="58"/>
        <v>3650</v>
      </c>
      <c r="BL119" s="339">
        <f t="shared" si="58"/>
        <v>3650</v>
      </c>
      <c r="BM119" s="339">
        <f t="shared" si="58"/>
        <v>3650</v>
      </c>
      <c r="BN119" s="339">
        <f t="shared" si="58"/>
        <v>3650</v>
      </c>
      <c r="BO119" s="339">
        <f t="shared" si="58"/>
        <v>3650</v>
      </c>
      <c r="BP119" s="339">
        <f t="shared" si="59"/>
        <v>3650</v>
      </c>
      <c r="BQ119" s="339">
        <f t="shared" si="59"/>
        <v>3650</v>
      </c>
      <c r="BR119" s="339">
        <f t="shared" si="59"/>
        <v>3650</v>
      </c>
      <c r="BS119" s="339">
        <f t="shared" si="59"/>
        <v>3650</v>
      </c>
      <c r="BT119" s="339">
        <f t="shared" si="59"/>
        <v>3650</v>
      </c>
      <c r="BU119" s="339">
        <f t="shared" si="59"/>
        <v>3650</v>
      </c>
      <c r="BV119" s="339">
        <f t="shared" si="59"/>
        <v>3650</v>
      </c>
      <c r="BW119" s="339">
        <f t="shared" si="59"/>
        <v>3650</v>
      </c>
      <c r="BX119" s="339">
        <f t="shared" si="59"/>
        <v>3650</v>
      </c>
      <c r="BY119" s="339">
        <f t="shared" si="59"/>
        <v>3650</v>
      </c>
      <c r="BZ119" s="339">
        <f t="shared" si="59"/>
        <v>3650</v>
      </c>
      <c r="CA119" s="339">
        <f t="shared" si="59"/>
        <v>3650</v>
      </c>
      <c r="CB119" s="339">
        <f t="shared" si="59"/>
        <v>3650</v>
      </c>
      <c r="CC119" s="339">
        <f t="shared" si="59"/>
        <v>3650</v>
      </c>
      <c r="CD119" s="339">
        <f t="shared" si="59"/>
        <v>3650</v>
      </c>
      <c r="CE119" s="339">
        <f t="shared" si="59"/>
        <v>3650</v>
      </c>
      <c r="CF119" s="339">
        <f t="shared" si="60"/>
        <v>3650</v>
      </c>
      <c r="CG119" s="339">
        <f t="shared" si="60"/>
        <v>3650</v>
      </c>
      <c r="CH119" s="339">
        <f t="shared" si="60"/>
        <v>3650</v>
      </c>
      <c r="CI119" s="339">
        <f t="shared" si="60"/>
        <v>3650</v>
      </c>
      <c r="CJ119" s="339">
        <f t="shared" si="60"/>
        <v>3650</v>
      </c>
      <c r="CK119" s="339">
        <f t="shared" si="60"/>
        <v>3650</v>
      </c>
      <c r="CL119" s="339">
        <f t="shared" si="60"/>
        <v>3650</v>
      </c>
      <c r="CM119" s="339">
        <f t="shared" si="60"/>
        <v>3650</v>
      </c>
      <c r="CN119" s="339">
        <f t="shared" si="60"/>
        <v>3650</v>
      </c>
      <c r="CO119" s="339">
        <f t="shared" si="60"/>
        <v>3650</v>
      </c>
      <c r="CP119" s="339">
        <f t="shared" si="60"/>
        <v>3650</v>
      </c>
      <c r="CQ119" s="339">
        <f t="shared" si="60"/>
        <v>3650</v>
      </c>
    </row>
    <row r="120" spans="2:95" ht="15.4">
      <c r="B120" s="456"/>
      <c r="C120" s="456"/>
      <c r="D120" s="403">
        <v>106000</v>
      </c>
      <c r="E120" s="403">
        <f t="shared" si="54"/>
        <v>1766.6666666666667</v>
      </c>
      <c r="F120" s="403">
        <f t="shared" si="55"/>
        <v>5</v>
      </c>
      <c r="G120" s="403">
        <v>60</v>
      </c>
      <c r="H120" s="404">
        <v>44104</v>
      </c>
      <c r="I120" s="404">
        <f t="shared" si="56"/>
        <v>45929</v>
      </c>
      <c r="J120" s="459"/>
      <c r="AJ120" s="339">
        <f t="shared" si="57"/>
        <v>1766.6666666666667</v>
      </c>
      <c r="AK120" s="339">
        <f t="shared" si="57"/>
        <v>1766.6666666666667</v>
      </c>
      <c r="AL120" s="339">
        <f t="shared" si="57"/>
        <v>1766.6666666666667</v>
      </c>
      <c r="AM120" s="339">
        <f t="shared" si="57"/>
        <v>1766.6666666666667</v>
      </c>
      <c r="AN120" s="339">
        <f t="shared" si="57"/>
        <v>1766.6666666666667</v>
      </c>
      <c r="AO120" s="339">
        <f t="shared" si="57"/>
        <v>1766.6666666666667</v>
      </c>
      <c r="AP120" s="339">
        <f t="shared" si="57"/>
        <v>1766.6666666666667</v>
      </c>
      <c r="AQ120" s="339">
        <f t="shared" si="57"/>
        <v>1766.6666666666667</v>
      </c>
      <c r="AR120" s="339">
        <f t="shared" si="57"/>
        <v>1766.6666666666667</v>
      </c>
      <c r="AS120" s="339">
        <f t="shared" si="57"/>
        <v>1766.6666666666667</v>
      </c>
      <c r="AT120" s="339">
        <f t="shared" si="57"/>
        <v>1766.6666666666667</v>
      </c>
      <c r="AU120" s="339">
        <f t="shared" si="57"/>
        <v>1766.6666666666667</v>
      </c>
      <c r="AV120" s="339">
        <f t="shared" si="57"/>
        <v>1766.6666666666667</v>
      </c>
      <c r="AW120" s="339">
        <f t="shared" si="57"/>
        <v>1766.6666666666667</v>
      </c>
      <c r="AX120" s="339">
        <f t="shared" si="57"/>
        <v>1766.6666666666667</v>
      </c>
      <c r="AY120" s="339">
        <f t="shared" si="57"/>
        <v>1766.6666666666667</v>
      </c>
      <c r="AZ120" s="339">
        <f t="shared" si="58"/>
        <v>1766.6666666666667</v>
      </c>
      <c r="BA120" s="339">
        <f t="shared" si="58"/>
        <v>1766.6666666666667</v>
      </c>
      <c r="BB120" s="339">
        <f t="shared" si="58"/>
        <v>1766.6666666666667</v>
      </c>
      <c r="BC120" s="339">
        <f t="shared" si="58"/>
        <v>1766.6666666666667</v>
      </c>
      <c r="BD120" s="339">
        <f t="shared" si="58"/>
        <v>1766.6666666666667</v>
      </c>
      <c r="BE120" s="339">
        <f t="shared" si="58"/>
        <v>1766.6666666666667</v>
      </c>
      <c r="BF120" s="339">
        <f t="shared" si="58"/>
        <v>1766.6666666666667</v>
      </c>
      <c r="BG120" s="339">
        <f t="shared" si="58"/>
        <v>1766.6666666666667</v>
      </c>
      <c r="BH120" s="339">
        <f t="shared" si="58"/>
        <v>1766.6666666666667</v>
      </c>
      <c r="BI120" s="339">
        <f t="shared" si="58"/>
        <v>1766.6666666666667</v>
      </c>
      <c r="BJ120" s="339">
        <f t="shared" si="58"/>
        <v>1766.6666666666667</v>
      </c>
      <c r="BK120" s="339">
        <f t="shared" si="58"/>
        <v>1766.6666666666667</v>
      </c>
      <c r="BL120" s="339">
        <f t="shared" si="58"/>
        <v>1766.6666666666667</v>
      </c>
      <c r="BM120" s="339">
        <f t="shared" si="58"/>
        <v>1766.6666666666667</v>
      </c>
      <c r="BN120" s="339">
        <f t="shared" si="58"/>
        <v>1766.6666666666667</v>
      </c>
      <c r="BO120" s="339">
        <f t="shared" si="58"/>
        <v>1766.6666666666667</v>
      </c>
      <c r="BP120" s="339">
        <f t="shared" si="59"/>
        <v>1766.6666666666667</v>
      </c>
      <c r="BQ120" s="339">
        <f t="shared" si="59"/>
        <v>1766.6666666666667</v>
      </c>
      <c r="BR120" s="339">
        <f t="shared" si="59"/>
        <v>1766.6666666666667</v>
      </c>
      <c r="BS120" s="339">
        <f t="shared" si="59"/>
        <v>1766.6666666666667</v>
      </c>
      <c r="BT120" s="339">
        <f t="shared" si="59"/>
        <v>1766.6666666666667</v>
      </c>
      <c r="BU120" s="339">
        <f t="shared" si="59"/>
        <v>1766.6666666666667</v>
      </c>
      <c r="BV120" s="339">
        <f t="shared" si="59"/>
        <v>1766.6666666666667</v>
      </c>
      <c r="BW120" s="339">
        <f t="shared" si="59"/>
        <v>1766.6666666666667</v>
      </c>
      <c r="BX120" s="339">
        <f t="shared" si="59"/>
        <v>1766.6666666666667</v>
      </c>
      <c r="BY120" s="339">
        <f t="shared" si="59"/>
        <v>1766.6666666666667</v>
      </c>
      <c r="BZ120" s="339">
        <f t="shared" si="59"/>
        <v>1766.6666666666667</v>
      </c>
      <c r="CA120" s="339">
        <f t="shared" si="59"/>
        <v>1766.6666666666667</v>
      </c>
      <c r="CB120" s="339">
        <f t="shared" si="59"/>
        <v>1766.6666666666667</v>
      </c>
      <c r="CC120" s="339">
        <f t="shared" si="59"/>
        <v>1766.6666666666667</v>
      </c>
      <c r="CD120" s="339">
        <f t="shared" si="59"/>
        <v>1766.6666666666667</v>
      </c>
      <c r="CE120" s="339">
        <f t="shared" si="59"/>
        <v>1766.6666666666667</v>
      </c>
      <c r="CF120" s="339">
        <f t="shared" si="60"/>
        <v>1766.6666666666667</v>
      </c>
      <c r="CG120" s="339">
        <f t="shared" si="60"/>
        <v>1766.6666666666667</v>
      </c>
      <c r="CH120" s="339">
        <f t="shared" si="60"/>
        <v>1766.6666666666667</v>
      </c>
      <c r="CI120" s="339">
        <f t="shared" si="60"/>
        <v>1766.6666666666667</v>
      </c>
      <c r="CJ120" s="339">
        <f t="shared" si="60"/>
        <v>1766.6666666666667</v>
      </c>
      <c r="CK120" s="339">
        <f t="shared" si="60"/>
        <v>1766.6666666666667</v>
      </c>
      <c r="CL120" s="339">
        <f t="shared" si="60"/>
        <v>1766.6666666666667</v>
      </c>
      <c r="CM120" s="339">
        <f t="shared" si="60"/>
        <v>1766.6666666666667</v>
      </c>
      <c r="CN120" s="339">
        <f t="shared" si="60"/>
        <v>1766.6666666666667</v>
      </c>
      <c r="CO120" s="339">
        <f t="shared" si="60"/>
        <v>1766.6666666666667</v>
      </c>
      <c r="CP120" s="339">
        <f t="shared" si="60"/>
        <v>1766.6666666666667</v>
      </c>
      <c r="CQ120" s="339">
        <f t="shared" si="60"/>
        <v>1766.6666666666667</v>
      </c>
    </row>
    <row r="121" spans="2:95" ht="15.4">
      <c r="B121" s="456"/>
      <c r="C121" s="456"/>
      <c r="D121" s="403">
        <v>365000</v>
      </c>
      <c r="E121" s="403">
        <f t="shared" si="54"/>
        <v>3041.6666666666665</v>
      </c>
      <c r="F121" s="403">
        <f t="shared" si="55"/>
        <v>10</v>
      </c>
      <c r="G121" s="403">
        <v>120</v>
      </c>
      <c r="H121" s="404">
        <v>44104</v>
      </c>
      <c r="I121" s="404">
        <f t="shared" si="56"/>
        <v>47754</v>
      </c>
      <c r="J121" s="459"/>
      <c r="AJ121" s="339">
        <f t="shared" si="57"/>
        <v>3041.6666666666665</v>
      </c>
      <c r="AK121" s="339">
        <f t="shared" si="57"/>
        <v>3041.6666666666665</v>
      </c>
      <c r="AL121" s="339">
        <f t="shared" si="57"/>
        <v>3041.6666666666665</v>
      </c>
      <c r="AM121" s="339">
        <f t="shared" si="57"/>
        <v>3041.6666666666665</v>
      </c>
      <c r="AN121" s="339">
        <f t="shared" si="57"/>
        <v>3041.6666666666665</v>
      </c>
      <c r="AO121" s="339">
        <f t="shared" si="57"/>
        <v>3041.6666666666665</v>
      </c>
      <c r="AP121" s="339">
        <f t="shared" si="57"/>
        <v>3041.6666666666665</v>
      </c>
      <c r="AQ121" s="339">
        <f t="shared" si="57"/>
        <v>3041.6666666666665</v>
      </c>
      <c r="AR121" s="339">
        <f t="shared" si="57"/>
        <v>3041.6666666666665</v>
      </c>
      <c r="AS121" s="339">
        <f t="shared" si="57"/>
        <v>3041.6666666666665</v>
      </c>
      <c r="AT121" s="339">
        <f t="shared" si="57"/>
        <v>3041.6666666666665</v>
      </c>
      <c r="AU121" s="339">
        <f t="shared" si="57"/>
        <v>3041.6666666666665</v>
      </c>
      <c r="AV121" s="339">
        <f t="shared" si="57"/>
        <v>3041.6666666666665</v>
      </c>
      <c r="AW121" s="339">
        <f t="shared" si="57"/>
        <v>3041.6666666666665</v>
      </c>
      <c r="AX121" s="339">
        <f t="shared" si="57"/>
        <v>3041.6666666666665</v>
      </c>
      <c r="AY121" s="339">
        <f t="shared" si="57"/>
        <v>3041.6666666666665</v>
      </c>
      <c r="AZ121" s="339">
        <f t="shared" si="58"/>
        <v>3041.6666666666665</v>
      </c>
      <c r="BA121" s="339">
        <f t="shared" si="58"/>
        <v>3041.6666666666665</v>
      </c>
      <c r="BB121" s="339">
        <f t="shared" si="58"/>
        <v>3041.6666666666665</v>
      </c>
      <c r="BC121" s="339">
        <f t="shared" si="58"/>
        <v>3041.6666666666665</v>
      </c>
      <c r="BD121" s="339">
        <f t="shared" si="58"/>
        <v>3041.6666666666665</v>
      </c>
      <c r="BE121" s="339">
        <f t="shared" si="58"/>
        <v>3041.6666666666665</v>
      </c>
      <c r="BF121" s="339">
        <f t="shared" si="58"/>
        <v>3041.6666666666665</v>
      </c>
      <c r="BG121" s="339">
        <f t="shared" si="58"/>
        <v>3041.6666666666665</v>
      </c>
      <c r="BH121" s="339">
        <f t="shared" si="58"/>
        <v>3041.6666666666665</v>
      </c>
      <c r="BI121" s="339">
        <f t="shared" si="58"/>
        <v>3041.6666666666665</v>
      </c>
      <c r="BJ121" s="339">
        <f t="shared" si="58"/>
        <v>3041.6666666666665</v>
      </c>
      <c r="BK121" s="339">
        <f t="shared" si="58"/>
        <v>3041.6666666666665</v>
      </c>
      <c r="BL121" s="339">
        <f t="shared" si="58"/>
        <v>3041.6666666666665</v>
      </c>
      <c r="BM121" s="339">
        <f t="shared" si="58"/>
        <v>3041.6666666666665</v>
      </c>
      <c r="BN121" s="339">
        <f t="shared" si="58"/>
        <v>3041.6666666666665</v>
      </c>
      <c r="BO121" s="339">
        <f t="shared" si="58"/>
        <v>3041.6666666666665</v>
      </c>
      <c r="BP121" s="339">
        <f t="shared" si="59"/>
        <v>3041.6666666666665</v>
      </c>
      <c r="BQ121" s="339">
        <f t="shared" si="59"/>
        <v>3041.6666666666665</v>
      </c>
      <c r="BR121" s="339">
        <f t="shared" si="59"/>
        <v>3041.6666666666665</v>
      </c>
      <c r="BS121" s="339">
        <f t="shared" si="59"/>
        <v>3041.6666666666665</v>
      </c>
      <c r="BT121" s="339">
        <f t="shared" si="59"/>
        <v>3041.6666666666665</v>
      </c>
      <c r="BU121" s="339">
        <f t="shared" si="59"/>
        <v>3041.6666666666665</v>
      </c>
      <c r="BV121" s="339">
        <f t="shared" si="59"/>
        <v>3041.6666666666665</v>
      </c>
      <c r="BW121" s="339">
        <f t="shared" si="59"/>
        <v>3041.6666666666665</v>
      </c>
      <c r="BX121" s="339">
        <f t="shared" si="59"/>
        <v>3041.6666666666665</v>
      </c>
      <c r="BY121" s="339">
        <f t="shared" si="59"/>
        <v>3041.6666666666665</v>
      </c>
      <c r="BZ121" s="339">
        <f t="shared" si="59"/>
        <v>3041.6666666666665</v>
      </c>
      <c r="CA121" s="339">
        <f t="shared" si="59"/>
        <v>3041.6666666666665</v>
      </c>
      <c r="CB121" s="339">
        <f t="shared" si="59"/>
        <v>3041.6666666666665</v>
      </c>
      <c r="CC121" s="339">
        <f t="shared" si="59"/>
        <v>3041.6666666666665</v>
      </c>
      <c r="CD121" s="339">
        <f t="shared" si="59"/>
        <v>3041.6666666666665</v>
      </c>
      <c r="CE121" s="339">
        <f t="shared" si="59"/>
        <v>3041.6666666666665</v>
      </c>
      <c r="CF121" s="339">
        <f t="shared" si="60"/>
        <v>3041.6666666666665</v>
      </c>
      <c r="CG121" s="339">
        <f t="shared" si="60"/>
        <v>3041.6666666666665</v>
      </c>
      <c r="CH121" s="339">
        <f t="shared" si="60"/>
        <v>3041.6666666666665</v>
      </c>
      <c r="CI121" s="339">
        <f t="shared" si="60"/>
        <v>3041.6666666666665</v>
      </c>
      <c r="CJ121" s="339">
        <f t="shared" si="60"/>
        <v>3041.6666666666665</v>
      </c>
      <c r="CK121" s="339">
        <f t="shared" si="60"/>
        <v>3041.6666666666665</v>
      </c>
      <c r="CL121" s="339">
        <f t="shared" si="60"/>
        <v>3041.6666666666665</v>
      </c>
      <c r="CM121" s="339">
        <f t="shared" si="60"/>
        <v>3041.6666666666665</v>
      </c>
      <c r="CN121" s="339">
        <f t="shared" si="60"/>
        <v>3041.6666666666665</v>
      </c>
      <c r="CO121" s="339">
        <f t="shared" si="60"/>
        <v>3041.6666666666665</v>
      </c>
      <c r="CP121" s="339">
        <f t="shared" si="60"/>
        <v>3041.6666666666665</v>
      </c>
      <c r="CQ121" s="339">
        <f t="shared" si="60"/>
        <v>3041.6666666666665</v>
      </c>
    </row>
    <row r="122" spans="2:95" ht="15.4">
      <c r="B122" s="456"/>
      <c r="C122" s="456"/>
      <c r="D122" s="403">
        <v>40848.0625</v>
      </c>
      <c r="E122" s="403">
        <f t="shared" si="54"/>
        <v>680.80104166666672</v>
      </c>
      <c r="F122" s="403">
        <f t="shared" si="55"/>
        <v>5</v>
      </c>
      <c r="G122" s="403">
        <v>60</v>
      </c>
      <c r="H122" s="404">
        <v>44104</v>
      </c>
      <c r="I122" s="404">
        <f t="shared" si="56"/>
        <v>45929</v>
      </c>
      <c r="J122" s="459"/>
      <c r="AJ122" s="339">
        <f t="shared" si="57"/>
        <v>680.80104166666672</v>
      </c>
      <c r="AK122" s="339">
        <f t="shared" si="57"/>
        <v>680.80104166666672</v>
      </c>
      <c r="AL122" s="339">
        <f t="shared" si="57"/>
        <v>680.80104166666672</v>
      </c>
      <c r="AM122" s="339">
        <f t="shared" si="57"/>
        <v>680.80104166666672</v>
      </c>
      <c r="AN122" s="339">
        <f t="shared" si="57"/>
        <v>680.80104166666672</v>
      </c>
      <c r="AO122" s="339">
        <f t="shared" si="57"/>
        <v>680.80104166666672</v>
      </c>
      <c r="AP122" s="339">
        <f t="shared" si="57"/>
        <v>680.80104166666672</v>
      </c>
      <c r="AQ122" s="339">
        <f t="shared" si="57"/>
        <v>680.80104166666672</v>
      </c>
      <c r="AR122" s="339">
        <f t="shared" si="57"/>
        <v>680.80104166666672</v>
      </c>
      <c r="AS122" s="339">
        <f t="shared" si="57"/>
        <v>680.80104166666672</v>
      </c>
      <c r="AT122" s="339">
        <f t="shared" si="57"/>
        <v>680.80104166666672</v>
      </c>
      <c r="AU122" s="339">
        <f t="shared" si="57"/>
        <v>680.80104166666672</v>
      </c>
      <c r="AV122" s="339">
        <f t="shared" si="57"/>
        <v>680.80104166666672</v>
      </c>
      <c r="AW122" s="339">
        <f t="shared" si="57"/>
        <v>680.80104166666672</v>
      </c>
      <c r="AX122" s="339">
        <f t="shared" si="57"/>
        <v>680.80104166666672</v>
      </c>
      <c r="AY122" s="339">
        <f t="shared" si="57"/>
        <v>680.80104166666672</v>
      </c>
      <c r="AZ122" s="339">
        <f t="shared" si="58"/>
        <v>680.80104166666672</v>
      </c>
      <c r="BA122" s="339">
        <f t="shared" si="58"/>
        <v>680.80104166666672</v>
      </c>
      <c r="BB122" s="339">
        <f t="shared" si="58"/>
        <v>680.80104166666672</v>
      </c>
      <c r="BC122" s="339">
        <f t="shared" si="58"/>
        <v>680.80104166666672</v>
      </c>
      <c r="BD122" s="339">
        <f t="shared" si="58"/>
        <v>680.80104166666672</v>
      </c>
      <c r="BE122" s="339">
        <f t="shared" si="58"/>
        <v>680.80104166666672</v>
      </c>
      <c r="BF122" s="339">
        <f t="shared" si="58"/>
        <v>680.80104166666672</v>
      </c>
      <c r="BG122" s="339">
        <f t="shared" si="58"/>
        <v>680.80104166666672</v>
      </c>
      <c r="BH122" s="339">
        <f t="shared" si="58"/>
        <v>680.80104166666672</v>
      </c>
      <c r="BI122" s="339">
        <f t="shared" si="58"/>
        <v>680.80104166666672</v>
      </c>
      <c r="BJ122" s="339">
        <f t="shared" si="58"/>
        <v>680.80104166666672</v>
      </c>
      <c r="BK122" s="339">
        <f t="shared" si="58"/>
        <v>680.80104166666672</v>
      </c>
      <c r="BL122" s="339">
        <f t="shared" si="58"/>
        <v>680.80104166666672</v>
      </c>
      <c r="BM122" s="339">
        <f t="shared" si="58"/>
        <v>680.80104166666672</v>
      </c>
      <c r="BN122" s="339">
        <f t="shared" si="58"/>
        <v>680.80104166666672</v>
      </c>
      <c r="BO122" s="339">
        <f t="shared" si="58"/>
        <v>680.80104166666672</v>
      </c>
      <c r="BP122" s="339">
        <f t="shared" si="59"/>
        <v>680.80104166666672</v>
      </c>
      <c r="BQ122" s="339">
        <f t="shared" si="59"/>
        <v>680.80104166666672</v>
      </c>
      <c r="BR122" s="339">
        <f t="shared" si="59"/>
        <v>680.80104166666672</v>
      </c>
      <c r="BS122" s="339">
        <f t="shared" si="59"/>
        <v>680.80104166666672</v>
      </c>
      <c r="BT122" s="339">
        <f t="shared" si="59"/>
        <v>680.80104166666672</v>
      </c>
      <c r="BU122" s="339">
        <f t="shared" si="59"/>
        <v>680.80104166666672</v>
      </c>
      <c r="BV122" s="339">
        <f t="shared" si="59"/>
        <v>680.80104166666672</v>
      </c>
      <c r="BW122" s="339">
        <f t="shared" si="59"/>
        <v>680.80104166666672</v>
      </c>
      <c r="BX122" s="339">
        <f t="shared" si="59"/>
        <v>680.80104166666672</v>
      </c>
      <c r="BY122" s="339">
        <f t="shared" si="59"/>
        <v>680.80104166666672</v>
      </c>
      <c r="BZ122" s="339">
        <f t="shared" si="59"/>
        <v>680.80104166666672</v>
      </c>
      <c r="CA122" s="339">
        <f t="shared" si="59"/>
        <v>680.80104166666672</v>
      </c>
      <c r="CB122" s="339">
        <f t="shared" si="59"/>
        <v>680.80104166666672</v>
      </c>
      <c r="CC122" s="339">
        <f t="shared" si="59"/>
        <v>680.80104166666672</v>
      </c>
      <c r="CD122" s="339">
        <f t="shared" si="59"/>
        <v>680.80104166666672</v>
      </c>
      <c r="CE122" s="339">
        <f t="shared" si="59"/>
        <v>680.80104166666672</v>
      </c>
      <c r="CF122" s="339">
        <f t="shared" si="60"/>
        <v>680.80104166666672</v>
      </c>
      <c r="CG122" s="339">
        <f t="shared" si="60"/>
        <v>680.80104166666672</v>
      </c>
      <c r="CH122" s="339">
        <f t="shared" si="60"/>
        <v>680.80104166666672</v>
      </c>
      <c r="CI122" s="339">
        <f t="shared" si="60"/>
        <v>680.80104166666672</v>
      </c>
      <c r="CJ122" s="339">
        <f t="shared" si="60"/>
        <v>680.80104166666672</v>
      </c>
      <c r="CK122" s="339">
        <f t="shared" si="60"/>
        <v>680.80104166666672</v>
      </c>
      <c r="CL122" s="339">
        <f t="shared" si="60"/>
        <v>680.80104166666672</v>
      </c>
      <c r="CM122" s="339">
        <f t="shared" si="60"/>
        <v>680.80104166666672</v>
      </c>
      <c r="CN122" s="339">
        <f t="shared" si="60"/>
        <v>680.80104166666672</v>
      </c>
      <c r="CO122" s="339">
        <f t="shared" si="60"/>
        <v>680.80104166666672</v>
      </c>
      <c r="CP122" s="339">
        <f t="shared" si="60"/>
        <v>680.80104166666672</v>
      </c>
      <c r="CQ122" s="339">
        <f t="shared" si="60"/>
        <v>680.80104166666672</v>
      </c>
    </row>
    <row r="123" spans="2:95" ht="15.4">
      <c r="B123" s="456"/>
      <c r="C123" s="456"/>
      <c r="D123" s="403">
        <v>39460.347500000003</v>
      </c>
      <c r="E123" s="403">
        <f t="shared" si="54"/>
        <v>1096.1207638888891</v>
      </c>
      <c r="F123" s="403">
        <f t="shared" si="55"/>
        <v>3</v>
      </c>
      <c r="G123" s="403">
        <v>36</v>
      </c>
      <c r="H123" s="404">
        <v>44104</v>
      </c>
      <c r="I123" s="404">
        <f t="shared" si="56"/>
        <v>45199</v>
      </c>
      <c r="J123" s="459"/>
      <c r="AJ123" s="339">
        <f t="shared" si="57"/>
        <v>1096.1207638888891</v>
      </c>
      <c r="AK123" s="339">
        <f t="shared" si="57"/>
        <v>1096.1207638888891</v>
      </c>
      <c r="AL123" s="339">
        <f t="shared" si="57"/>
        <v>1096.1207638888891</v>
      </c>
      <c r="AM123" s="339">
        <f t="shared" si="57"/>
        <v>1096.1207638888891</v>
      </c>
      <c r="AN123" s="339">
        <f t="shared" si="57"/>
        <v>1096.1207638888891</v>
      </c>
      <c r="AO123" s="339">
        <f t="shared" si="57"/>
        <v>1096.1207638888891</v>
      </c>
      <c r="AP123" s="339">
        <f t="shared" si="57"/>
        <v>1096.1207638888891</v>
      </c>
      <c r="AQ123" s="339">
        <f t="shared" si="57"/>
        <v>1096.1207638888891</v>
      </c>
      <c r="AR123" s="339">
        <f t="shared" si="57"/>
        <v>1096.1207638888891</v>
      </c>
      <c r="AS123" s="339">
        <f t="shared" si="57"/>
        <v>1096.1207638888891</v>
      </c>
      <c r="AT123" s="339">
        <f t="shared" si="57"/>
        <v>1096.1207638888891</v>
      </c>
      <c r="AU123" s="339">
        <f t="shared" si="57"/>
        <v>1096.1207638888891</v>
      </c>
      <c r="AV123" s="339">
        <f t="shared" si="57"/>
        <v>1096.1207638888891</v>
      </c>
      <c r="AW123" s="339">
        <f t="shared" si="57"/>
        <v>1096.1207638888891</v>
      </c>
      <c r="AX123" s="339">
        <f t="shared" si="57"/>
        <v>1096.1207638888891</v>
      </c>
      <c r="AY123" s="339">
        <f t="shared" si="57"/>
        <v>1096.1207638888891</v>
      </c>
      <c r="AZ123" s="339">
        <f t="shared" si="58"/>
        <v>1096.1207638888891</v>
      </c>
      <c r="BA123" s="339">
        <f t="shared" si="58"/>
        <v>1096.1207638888891</v>
      </c>
      <c r="BB123" s="339">
        <f t="shared" si="58"/>
        <v>1096.1207638888891</v>
      </c>
      <c r="BC123" s="339">
        <f t="shared" si="58"/>
        <v>1096.1207638888891</v>
      </c>
      <c r="BD123" s="339">
        <f t="shared" si="58"/>
        <v>1096.1207638888891</v>
      </c>
      <c r="BE123" s="339">
        <f t="shared" si="58"/>
        <v>1096.1207638888891</v>
      </c>
      <c r="BF123" s="339">
        <f t="shared" si="58"/>
        <v>1096.1207638888891</v>
      </c>
      <c r="BG123" s="339">
        <f t="shared" si="58"/>
        <v>1096.1207638888891</v>
      </c>
      <c r="BH123" s="339">
        <f t="shared" si="58"/>
        <v>1096.1207638888891</v>
      </c>
      <c r="BI123" s="339">
        <f t="shared" si="58"/>
        <v>1096.1207638888891</v>
      </c>
      <c r="BJ123" s="339">
        <f t="shared" si="58"/>
        <v>1096.1207638888891</v>
      </c>
      <c r="BK123" s="339">
        <f t="shared" si="58"/>
        <v>1096.1207638888891</v>
      </c>
      <c r="BL123" s="339">
        <f t="shared" si="58"/>
        <v>1096.1207638888891</v>
      </c>
      <c r="BM123" s="339">
        <f t="shared" si="58"/>
        <v>1096.1207638888891</v>
      </c>
      <c r="BN123" s="339">
        <f t="shared" si="58"/>
        <v>1096.1207638888891</v>
      </c>
      <c r="BO123" s="339">
        <f t="shared" si="58"/>
        <v>1096.1207638888891</v>
      </c>
      <c r="BP123" s="339">
        <f t="shared" si="59"/>
        <v>1096.1207638888891</v>
      </c>
      <c r="BQ123" s="339">
        <f t="shared" si="59"/>
        <v>1096.1207638888891</v>
      </c>
      <c r="BR123" s="339">
        <f t="shared" si="59"/>
        <v>1096.1207638888891</v>
      </c>
      <c r="BS123" s="339">
        <f t="shared" si="59"/>
        <v>1096.1207638888891</v>
      </c>
      <c r="BT123" s="339">
        <f t="shared" si="59"/>
        <v>0</v>
      </c>
      <c r="BU123" s="339">
        <f t="shared" si="59"/>
        <v>0</v>
      </c>
      <c r="BV123" s="339">
        <f t="shared" si="59"/>
        <v>0</v>
      </c>
      <c r="BW123" s="339">
        <f t="shared" si="59"/>
        <v>0</v>
      </c>
      <c r="BX123" s="339">
        <f t="shared" si="59"/>
        <v>0</v>
      </c>
      <c r="BY123" s="339">
        <f t="shared" si="59"/>
        <v>0</v>
      </c>
      <c r="BZ123" s="339">
        <f t="shared" si="59"/>
        <v>0</v>
      </c>
      <c r="CA123" s="339">
        <f t="shared" si="59"/>
        <v>0</v>
      </c>
      <c r="CB123" s="339">
        <f t="shared" si="59"/>
        <v>0</v>
      </c>
      <c r="CC123" s="339">
        <f t="shared" si="59"/>
        <v>0</v>
      </c>
      <c r="CD123" s="339">
        <f t="shared" si="59"/>
        <v>0</v>
      </c>
      <c r="CE123" s="339">
        <f t="shared" si="59"/>
        <v>0</v>
      </c>
      <c r="CF123" s="339">
        <f t="shared" si="60"/>
        <v>0</v>
      </c>
      <c r="CG123" s="339">
        <f t="shared" si="60"/>
        <v>0</v>
      </c>
      <c r="CH123" s="339">
        <f t="shared" si="60"/>
        <v>0</v>
      </c>
      <c r="CI123" s="339">
        <f t="shared" si="60"/>
        <v>0</v>
      </c>
      <c r="CJ123" s="339">
        <f t="shared" si="60"/>
        <v>0</v>
      </c>
      <c r="CK123" s="339">
        <f t="shared" si="60"/>
        <v>0</v>
      </c>
      <c r="CL123" s="339">
        <f t="shared" si="60"/>
        <v>0</v>
      </c>
      <c r="CM123" s="339">
        <f t="shared" si="60"/>
        <v>0</v>
      </c>
      <c r="CN123" s="339">
        <f t="shared" si="60"/>
        <v>0</v>
      </c>
      <c r="CO123" s="339">
        <f t="shared" si="60"/>
        <v>0</v>
      </c>
      <c r="CP123" s="339">
        <f t="shared" si="60"/>
        <v>0</v>
      </c>
      <c r="CQ123" s="339">
        <f t="shared" si="60"/>
        <v>0</v>
      </c>
    </row>
    <row r="124" spans="2:95" ht="15.4">
      <c r="B124" s="456"/>
      <c r="C124" s="456"/>
      <c r="D124" s="403">
        <v>50000</v>
      </c>
      <c r="E124" s="403">
        <f t="shared" si="54"/>
        <v>416.66666666666669</v>
      </c>
      <c r="F124" s="403">
        <f t="shared" si="55"/>
        <v>10</v>
      </c>
      <c r="G124" s="403">
        <v>120</v>
      </c>
      <c r="H124" s="404">
        <v>44104</v>
      </c>
      <c r="I124" s="404">
        <f t="shared" si="56"/>
        <v>47754</v>
      </c>
      <c r="J124" s="459"/>
      <c r="AJ124" s="339">
        <f t="shared" si="57"/>
        <v>416.66666666666669</v>
      </c>
      <c r="AK124" s="339">
        <f t="shared" si="57"/>
        <v>416.66666666666669</v>
      </c>
      <c r="AL124" s="339">
        <f t="shared" si="57"/>
        <v>416.66666666666669</v>
      </c>
      <c r="AM124" s="339">
        <f t="shared" si="57"/>
        <v>416.66666666666669</v>
      </c>
      <c r="AN124" s="339">
        <f t="shared" si="57"/>
        <v>416.66666666666669</v>
      </c>
      <c r="AO124" s="339">
        <f t="shared" si="57"/>
        <v>416.66666666666669</v>
      </c>
      <c r="AP124" s="339">
        <f t="shared" si="57"/>
        <v>416.66666666666669</v>
      </c>
      <c r="AQ124" s="339">
        <f t="shared" si="57"/>
        <v>416.66666666666669</v>
      </c>
      <c r="AR124" s="339">
        <f t="shared" si="57"/>
        <v>416.66666666666669</v>
      </c>
      <c r="AS124" s="339">
        <f t="shared" si="57"/>
        <v>416.66666666666669</v>
      </c>
      <c r="AT124" s="339">
        <f t="shared" si="57"/>
        <v>416.66666666666669</v>
      </c>
      <c r="AU124" s="339">
        <f t="shared" si="57"/>
        <v>416.66666666666669</v>
      </c>
      <c r="AV124" s="339">
        <f t="shared" si="57"/>
        <v>416.66666666666669</v>
      </c>
      <c r="AW124" s="339">
        <f t="shared" si="57"/>
        <v>416.66666666666669</v>
      </c>
      <c r="AX124" s="339">
        <f t="shared" si="57"/>
        <v>416.66666666666669</v>
      </c>
      <c r="AY124" s="339">
        <f t="shared" si="57"/>
        <v>416.66666666666669</v>
      </c>
      <c r="AZ124" s="339">
        <f t="shared" si="58"/>
        <v>416.66666666666669</v>
      </c>
      <c r="BA124" s="339">
        <f t="shared" si="58"/>
        <v>416.66666666666669</v>
      </c>
      <c r="BB124" s="339">
        <f t="shared" si="58"/>
        <v>416.66666666666669</v>
      </c>
      <c r="BC124" s="339">
        <f t="shared" si="58"/>
        <v>416.66666666666669</v>
      </c>
      <c r="BD124" s="339">
        <f t="shared" si="58"/>
        <v>416.66666666666669</v>
      </c>
      <c r="BE124" s="339">
        <f t="shared" si="58"/>
        <v>416.66666666666669</v>
      </c>
      <c r="BF124" s="339">
        <f t="shared" si="58"/>
        <v>416.66666666666669</v>
      </c>
      <c r="BG124" s="339">
        <f t="shared" si="58"/>
        <v>416.66666666666669</v>
      </c>
      <c r="BH124" s="339">
        <f t="shared" si="58"/>
        <v>416.66666666666669</v>
      </c>
      <c r="BI124" s="339">
        <f t="shared" si="58"/>
        <v>416.66666666666669</v>
      </c>
      <c r="BJ124" s="339">
        <f t="shared" si="58"/>
        <v>416.66666666666669</v>
      </c>
      <c r="BK124" s="339">
        <f t="shared" si="58"/>
        <v>416.66666666666669</v>
      </c>
      <c r="BL124" s="339">
        <f t="shared" si="58"/>
        <v>416.66666666666669</v>
      </c>
      <c r="BM124" s="339">
        <f t="shared" si="58"/>
        <v>416.66666666666669</v>
      </c>
      <c r="BN124" s="339">
        <f t="shared" si="58"/>
        <v>416.66666666666669</v>
      </c>
      <c r="BO124" s="339">
        <f t="shared" si="58"/>
        <v>416.66666666666669</v>
      </c>
      <c r="BP124" s="339">
        <f t="shared" si="59"/>
        <v>416.66666666666669</v>
      </c>
      <c r="BQ124" s="339">
        <f t="shared" si="59"/>
        <v>416.66666666666669</v>
      </c>
      <c r="BR124" s="339">
        <f t="shared" si="59"/>
        <v>416.66666666666669</v>
      </c>
      <c r="BS124" s="339">
        <f t="shared" si="59"/>
        <v>416.66666666666669</v>
      </c>
      <c r="BT124" s="339">
        <f t="shared" si="59"/>
        <v>416.66666666666669</v>
      </c>
      <c r="BU124" s="339">
        <f t="shared" si="59"/>
        <v>416.66666666666669</v>
      </c>
      <c r="BV124" s="339">
        <f t="shared" si="59"/>
        <v>416.66666666666669</v>
      </c>
      <c r="BW124" s="339">
        <f t="shared" si="59"/>
        <v>416.66666666666669</v>
      </c>
      <c r="BX124" s="339">
        <f t="shared" si="59"/>
        <v>416.66666666666669</v>
      </c>
      <c r="BY124" s="339">
        <f t="shared" si="59"/>
        <v>416.66666666666669</v>
      </c>
      <c r="BZ124" s="339">
        <f t="shared" si="59"/>
        <v>416.66666666666669</v>
      </c>
      <c r="CA124" s="339">
        <f t="shared" si="59"/>
        <v>416.66666666666669</v>
      </c>
      <c r="CB124" s="339">
        <f t="shared" si="59"/>
        <v>416.66666666666669</v>
      </c>
      <c r="CC124" s="339">
        <f t="shared" si="59"/>
        <v>416.66666666666669</v>
      </c>
      <c r="CD124" s="339">
        <f t="shared" si="59"/>
        <v>416.66666666666669</v>
      </c>
      <c r="CE124" s="339">
        <f t="shared" si="59"/>
        <v>416.66666666666669</v>
      </c>
      <c r="CF124" s="339">
        <f t="shared" si="60"/>
        <v>416.66666666666669</v>
      </c>
      <c r="CG124" s="339">
        <f t="shared" si="60"/>
        <v>416.66666666666669</v>
      </c>
      <c r="CH124" s="339">
        <f t="shared" si="60"/>
        <v>416.66666666666669</v>
      </c>
      <c r="CI124" s="339">
        <f t="shared" si="60"/>
        <v>416.66666666666669</v>
      </c>
      <c r="CJ124" s="339">
        <f t="shared" si="60"/>
        <v>416.66666666666669</v>
      </c>
      <c r="CK124" s="339">
        <f t="shared" si="60"/>
        <v>416.66666666666669</v>
      </c>
      <c r="CL124" s="339">
        <f t="shared" si="60"/>
        <v>416.66666666666669</v>
      </c>
      <c r="CM124" s="339">
        <f t="shared" si="60"/>
        <v>416.66666666666669</v>
      </c>
      <c r="CN124" s="339">
        <f t="shared" si="60"/>
        <v>416.66666666666669</v>
      </c>
      <c r="CO124" s="339">
        <f t="shared" si="60"/>
        <v>416.66666666666669</v>
      </c>
      <c r="CP124" s="339">
        <f t="shared" si="60"/>
        <v>416.66666666666669</v>
      </c>
      <c r="CQ124" s="339">
        <f t="shared" si="60"/>
        <v>416.66666666666669</v>
      </c>
    </row>
    <row r="125" spans="2:95" ht="15.4">
      <c r="B125" s="456"/>
      <c r="C125" s="456"/>
      <c r="D125" s="403">
        <v>178742.00231994939</v>
      </c>
      <c r="E125" s="403">
        <f t="shared" si="54"/>
        <v>1861.8958574994729</v>
      </c>
      <c r="F125" s="403">
        <f t="shared" si="55"/>
        <v>8</v>
      </c>
      <c r="G125" s="403">
        <v>96</v>
      </c>
      <c r="H125" s="404">
        <v>44104</v>
      </c>
      <c r="I125" s="404">
        <f t="shared" si="56"/>
        <v>47024</v>
      </c>
      <c r="J125" s="459"/>
      <c r="AJ125" s="339">
        <f t="shared" si="57"/>
        <v>1861.8958574994729</v>
      </c>
      <c r="AK125" s="339">
        <f t="shared" si="57"/>
        <v>1861.8958574994729</v>
      </c>
      <c r="AL125" s="339">
        <f t="shared" si="57"/>
        <v>1861.8958574994729</v>
      </c>
      <c r="AM125" s="339">
        <f t="shared" si="57"/>
        <v>1861.8958574994729</v>
      </c>
      <c r="AN125" s="339">
        <f t="shared" si="57"/>
        <v>1861.8958574994729</v>
      </c>
      <c r="AO125" s="339">
        <f t="shared" si="57"/>
        <v>1861.8958574994729</v>
      </c>
      <c r="AP125" s="339">
        <f t="shared" si="57"/>
        <v>1861.8958574994729</v>
      </c>
      <c r="AQ125" s="339">
        <f t="shared" si="57"/>
        <v>1861.8958574994729</v>
      </c>
      <c r="AR125" s="339">
        <f t="shared" si="57"/>
        <v>1861.8958574994729</v>
      </c>
      <c r="AS125" s="339">
        <f t="shared" si="57"/>
        <v>1861.8958574994729</v>
      </c>
      <c r="AT125" s="339">
        <f t="shared" si="57"/>
        <v>1861.8958574994729</v>
      </c>
      <c r="AU125" s="339">
        <f t="shared" si="57"/>
        <v>1861.8958574994729</v>
      </c>
      <c r="AV125" s="339">
        <f t="shared" si="57"/>
        <v>1861.8958574994729</v>
      </c>
      <c r="AW125" s="339">
        <f t="shared" si="57"/>
        <v>1861.8958574994729</v>
      </c>
      <c r="AX125" s="339">
        <f t="shared" si="57"/>
        <v>1861.8958574994729</v>
      </c>
      <c r="AY125" s="339">
        <f t="shared" si="57"/>
        <v>1861.8958574994729</v>
      </c>
      <c r="AZ125" s="339">
        <f t="shared" si="58"/>
        <v>1861.8958574994729</v>
      </c>
      <c r="BA125" s="339">
        <f t="shared" si="58"/>
        <v>1861.8958574994729</v>
      </c>
      <c r="BB125" s="339">
        <f t="shared" si="58"/>
        <v>1861.8958574994729</v>
      </c>
      <c r="BC125" s="339">
        <f t="shared" si="58"/>
        <v>1861.8958574994729</v>
      </c>
      <c r="BD125" s="339">
        <f t="shared" si="58"/>
        <v>1861.8958574994729</v>
      </c>
      <c r="BE125" s="339">
        <f t="shared" si="58"/>
        <v>1861.8958574994729</v>
      </c>
      <c r="BF125" s="339">
        <f t="shared" si="58"/>
        <v>1861.8958574994729</v>
      </c>
      <c r="BG125" s="339">
        <f t="shared" si="58"/>
        <v>1861.8958574994729</v>
      </c>
      <c r="BH125" s="339">
        <f t="shared" si="58"/>
        <v>1861.8958574994729</v>
      </c>
      <c r="BI125" s="339">
        <f t="shared" si="58"/>
        <v>1861.8958574994729</v>
      </c>
      <c r="BJ125" s="339">
        <f t="shared" si="58"/>
        <v>1861.8958574994729</v>
      </c>
      <c r="BK125" s="339">
        <f t="shared" si="58"/>
        <v>1861.8958574994729</v>
      </c>
      <c r="BL125" s="339">
        <f t="shared" si="58"/>
        <v>1861.8958574994729</v>
      </c>
      <c r="BM125" s="339">
        <f t="shared" si="58"/>
        <v>1861.8958574994729</v>
      </c>
      <c r="BN125" s="339">
        <f t="shared" si="58"/>
        <v>1861.8958574994729</v>
      </c>
      <c r="BO125" s="339">
        <f t="shared" si="58"/>
        <v>1861.8958574994729</v>
      </c>
      <c r="BP125" s="339">
        <f t="shared" si="59"/>
        <v>1861.8958574994729</v>
      </c>
      <c r="BQ125" s="339">
        <f t="shared" si="59"/>
        <v>1861.8958574994729</v>
      </c>
      <c r="BR125" s="339">
        <f t="shared" si="59"/>
        <v>1861.8958574994729</v>
      </c>
      <c r="BS125" s="339">
        <f t="shared" si="59"/>
        <v>1861.8958574994729</v>
      </c>
      <c r="BT125" s="339">
        <f t="shared" si="59"/>
        <v>1861.8958574994729</v>
      </c>
      <c r="BU125" s="339">
        <f t="shared" si="59"/>
        <v>1861.8958574994729</v>
      </c>
      <c r="BV125" s="339">
        <f t="shared" si="59"/>
        <v>1861.8958574994729</v>
      </c>
      <c r="BW125" s="339">
        <f t="shared" si="59"/>
        <v>1861.8958574994729</v>
      </c>
      <c r="BX125" s="339">
        <f t="shared" si="59"/>
        <v>1861.8958574994729</v>
      </c>
      <c r="BY125" s="339">
        <f t="shared" si="59"/>
        <v>1861.8958574994729</v>
      </c>
      <c r="BZ125" s="339">
        <f t="shared" si="59"/>
        <v>1861.8958574994729</v>
      </c>
      <c r="CA125" s="339">
        <f t="shared" si="59"/>
        <v>1861.8958574994729</v>
      </c>
      <c r="CB125" s="339">
        <f t="shared" si="59"/>
        <v>1861.8958574994729</v>
      </c>
      <c r="CC125" s="339">
        <f t="shared" si="59"/>
        <v>1861.8958574994729</v>
      </c>
      <c r="CD125" s="339">
        <f t="shared" si="59"/>
        <v>1861.8958574994729</v>
      </c>
      <c r="CE125" s="339">
        <f t="shared" si="59"/>
        <v>1861.8958574994729</v>
      </c>
      <c r="CF125" s="339">
        <f t="shared" si="60"/>
        <v>1861.8958574994729</v>
      </c>
      <c r="CG125" s="339">
        <f t="shared" si="60"/>
        <v>1861.8958574994729</v>
      </c>
      <c r="CH125" s="339">
        <f t="shared" si="60"/>
        <v>1861.8958574994729</v>
      </c>
      <c r="CI125" s="339">
        <f t="shared" si="60"/>
        <v>1861.8958574994729</v>
      </c>
      <c r="CJ125" s="339">
        <f t="shared" si="60"/>
        <v>1861.8958574994729</v>
      </c>
      <c r="CK125" s="339">
        <f t="shared" si="60"/>
        <v>1861.8958574994729</v>
      </c>
      <c r="CL125" s="339">
        <f t="shared" si="60"/>
        <v>1861.8958574994729</v>
      </c>
      <c r="CM125" s="339">
        <f t="shared" si="60"/>
        <v>1861.8958574994729</v>
      </c>
      <c r="CN125" s="339">
        <f t="shared" si="60"/>
        <v>1861.8958574994729</v>
      </c>
      <c r="CO125" s="339">
        <f t="shared" si="60"/>
        <v>1861.8958574994729</v>
      </c>
      <c r="CP125" s="339">
        <f t="shared" si="60"/>
        <v>1861.8958574994729</v>
      </c>
      <c r="CQ125" s="339">
        <f t="shared" si="60"/>
        <v>1861.8958574994729</v>
      </c>
    </row>
    <row r="126" spans="2:95">
      <c r="J126" s="459"/>
    </row>
    <row r="127" spans="2:95">
      <c r="J127" s="459"/>
    </row>
    <row r="128" spans="2:95" ht="15.4">
      <c r="B128" s="406" t="s">
        <v>551</v>
      </c>
      <c r="J128" s="459"/>
    </row>
    <row r="129" spans="4:95" ht="15.4">
      <c r="D129" s="403">
        <f>'DD forecasts'!D14*'DD forecasts'!$D$81*1000</f>
        <v>48882.561153485265</v>
      </c>
      <c r="E129" s="403">
        <f>D129/G129</f>
        <v>407.35467627904387</v>
      </c>
      <c r="F129" s="403">
        <f>G129/12</f>
        <v>10</v>
      </c>
      <c r="G129" s="403">
        <v>120</v>
      </c>
      <c r="H129" s="404">
        <v>44469</v>
      </c>
      <c r="I129" s="404">
        <f>H129+F129*365</f>
        <v>48119</v>
      </c>
      <c r="J129" s="459"/>
      <c r="AV129" s="339">
        <f t="shared" ref="AV129:CQ131" si="61">IF($I129&gt;AV$7-30,$E129,0)</f>
        <v>407.35467627904387</v>
      </c>
      <c r="AW129" s="339">
        <f t="shared" si="61"/>
        <v>407.35467627904387</v>
      </c>
      <c r="AX129" s="339">
        <f t="shared" si="61"/>
        <v>407.35467627904387</v>
      </c>
      <c r="AY129" s="339">
        <f t="shared" si="61"/>
        <v>407.35467627904387</v>
      </c>
      <c r="AZ129" s="339">
        <f t="shared" si="61"/>
        <v>407.35467627904387</v>
      </c>
      <c r="BA129" s="339">
        <f t="shared" si="61"/>
        <v>407.35467627904387</v>
      </c>
      <c r="BB129" s="339">
        <f t="shared" si="61"/>
        <v>407.35467627904387</v>
      </c>
      <c r="BC129" s="339">
        <f t="shared" si="61"/>
        <v>407.35467627904387</v>
      </c>
      <c r="BD129" s="339">
        <f t="shared" si="61"/>
        <v>407.35467627904387</v>
      </c>
      <c r="BE129" s="339">
        <f t="shared" si="61"/>
        <v>407.35467627904387</v>
      </c>
      <c r="BF129" s="339">
        <f t="shared" si="61"/>
        <v>407.35467627904387</v>
      </c>
      <c r="BG129" s="339">
        <f t="shared" si="61"/>
        <v>407.35467627904387</v>
      </c>
      <c r="BH129" s="339">
        <f t="shared" si="61"/>
        <v>407.35467627904387</v>
      </c>
      <c r="BI129" s="339">
        <f t="shared" si="61"/>
        <v>407.35467627904387</v>
      </c>
      <c r="BJ129" s="339">
        <f t="shared" si="61"/>
        <v>407.35467627904387</v>
      </c>
      <c r="BK129" s="339">
        <f t="shared" si="61"/>
        <v>407.35467627904387</v>
      </c>
      <c r="BL129" s="339">
        <f t="shared" si="61"/>
        <v>407.35467627904387</v>
      </c>
      <c r="BM129" s="339">
        <f t="shared" si="61"/>
        <v>407.35467627904387</v>
      </c>
      <c r="BN129" s="339">
        <f t="shared" si="61"/>
        <v>407.35467627904387</v>
      </c>
      <c r="BO129" s="339">
        <f t="shared" si="61"/>
        <v>407.35467627904387</v>
      </c>
      <c r="BP129" s="339">
        <f t="shared" si="61"/>
        <v>407.35467627904387</v>
      </c>
      <c r="BQ129" s="339">
        <f t="shared" si="61"/>
        <v>407.35467627904387</v>
      </c>
      <c r="BR129" s="339">
        <f t="shared" si="61"/>
        <v>407.35467627904387</v>
      </c>
      <c r="BS129" s="339">
        <f t="shared" si="61"/>
        <v>407.35467627904387</v>
      </c>
      <c r="BT129" s="339">
        <f t="shared" si="61"/>
        <v>407.35467627904387</v>
      </c>
      <c r="BU129" s="339">
        <f t="shared" si="61"/>
        <v>407.35467627904387</v>
      </c>
      <c r="BV129" s="339">
        <f t="shared" si="61"/>
        <v>407.35467627904387</v>
      </c>
      <c r="BW129" s="339">
        <f t="shared" si="61"/>
        <v>407.35467627904387</v>
      </c>
      <c r="BX129" s="339">
        <f t="shared" si="61"/>
        <v>407.35467627904387</v>
      </c>
      <c r="BY129" s="339">
        <f t="shared" si="61"/>
        <v>407.35467627904387</v>
      </c>
      <c r="BZ129" s="339">
        <f t="shared" si="61"/>
        <v>407.35467627904387</v>
      </c>
      <c r="CA129" s="339">
        <f t="shared" si="61"/>
        <v>407.35467627904387</v>
      </c>
      <c r="CB129" s="339">
        <f t="shared" si="61"/>
        <v>407.35467627904387</v>
      </c>
      <c r="CC129" s="339">
        <f t="shared" si="61"/>
        <v>407.35467627904387</v>
      </c>
      <c r="CD129" s="339">
        <f t="shared" si="61"/>
        <v>407.35467627904387</v>
      </c>
      <c r="CE129" s="339">
        <f t="shared" si="61"/>
        <v>407.35467627904387</v>
      </c>
      <c r="CF129" s="339">
        <f t="shared" si="61"/>
        <v>407.35467627904387</v>
      </c>
      <c r="CG129" s="339">
        <f t="shared" si="61"/>
        <v>407.35467627904387</v>
      </c>
      <c r="CH129" s="339">
        <f t="shared" si="61"/>
        <v>407.35467627904387</v>
      </c>
      <c r="CI129" s="339">
        <f t="shared" si="61"/>
        <v>407.35467627904387</v>
      </c>
      <c r="CJ129" s="339">
        <f t="shared" si="61"/>
        <v>407.35467627904387</v>
      </c>
      <c r="CK129" s="339">
        <f t="shared" si="61"/>
        <v>407.35467627904387</v>
      </c>
      <c r="CL129" s="339">
        <f t="shared" si="61"/>
        <v>407.35467627904387</v>
      </c>
      <c r="CM129" s="339">
        <f t="shared" si="61"/>
        <v>407.35467627904387</v>
      </c>
      <c r="CN129" s="339">
        <f t="shared" si="61"/>
        <v>407.35467627904387</v>
      </c>
      <c r="CO129" s="339">
        <f t="shared" si="61"/>
        <v>407.35467627904387</v>
      </c>
      <c r="CP129" s="339">
        <f t="shared" si="61"/>
        <v>407.35467627904387</v>
      </c>
      <c r="CQ129" s="339">
        <f t="shared" si="61"/>
        <v>407.35467627904387</v>
      </c>
    </row>
    <row r="130" spans="4:95" ht="15.4">
      <c r="E130" s="403">
        <f>D130/G130</f>
        <v>0</v>
      </c>
      <c r="F130" s="403">
        <f>G130/12</f>
        <v>10</v>
      </c>
      <c r="G130" s="403">
        <v>120</v>
      </c>
      <c r="H130" s="404">
        <v>44469</v>
      </c>
      <c r="I130" s="404">
        <f>H130+F130*365</f>
        <v>48119</v>
      </c>
      <c r="J130" s="459"/>
      <c r="AV130" s="339">
        <f t="shared" si="61"/>
        <v>0</v>
      </c>
      <c r="AW130" s="339">
        <f t="shared" si="61"/>
        <v>0</v>
      </c>
      <c r="AX130" s="339">
        <f t="shared" si="61"/>
        <v>0</v>
      </c>
      <c r="AY130" s="339">
        <f t="shared" si="61"/>
        <v>0</v>
      </c>
      <c r="AZ130" s="339">
        <f t="shared" si="61"/>
        <v>0</v>
      </c>
      <c r="BA130" s="339">
        <f t="shared" si="61"/>
        <v>0</v>
      </c>
      <c r="BB130" s="339">
        <f t="shared" si="61"/>
        <v>0</v>
      </c>
      <c r="BC130" s="339">
        <f t="shared" si="61"/>
        <v>0</v>
      </c>
      <c r="BD130" s="339">
        <f t="shared" si="61"/>
        <v>0</v>
      </c>
      <c r="BE130" s="339">
        <f t="shared" si="61"/>
        <v>0</v>
      </c>
      <c r="BF130" s="339">
        <f t="shared" si="61"/>
        <v>0</v>
      </c>
      <c r="BG130" s="339">
        <f t="shared" si="61"/>
        <v>0</v>
      </c>
      <c r="BH130" s="339">
        <f t="shared" si="61"/>
        <v>0</v>
      </c>
      <c r="BI130" s="339">
        <f t="shared" si="61"/>
        <v>0</v>
      </c>
      <c r="BJ130" s="339">
        <f t="shared" si="61"/>
        <v>0</v>
      </c>
      <c r="BK130" s="339">
        <f t="shared" si="61"/>
        <v>0</v>
      </c>
      <c r="BL130" s="339">
        <f t="shared" si="61"/>
        <v>0</v>
      </c>
      <c r="BM130" s="339">
        <f t="shared" si="61"/>
        <v>0</v>
      </c>
      <c r="BN130" s="339">
        <f t="shared" si="61"/>
        <v>0</v>
      </c>
      <c r="BO130" s="339">
        <f t="shared" si="61"/>
        <v>0</v>
      </c>
      <c r="BP130" s="339">
        <f t="shared" si="61"/>
        <v>0</v>
      </c>
      <c r="BQ130" s="339">
        <f t="shared" si="61"/>
        <v>0</v>
      </c>
      <c r="BR130" s="339">
        <f t="shared" si="61"/>
        <v>0</v>
      </c>
      <c r="BS130" s="339">
        <f t="shared" si="61"/>
        <v>0</v>
      </c>
      <c r="BT130" s="339">
        <f t="shared" si="61"/>
        <v>0</v>
      </c>
      <c r="BU130" s="339">
        <f t="shared" si="61"/>
        <v>0</v>
      </c>
      <c r="BV130" s="339">
        <f t="shared" si="61"/>
        <v>0</v>
      </c>
      <c r="BW130" s="339">
        <f t="shared" si="61"/>
        <v>0</v>
      </c>
      <c r="BX130" s="339">
        <f t="shared" si="61"/>
        <v>0</v>
      </c>
      <c r="BY130" s="339">
        <f t="shared" si="61"/>
        <v>0</v>
      </c>
      <c r="BZ130" s="339">
        <f t="shared" si="61"/>
        <v>0</v>
      </c>
      <c r="CA130" s="339">
        <f t="shared" si="61"/>
        <v>0</v>
      </c>
      <c r="CB130" s="339">
        <f t="shared" si="61"/>
        <v>0</v>
      </c>
      <c r="CC130" s="339">
        <f t="shared" si="61"/>
        <v>0</v>
      </c>
      <c r="CD130" s="339">
        <f t="shared" si="61"/>
        <v>0</v>
      </c>
      <c r="CE130" s="339">
        <f t="shared" si="61"/>
        <v>0</v>
      </c>
      <c r="CF130" s="339">
        <f t="shared" si="61"/>
        <v>0</v>
      </c>
      <c r="CG130" s="339">
        <f t="shared" si="61"/>
        <v>0</v>
      </c>
      <c r="CH130" s="339">
        <f t="shared" si="61"/>
        <v>0</v>
      </c>
      <c r="CI130" s="339">
        <f t="shared" si="61"/>
        <v>0</v>
      </c>
      <c r="CJ130" s="339">
        <f t="shared" si="61"/>
        <v>0</v>
      </c>
      <c r="CK130" s="339">
        <f t="shared" si="61"/>
        <v>0</v>
      </c>
      <c r="CL130" s="339">
        <f t="shared" si="61"/>
        <v>0</v>
      </c>
      <c r="CM130" s="339">
        <f t="shared" si="61"/>
        <v>0</v>
      </c>
      <c r="CN130" s="339">
        <f t="shared" si="61"/>
        <v>0</v>
      </c>
      <c r="CO130" s="339">
        <f t="shared" si="61"/>
        <v>0</v>
      </c>
      <c r="CP130" s="339">
        <f t="shared" si="61"/>
        <v>0</v>
      </c>
      <c r="CQ130" s="339">
        <f t="shared" si="61"/>
        <v>0</v>
      </c>
    </row>
    <row r="131" spans="4:95" ht="15.4">
      <c r="E131" s="403">
        <f>D131/G131</f>
        <v>0</v>
      </c>
      <c r="F131" s="403">
        <f>G131/12</f>
        <v>10</v>
      </c>
      <c r="G131" s="403">
        <v>120</v>
      </c>
      <c r="H131" s="404">
        <v>44469</v>
      </c>
      <c r="I131" s="404">
        <f>H131+F131*365</f>
        <v>48119</v>
      </c>
      <c r="J131" s="459"/>
      <c r="AV131" s="339">
        <f t="shared" si="61"/>
        <v>0</v>
      </c>
      <c r="AW131" s="339">
        <f t="shared" si="61"/>
        <v>0</v>
      </c>
      <c r="AX131" s="339">
        <f t="shared" si="61"/>
        <v>0</v>
      </c>
      <c r="AY131" s="339">
        <f t="shared" si="61"/>
        <v>0</v>
      </c>
      <c r="AZ131" s="339">
        <f t="shared" si="61"/>
        <v>0</v>
      </c>
      <c r="BA131" s="339">
        <f t="shared" si="61"/>
        <v>0</v>
      </c>
      <c r="BB131" s="339">
        <f t="shared" si="61"/>
        <v>0</v>
      </c>
      <c r="BC131" s="339">
        <f t="shared" si="61"/>
        <v>0</v>
      </c>
      <c r="BD131" s="339">
        <f t="shared" si="61"/>
        <v>0</v>
      </c>
      <c r="BE131" s="339">
        <f t="shared" si="61"/>
        <v>0</v>
      </c>
      <c r="BF131" s="339">
        <f t="shared" si="61"/>
        <v>0</v>
      </c>
      <c r="BG131" s="339">
        <f t="shared" si="61"/>
        <v>0</v>
      </c>
      <c r="BH131" s="339">
        <f t="shared" si="61"/>
        <v>0</v>
      </c>
      <c r="BI131" s="339">
        <f t="shared" si="61"/>
        <v>0</v>
      </c>
      <c r="BJ131" s="339">
        <f t="shared" si="61"/>
        <v>0</v>
      </c>
      <c r="BK131" s="339">
        <f t="shared" si="61"/>
        <v>0</v>
      </c>
      <c r="BL131" s="339">
        <f t="shared" si="61"/>
        <v>0</v>
      </c>
      <c r="BM131" s="339">
        <f t="shared" si="61"/>
        <v>0</v>
      </c>
      <c r="BN131" s="339">
        <f t="shared" si="61"/>
        <v>0</v>
      </c>
      <c r="BO131" s="339">
        <f t="shared" si="61"/>
        <v>0</v>
      </c>
      <c r="BP131" s="339">
        <f t="shared" si="61"/>
        <v>0</v>
      </c>
      <c r="BQ131" s="339">
        <f t="shared" si="61"/>
        <v>0</v>
      </c>
      <c r="BR131" s="339">
        <f t="shared" si="61"/>
        <v>0</v>
      </c>
      <c r="BS131" s="339">
        <f t="shared" si="61"/>
        <v>0</v>
      </c>
      <c r="BT131" s="339">
        <f t="shared" si="61"/>
        <v>0</v>
      </c>
      <c r="BU131" s="339">
        <f t="shared" si="61"/>
        <v>0</v>
      </c>
      <c r="BV131" s="339">
        <f t="shared" si="61"/>
        <v>0</v>
      </c>
      <c r="BW131" s="339">
        <f t="shared" si="61"/>
        <v>0</v>
      </c>
      <c r="BX131" s="339">
        <f t="shared" si="61"/>
        <v>0</v>
      </c>
      <c r="BY131" s="339">
        <f t="shared" si="61"/>
        <v>0</v>
      </c>
      <c r="BZ131" s="339">
        <f t="shared" si="61"/>
        <v>0</v>
      </c>
      <c r="CA131" s="339">
        <f t="shared" si="61"/>
        <v>0</v>
      </c>
      <c r="CB131" s="339">
        <f t="shared" si="61"/>
        <v>0</v>
      </c>
      <c r="CC131" s="339">
        <f t="shared" si="61"/>
        <v>0</v>
      </c>
      <c r="CD131" s="339">
        <f t="shared" si="61"/>
        <v>0</v>
      </c>
      <c r="CE131" s="339">
        <f t="shared" si="61"/>
        <v>0</v>
      </c>
      <c r="CF131" s="339">
        <f t="shared" si="61"/>
        <v>0</v>
      </c>
      <c r="CG131" s="339">
        <f t="shared" si="61"/>
        <v>0</v>
      </c>
      <c r="CH131" s="339">
        <f t="shared" si="61"/>
        <v>0</v>
      </c>
      <c r="CI131" s="339">
        <f t="shared" si="61"/>
        <v>0</v>
      </c>
      <c r="CJ131" s="339">
        <f t="shared" si="61"/>
        <v>0</v>
      </c>
      <c r="CK131" s="339">
        <f t="shared" si="61"/>
        <v>0</v>
      </c>
      <c r="CL131" s="339">
        <f t="shared" si="61"/>
        <v>0</v>
      </c>
      <c r="CM131" s="339">
        <f t="shared" si="61"/>
        <v>0</v>
      </c>
      <c r="CN131" s="339">
        <f t="shared" si="61"/>
        <v>0</v>
      </c>
      <c r="CO131" s="339">
        <f t="shared" si="61"/>
        <v>0</v>
      </c>
      <c r="CP131" s="339">
        <f t="shared" si="61"/>
        <v>0</v>
      </c>
      <c r="CQ131" s="339">
        <f t="shared" si="61"/>
        <v>0</v>
      </c>
    </row>
    <row r="132" spans="4:95">
      <c r="J132" s="459"/>
    </row>
    <row r="133" spans="4:95" ht="15.4">
      <c r="E133" s="403">
        <f t="shared" ref="E133:E146" si="62">D133/G133</f>
        <v>0</v>
      </c>
      <c r="F133" s="403">
        <f t="shared" ref="F133:F146" si="63">G133/12</f>
        <v>5</v>
      </c>
      <c r="G133" s="403">
        <v>60</v>
      </c>
      <c r="H133" s="404">
        <v>44469</v>
      </c>
      <c r="I133" s="404">
        <f t="shared" ref="I133:I146" si="64">H133+F133*365</f>
        <v>46294</v>
      </c>
      <c r="J133" s="459"/>
      <c r="AV133" s="339">
        <f t="shared" ref="AV133:CQ138" si="65">IF($I133&gt;AV$7-30,$E133,0)</f>
        <v>0</v>
      </c>
      <c r="AW133" s="339">
        <f t="shared" si="65"/>
        <v>0</v>
      </c>
      <c r="AX133" s="339">
        <f t="shared" si="65"/>
        <v>0</v>
      </c>
      <c r="AY133" s="339">
        <f t="shared" si="65"/>
        <v>0</v>
      </c>
      <c r="AZ133" s="339">
        <f t="shared" si="65"/>
        <v>0</v>
      </c>
      <c r="BA133" s="339">
        <f t="shared" si="65"/>
        <v>0</v>
      </c>
      <c r="BB133" s="339">
        <f t="shared" si="65"/>
        <v>0</v>
      </c>
      <c r="BC133" s="339">
        <f t="shared" si="65"/>
        <v>0</v>
      </c>
      <c r="BD133" s="339">
        <f t="shared" si="65"/>
        <v>0</v>
      </c>
      <c r="BE133" s="339">
        <f t="shared" si="65"/>
        <v>0</v>
      </c>
      <c r="BF133" s="339">
        <f t="shared" si="65"/>
        <v>0</v>
      </c>
      <c r="BG133" s="339">
        <f t="shared" si="65"/>
        <v>0</v>
      </c>
      <c r="BH133" s="339">
        <f t="shared" si="65"/>
        <v>0</v>
      </c>
      <c r="BI133" s="339">
        <f t="shared" si="65"/>
        <v>0</v>
      </c>
      <c r="BJ133" s="339">
        <f t="shared" si="65"/>
        <v>0</v>
      </c>
      <c r="BK133" s="339">
        <f t="shared" si="65"/>
        <v>0</v>
      </c>
      <c r="BL133" s="339">
        <f t="shared" si="65"/>
        <v>0</v>
      </c>
      <c r="BM133" s="339">
        <f t="shared" si="65"/>
        <v>0</v>
      </c>
      <c r="BN133" s="339">
        <f t="shared" si="65"/>
        <v>0</v>
      </c>
      <c r="BO133" s="339">
        <f t="shared" si="65"/>
        <v>0</v>
      </c>
      <c r="BP133" s="339">
        <f t="shared" si="65"/>
        <v>0</v>
      </c>
      <c r="BQ133" s="339">
        <f t="shared" si="65"/>
        <v>0</v>
      </c>
      <c r="BR133" s="339">
        <f t="shared" si="65"/>
        <v>0</v>
      </c>
      <c r="BS133" s="339">
        <f t="shared" si="65"/>
        <v>0</v>
      </c>
      <c r="BT133" s="339">
        <f t="shared" si="65"/>
        <v>0</v>
      </c>
      <c r="BU133" s="339">
        <f t="shared" si="65"/>
        <v>0</v>
      </c>
      <c r="BV133" s="339">
        <f t="shared" si="65"/>
        <v>0</v>
      </c>
      <c r="BW133" s="339">
        <f t="shared" si="65"/>
        <v>0</v>
      </c>
      <c r="BX133" s="339">
        <f t="shared" si="65"/>
        <v>0</v>
      </c>
      <c r="BY133" s="339">
        <f t="shared" si="65"/>
        <v>0</v>
      </c>
      <c r="BZ133" s="339">
        <f t="shared" si="65"/>
        <v>0</v>
      </c>
      <c r="CA133" s="339">
        <f t="shared" si="65"/>
        <v>0</v>
      </c>
      <c r="CB133" s="339">
        <f t="shared" si="65"/>
        <v>0</v>
      </c>
      <c r="CC133" s="339">
        <f t="shared" si="65"/>
        <v>0</v>
      </c>
      <c r="CD133" s="339">
        <f t="shared" si="65"/>
        <v>0</v>
      </c>
      <c r="CE133" s="339">
        <f t="shared" si="65"/>
        <v>0</v>
      </c>
      <c r="CF133" s="339">
        <f t="shared" si="65"/>
        <v>0</v>
      </c>
      <c r="CG133" s="339">
        <f t="shared" si="65"/>
        <v>0</v>
      </c>
      <c r="CH133" s="339">
        <f t="shared" si="65"/>
        <v>0</v>
      </c>
      <c r="CI133" s="339">
        <f t="shared" si="65"/>
        <v>0</v>
      </c>
      <c r="CJ133" s="339">
        <f t="shared" si="65"/>
        <v>0</v>
      </c>
      <c r="CK133" s="339">
        <f t="shared" si="65"/>
        <v>0</v>
      </c>
      <c r="CL133" s="339">
        <f t="shared" si="65"/>
        <v>0</v>
      </c>
      <c r="CM133" s="339">
        <f t="shared" si="65"/>
        <v>0</v>
      </c>
      <c r="CN133" s="339">
        <f t="shared" si="65"/>
        <v>0</v>
      </c>
      <c r="CO133" s="339">
        <f t="shared" si="65"/>
        <v>0</v>
      </c>
      <c r="CP133" s="339">
        <f t="shared" si="65"/>
        <v>0</v>
      </c>
      <c r="CQ133" s="339">
        <f t="shared" si="65"/>
        <v>0</v>
      </c>
    </row>
    <row r="134" spans="4:95" ht="15.4">
      <c r="D134" s="403">
        <f>'DD forecasts'!D41*'DD forecasts'!D81*1000</f>
        <v>241824.33971680503</v>
      </c>
      <c r="E134" s="403">
        <f t="shared" si="62"/>
        <v>4030.4056619467506</v>
      </c>
      <c r="F134" s="403">
        <f t="shared" si="63"/>
        <v>5</v>
      </c>
      <c r="G134" s="403">
        <v>60</v>
      </c>
      <c r="H134" s="404">
        <v>44469</v>
      </c>
      <c r="I134" s="404">
        <f t="shared" si="64"/>
        <v>46294</v>
      </c>
      <c r="J134" s="459"/>
      <c r="AV134" s="339">
        <f t="shared" si="65"/>
        <v>4030.4056619467506</v>
      </c>
      <c r="AW134" s="339">
        <f t="shared" si="65"/>
        <v>4030.4056619467506</v>
      </c>
      <c r="AX134" s="339">
        <f t="shared" si="65"/>
        <v>4030.4056619467506</v>
      </c>
      <c r="AY134" s="339">
        <f t="shared" si="65"/>
        <v>4030.4056619467506</v>
      </c>
      <c r="AZ134" s="339">
        <f t="shared" si="65"/>
        <v>4030.4056619467506</v>
      </c>
      <c r="BA134" s="339">
        <f t="shared" si="65"/>
        <v>4030.4056619467506</v>
      </c>
      <c r="BB134" s="339">
        <f t="shared" si="65"/>
        <v>4030.4056619467506</v>
      </c>
      <c r="BC134" s="339">
        <f t="shared" si="65"/>
        <v>4030.4056619467506</v>
      </c>
      <c r="BD134" s="339">
        <f t="shared" si="65"/>
        <v>4030.4056619467506</v>
      </c>
      <c r="BE134" s="339">
        <f t="shared" si="65"/>
        <v>4030.4056619467506</v>
      </c>
      <c r="BF134" s="339">
        <f t="shared" si="65"/>
        <v>4030.4056619467506</v>
      </c>
      <c r="BG134" s="339">
        <f t="shared" si="65"/>
        <v>4030.4056619467506</v>
      </c>
      <c r="BH134" s="339">
        <f t="shared" si="65"/>
        <v>4030.4056619467506</v>
      </c>
      <c r="BI134" s="339">
        <f t="shared" si="65"/>
        <v>4030.4056619467506</v>
      </c>
      <c r="BJ134" s="339">
        <f t="shared" si="65"/>
        <v>4030.4056619467506</v>
      </c>
      <c r="BK134" s="339">
        <f t="shared" si="65"/>
        <v>4030.4056619467506</v>
      </c>
      <c r="BL134" s="339">
        <f t="shared" si="65"/>
        <v>4030.4056619467506</v>
      </c>
      <c r="BM134" s="339">
        <f t="shared" si="65"/>
        <v>4030.4056619467506</v>
      </c>
      <c r="BN134" s="339">
        <f t="shared" si="65"/>
        <v>4030.4056619467506</v>
      </c>
      <c r="BO134" s="339">
        <f t="shared" si="65"/>
        <v>4030.4056619467506</v>
      </c>
      <c r="BP134" s="339">
        <f t="shared" si="65"/>
        <v>4030.4056619467506</v>
      </c>
      <c r="BQ134" s="339">
        <f t="shared" si="65"/>
        <v>4030.4056619467506</v>
      </c>
      <c r="BR134" s="339">
        <f t="shared" si="65"/>
        <v>4030.4056619467506</v>
      </c>
      <c r="BS134" s="339">
        <f t="shared" si="65"/>
        <v>4030.4056619467506</v>
      </c>
      <c r="BT134" s="339">
        <f t="shared" si="65"/>
        <v>4030.4056619467506</v>
      </c>
      <c r="BU134" s="339">
        <f t="shared" si="65"/>
        <v>4030.4056619467506</v>
      </c>
      <c r="BV134" s="339">
        <f t="shared" si="65"/>
        <v>4030.4056619467506</v>
      </c>
      <c r="BW134" s="339">
        <f t="shared" si="65"/>
        <v>4030.4056619467506</v>
      </c>
      <c r="BX134" s="339">
        <f t="shared" si="65"/>
        <v>4030.4056619467506</v>
      </c>
      <c r="BY134" s="339">
        <f t="shared" si="65"/>
        <v>4030.4056619467506</v>
      </c>
      <c r="BZ134" s="339">
        <f t="shared" si="65"/>
        <v>4030.4056619467506</v>
      </c>
      <c r="CA134" s="339">
        <f t="shared" si="65"/>
        <v>4030.4056619467506</v>
      </c>
      <c r="CB134" s="339">
        <f t="shared" si="65"/>
        <v>4030.4056619467506</v>
      </c>
      <c r="CC134" s="339">
        <f t="shared" si="65"/>
        <v>4030.4056619467506</v>
      </c>
      <c r="CD134" s="339">
        <f t="shared" si="65"/>
        <v>4030.4056619467506</v>
      </c>
      <c r="CE134" s="339">
        <f t="shared" si="65"/>
        <v>4030.4056619467506</v>
      </c>
      <c r="CF134" s="339">
        <f t="shared" si="65"/>
        <v>4030.4056619467506</v>
      </c>
      <c r="CG134" s="339">
        <f t="shared" si="65"/>
        <v>4030.4056619467506</v>
      </c>
      <c r="CH134" s="339">
        <f t="shared" si="65"/>
        <v>4030.4056619467506</v>
      </c>
      <c r="CI134" s="339">
        <f t="shared" si="65"/>
        <v>4030.4056619467506</v>
      </c>
      <c r="CJ134" s="339">
        <f t="shared" si="65"/>
        <v>4030.4056619467506</v>
      </c>
      <c r="CK134" s="339">
        <f t="shared" si="65"/>
        <v>4030.4056619467506</v>
      </c>
      <c r="CL134" s="339">
        <f t="shared" si="65"/>
        <v>4030.4056619467506</v>
      </c>
      <c r="CM134" s="339">
        <f t="shared" si="65"/>
        <v>4030.4056619467506</v>
      </c>
      <c r="CN134" s="339">
        <f t="shared" si="65"/>
        <v>4030.4056619467506</v>
      </c>
      <c r="CO134" s="339">
        <f t="shared" si="65"/>
        <v>4030.4056619467506</v>
      </c>
      <c r="CP134" s="339">
        <f t="shared" si="65"/>
        <v>4030.4056619467506</v>
      </c>
      <c r="CQ134" s="339">
        <f t="shared" si="65"/>
        <v>4030.4056619467506</v>
      </c>
    </row>
    <row r="135" spans="4:95" ht="15.4">
      <c r="D135" s="403">
        <f>'DD forecasts'!D13*'DD forecasts'!D81*1000</f>
        <v>4353892.8608792303</v>
      </c>
      <c r="E135" s="403">
        <f t="shared" si="62"/>
        <v>72564.881014653845</v>
      </c>
      <c r="F135" s="403">
        <f t="shared" si="63"/>
        <v>5</v>
      </c>
      <c r="G135" s="403">
        <v>60</v>
      </c>
      <c r="H135" s="404">
        <v>44469</v>
      </c>
      <c r="I135" s="404">
        <f t="shared" si="64"/>
        <v>46294</v>
      </c>
      <c r="J135" s="459"/>
      <c r="AV135" s="339">
        <f t="shared" si="65"/>
        <v>72564.881014653845</v>
      </c>
      <c r="AW135" s="339">
        <f t="shared" si="65"/>
        <v>72564.881014653845</v>
      </c>
      <c r="AX135" s="339">
        <f t="shared" si="65"/>
        <v>72564.881014653845</v>
      </c>
      <c r="AY135" s="339">
        <f t="shared" si="65"/>
        <v>72564.881014653845</v>
      </c>
      <c r="AZ135" s="339">
        <f t="shared" si="65"/>
        <v>72564.881014653845</v>
      </c>
      <c r="BA135" s="339">
        <f t="shared" si="65"/>
        <v>72564.881014653845</v>
      </c>
      <c r="BB135" s="339">
        <f t="shared" si="65"/>
        <v>72564.881014653845</v>
      </c>
      <c r="BC135" s="339">
        <f t="shared" si="65"/>
        <v>72564.881014653845</v>
      </c>
      <c r="BD135" s="339">
        <f t="shared" si="65"/>
        <v>72564.881014653845</v>
      </c>
      <c r="BE135" s="339">
        <f t="shared" si="65"/>
        <v>72564.881014653845</v>
      </c>
      <c r="BF135" s="339">
        <f t="shared" si="65"/>
        <v>72564.881014653845</v>
      </c>
      <c r="BG135" s="339">
        <f t="shared" si="65"/>
        <v>72564.881014653845</v>
      </c>
      <c r="BH135" s="339">
        <f t="shared" si="65"/>
        <v>72564.881014653845</v>
      </c>
      <c r="BI135" s="339">
        <f t="shared" si="65"/>
        <v>72564.881014653845</v>
      </c>
      <c r="BJ135" s="339">
        <f t="shared" si="65"/>
        <v>72564.881014653845</v>
      </c>
      <c r="BK135" s="339">
        <f t="shared" si="65"/>
        <v>72564.881014653845</v>
      </c>
      <c r="BL135" s="339">
        <f t="shared" si="65"/>
        <v>72564.881014653845</v>
      </c>
      <c r="BM135" s="339">
        <f t="shared" si="65"/>
        <v>72564.881014653845</v>
      </c>
      <c r="BN135" s="339">
        <f t="shared" si="65"/>
        <v>72564.881014653845</v>
      </c>
      <c r="BO135" s="339">
        <f t="shared" si="65"/>
        <v>72564.881014653845</v>
      </c>
      <c r="BP135" s="339">
        <f t="shared" si="65"/>
        <v>72564.881014653845</v>
      </c>
      <c r="BQ135" s="339">
        <f t="shared" si="65"/>
        <v>72564.881014653845</v>
      </c>
      <c r="BR135" s="339">
        <f t="shared" si="65"/>
        <v>72564.881014653845</v>
      </c>
      <c r="BS135" s="339">
        <f t="shared" si="65"/>
        <v>72564.881014653845</v>
      </c>
      <c r="BT135" s="339">
        <f t="shared" si="65"/>
        <v>72564.881014653845</v>
      </c>
      <c r="BU135" s="339">
        <f t="shared" si="65"/>
        <v>72564.881014653845</v>
      </c>
      <c r="BV135" s="339">
        <f t="shared" si="65"/>
        <v>72564.881014653845</v>
      </c>
      <c r="BW135" s="339">
        <f t="shared" si="65"/>
        <v>72564.881014653845</v>
      </c>
      <c r="BX135" s="339">
        <f t="shared" si="65"/>
        <v>72564.881014653845</v>
      </c>
      <c r="BY135" s="339">
        <f t="shared" si="65"/>
        <v>72564.881014653845</v>
      </c>
      <c r="BZ135" s="339">
        <f t="shared" si="65"/>
        <v>72564.881014653845</v>
      </c>
      <c r="CA135" s="339">
        <f t="shared" si="65"/>
        <v>72564.881014653845</v>
      </c>
      <c r="CB135" s="339">
        <f t="shared" si="65"/>
        <v>72564.881014653845</v>
      </c>
      <c r="CC135" s="339">
        <f t="shared" si="65"/>
        <v>72564.881014653845</v>
      </c>
      <c r="CD135" s="339">
        <f t="shared" si="65"/>
        <v>72564.881014653845</v>
      </c>
      <c r="CE135" s="339">
        <f t="shared" si="65"/>
        <v>72564.881014653845</v>
      </c>
      <c r="CF135" s="339">
        <f t="shared" si="65"/>
        <v>72564.881014653845</v>
      </c>
      <c r="CG135" s="339">
        <f t="shared" si="65"/>
        <v>72564.881014653845</v>
      </c>
      <c r="CH135" s="339">
        <f t="shared" si="65"/>
        <v>72564.881014653845</v>
      </c>
      <c r="CI135" s="339">
        <f t="shared" si="65"/>
        <v>72564.881014653845</v>
      </c>
      <c r="CJ135" s="339">
        <f t="shared" si="65"/>
        <v>72564.881014653845</v>
      </c>
      <c r="CK135" s="339">
        <f t="shared" si="65"/>
        <v>72564.881014653845</v>
      </c>
      <c r="CL135" s="339">
        <f t="shared" si="65"/>
        <v>72564.881014653845</v>
      </c>
      <c r="CM135" s="339">
        <f t="shared" si="65"/>
        <v>72564.881014653845</v>
      </c>
      <c r="CN135" s="339">
        <f t="shared" si="65"/>
        <v>72564.881014653845</v>
      </c>
      <c r="CO135" s="339">
        <f t="shared" si="65"/>
        <v>72564.881014653845</v>
      </c>
      <c r="CP135" s="339">
        <f t="shared" si="65"/>
        <v>72564.881014653845</v>
      </c>
      <c r="CQ135" s="339">
        <f t="shared" si="65"/>
        <v>72564.881014653845</v>
      </c>
    </row>
    <row r="136" spans="4:95" ht="15.4">
      <c r="E136" s="403">
        <f t="shared" si="62"/>
        <v>0</v>
      </c>
      <c r="F136" s="403">
        <f t="shared" si="63"/>
        <v>5</v>
      </c>
      <c r="G136" s="403">
        <v>60</v>
      </c>
      <c r="H136" s="404">
        <v>44469</v>
      </c>
      <c r="I136" s="404">
        <f t="shared" si="64"/>
        <v>46294</v>
      </c>
      <c r="J136" s="459"/>
      <c r="AV136" s="339">
        <f t="shared" si="65"/>
        <v>0</v>
      </c>
      <c r="AW136" s="339">
        <f t="shared" si="65"/>
        <v>0</v>
      </c>
      <c r="AX136" s="339">
        <f t="shared" si="65"/>
        <v>0</v>
      </c>
      <c r="AY136" s="339">
        <f t="shared" si="65"/>
        <v>0</v>
      </c>
      <c r="AZ136" s="339">
        <f t="shared" si="65"/>
        <v>0</v>
      </c>
      <c r="BA136" s="339">
        <f t="shared" si="65"/>
        <v>0</v>
      </c>
      <c r="BB136" s="339">
        <f t="shared" si="65"/>
        <v>0</v>
      </c>
      <c r="BC136" s="339">
        <f t="shared" si="65"/>
        <v>0</v>
      </c>
      <c r="BD136" s="339">
        <f t="shared" si="65"/>
        <v>0</v>
      </c>
      <c r="BE136" s="339">
        <f t="shared" si="65"/>
        <v>0</v>
      </c>
      <c r="BF136" s="339">
        <f t="shared" si="65"/>
        <v>0</v>
      </c>
      <c r="BG136" s="339">
        <f t="shared" si="65"/>
        <v>0</v>
      </c>
      <c r="BH136" s="339">
        <f t="shared" si="65"/>
        <v>0</v>
      </c>
      <c r="BI136" s="339">
        <f t="shared" si="65"/>
        <v>0</v>
      </c>
      <c r="BJ136" s="339">
        <f t="shared" si="65"/>
        <v>0</v>
      </c>
      <c r="BK136" s="339">
        <f t="shared" si="65"/>
        <v>0</v>
      </c>
      <c r="BL136" s="339">
        <f t="shared" si="65"/>
        <v>0</v>
      </c>
      <c r="BM136" s="339">
        <f t="shared" si="65"/>
        <v>0</v>
      </c>
      <c r="BN136" s="339">
        <f t="shared" si="65"/>
        <v>0</v>
      </c>
      <c r="BO136" s="339">
        <f t="shared" si="65"/>
        <v>0</v>
      </c>
      <c r="BP136" s="339">
        <f t="shared" si="65"/>
        <v>0</v>
      </c>
      <c r="BQ136" s="339">
        <f t="shared" si="65"/>
        <v>0</v>
      </c>
      <c r="BR136" s="339">
        <f t="shared" si="65"/>
        <v>0</v>
      </c>
      <c r="BS136" s="339">
        <f t="shared" si="65"/>
        <v>0</v>
      </c>
      <c r="BT136" s="339">
        <f t="shared" si="65"/>
        <v>0</v>
      </c>
      <c r="BU136" s="339">
        <f t="shared" si="65"/>
        <v>0</v>
      </c>
      <c r="BV136" s="339">
        <f t="shared" si="65"/>
        <v>0</v>
      </c>
      <c r="BW136" s="339">
        <f t="shared" si="65"/>
        <v>0</v>
      </c>
      <c r="BX136" s="339">
        <f t="shared" si="65"/>
        <v>0</v>
      </c>
      <c r="BY136" s="339">
        <f t="shared" si="65"/>
        <v>0</v>
      </c>
      <c r="BZ136" s="339">
        <f t="shared" si="65"/>
        <v>0</v>
      </c>
      <c r="CA136" s="339">
        <f t="shared" si="65"/>
        <v>0</v>
      </c>
      <c r="CB136" s="339">
        <f t="shared" si="65"/>
        <v>0</v>
      </c>
      <c r="CC136" s="339">
        <f t="shared" si="65"/>
        <v>0</v>
      </c>
      <c r="CD136" s="339">
        <f t="shared" si="65"/>
        <v>0</v>
      </c>
      <c r="CE136" s="339">
        <f t="shared" si="65"/>
        <v>0</v>
      </c>
      <c r="CF136" s="339">
        <f t="shared" si="65"/>
        <v>0</v>
      </c>
      <c r="CG136" s="339">
        <f t="shared" si="65"/>
        <v>0</v>
      </c>
      <c r="CH136" s="339">
        <f t="shared" si="65"/>
        <v>0</v>
      </c>
      <c r="CI136" s="339">
        <f t="shared" si="65"/>
        <v>0</v>
      </c>
      <c r="CJ136" s="339">
        <f t="shared" si="65"/>
        <v>0</v>
      </c>
      <c r="CK136" s="339">
        <f t="shared" si="65"/>
        <v>0</v>
      </c>
      <c r="CL136" s="339">
        <f t="shared" si="65"/>
        <v>0</v>
      </c>
      <c r="CM136" s="339">
        <f t="shared" si="65"/>
        <v>0</v>
      </c>
      <c r="CN136" s="339">
        <f t="shared" si="65"/>
        <v>0</v>
      </c>
      <c r="CO136" s="339">
        <f t="shared" si="65"/>
        <v>0</v>
      </c>
      <c r="CP136" s="339">
        <f t="shared" si="65"/>
        <v>0</v>
      </c>
      <c r="CQ136" s="339">
        <f t="shared" si="65"/>
        <v>0</v>
      </c>
    </row>
    <row r="137" spans="4:95" ht="15.4">
      <c r="E137" s="403">
        <f t="shared" si="62"/>
        <v>0</v>
      </c>
      <c r="F137" s="403">
        <f t="shared" si="63"/>
        <v>5</v>
      </c>
      <c r="G137" s="403">
        <v>60</v>
      </c>
      <c r="H137" s="404">
        <v>44469</v>
      </c>
      <c r="I137" s="404">
        <f t="shared" si="64"/>
        <v>46294</v>
      </c>
      <c r="J137" s="459"/>
      <c r="AV137" s="339">
        <f t="shared" si="65"/>
        <v>0</v>
      </c>
      <c r="AW137" s="339">
        <f t="shared" si="65"/>
        <v>0</v>
      </c>
      <c r="AX137" s="339">
        <f t="shared" si="65"/>
        <v>0</v>
      </c>
      <c r="AY137" s="339">
        <f t="shared" si="65"/>
        <v>0</v>
      </c>
      <c r="AZ137" s="339">
        <f t="shared" si="65"/>
        <v>0</v>
      </c>
      <c r="BA137" s="339">
        <f t="shared" si="65"/>
        <v>0</v>
      </c>
      <c r="BB137" s="339">
        <f t="shared" si="65"/>
        <v>0</v>
      </c>
      <c r="BC137" s="339">
        <f t="shared" si="65"/>
        <v>0</v>
      </c>
      <c r="BD137" s="339">
        <f t="shared" si="65"/>
        <v>0</v>
      </c>
      <c r="BE137" s="339">
        <f t="shared" si="65"/>
        <v>0</v>
      </c>
      <c r="BF137" s="339">
        <f t="shared" si="65"/>
        <v>0</v>
      </c>
      <c r="BG137" s="339">
        <f t="shared" si="65"/>
        <v>0</v>
      </c>
      <c r="BH137" s="339">
        <f t="shared" si="65"/>
        <v>0</v>
      </c>
      <c r="BI137" s="339">
        <f t="shared" si="65"/>
        <v>0</v>
      </c>
      <c r="BJ137" s="339">
        <f t="shared" si="65"/>
        <v>0</v>
      </c>
      <c r="BK137" s="339">
        <f t="shared" si="65"/>
        <v>0</v>
      </c>
      <c r="BL137" s="339">
        <f t="shared" si="65"/>
        <v>0</v>
      </c>
      <c r="BM137" s="339">
        <f t="shared" si="65"/>
        <v>0</v>
      </c>
      <c r="BN137" s="339">
        <f t="shared" si="65"/>
        <v>0</v>
      </c>
      <c r="BO137" s="339">
        <f t="shared" si="65"/>
        <v>0</v>
      </c>
      <c r="BP137" s="339">
        <f t="shared" si="65"/>
        <v>0</v>
      </c>
      <c r="BQ137" s="339">
        <f t="shared" si="65"/>
        <v>0</v>
      </c>
      <c r="BR137" s="339">
        <f t="shared" si="65"/>
        <v>0</v>
      </c>
      <c r="BS137" s="339">
        <f t="shared" si="65"/>
        <v>0</v>
      </c>
      <c r="BT137" s="339">
        <f t="shared" si="65"/>
        <v>0</v>
      </c>
      <c r="BU137" s="339">
        <f t="shared" si="65"/>
        <v>0</v>
      </c>
      <c r="BV137" s="339">
        <f t="shared" si="65"/>
        <v>0</v>
      </c>
      <c r="BW137" s="339">
        <f t="shared" si="65"/>
        <v>0</v>
      </c>
      <c r="BX137" s="339">
        <f t="shared" si="65"/>
        <v>0</v>
      </c>
      <c r="BY137" s="339">
        <f t="shared" si="65"/>
        <v>0</v>
      </c>
      <c r="BZ137" s="339">
        <f t="shared" si="65"/>
        <v>0</v>
      </c>
      <c r="CA137" s="339">
        <f t="shared" si="65"/>
        <v>0</v>
      </c>
      <c r="CB137" s="339">
        <f t="shared" si="65"/>
        <v>0</v>
      </c>
      <c r="CC137" s="339">
        <f t="shared" si="65"/>
        <v>0</v>
      </c>
      <c r="CD137" s="339">
        <f t="shared" si="65"/>
        <v>0</v>
      </c>
      <c r="CE137" s="339">
        <f t="shared" si="65"/>
        <v>0</v>
      </c>
      <c r="CF137" s="339">
        <f t="shared" si="65"/>
        <v>0</v>
      </c>
      <c r="CG137" s="339">
        <f t="shared" si="65"/>
        <v>0</v>
      </c>
      <c r="CH137" s="339">
        <f t="shared" si="65"/>
        <v>0</v>
      </c>
      <c r="CI137" s="339">
        <f t="shared" si="65"/>
        <v>0</v>
      </c>
      <c r="CJ137" s="339">
        <f t="shared" si="65"/>
        <v>0</v>
      </c>
      <c r="CK137" s="339">
        <f t="shared" si="65"/>
        <v>0</v>
      </c>
      <c r="CL137" s="339">
        <f t="shared" si="65"/>
        <v>0</v>
      </c>
      <c r="CM137" s="339">
        <f t="shared" si="65"/>
        <v>0</v>
      </c>
      <c r="CN137" s="339">
        <f t="shared" si="65"/>
        <v>0</v>
      </c>
      <c r="CO137" s="339">
        <f t="shared" si="65"/>
        <v>0</v>
      </c>
      <c r="CP137" s="339">
        <f t="shared" si="65"/>
        <v>0</v>
      </c>
      <c r="CQ137" s="339">
        <f t="shared" si="65"/>
        <v>0</v>
      </c>
    </row>
    <row r="138" spans="4:95" ht="15.4">
      <c r="E138" s="403">
        <f t="shared" si="62"/>
        <v>0</v>
      </c>
      <c r="F138" s="403">
        <f t="shared" si="63"/>
        <v>5</v>
      </c>
      <c r="G138" s="403">
        <v>60</v>
      </c>
      <c r="H138" s="404">
        <v>44469</v>
      </c>
      <c r="I138" s="404">
        <f t="shared" si="64"/>
        <v>46294</v>
      </c>
      <c r="J138" s="459"/>
      <c r="AV138" s="339">
        <f t="shared" si="65"/>
        <v>0</v>
      </c>
      <c r="AW138" s="339">
        <f t="shared" si="65"/>
        <v>0</v>
      </c>
      <c r="AX138" s="339">
        <f t="shared" si="65"/>
        <v>0</v>
      </c>
      <c r="AY138" s="339">
        <f t="shared" si="65"/>
        <v>0</v>
      </c>
      <c r="AZ138" s="339">
        <f t="shared" si="65"/>
        <v>0</v>
      </c>
      <c r="BA138" s="339">
        <f t="shared" si="65"/>
        <v>0</v>
      </c>
      <c r="BB138" s="339">
        <f t="shared" si="65"/>
        <v>0</v>
      </c>
      <c r="BC138" s="339">
        <f t="shared" si="65"/>
        <v>0</v>
      </c>
      <c r="BD138" s="339">
        <f t="shared" si="65"/>
        <v>0</v>
      </c>
      <c r="BE138" s="339">
        <f t="shared" si="65"/>
        <v>0</v>
      </c>
      <c r="BF138" s="339">
        <f t="shared" si="65"/>
        <v>0</v>
      </c>
      <c r="BG138" s="339">
        <f t="shared" si="65"/>
        <v>0</v>
      </c>
      <c r="BH138" s="339">
        <f t="shared" si="65"/>
        <v>0</v>
      </c>
      <c r="BI138" s="339">
        <f t="shared" si="65"/>
        <v>0</v>
      </c>
      <c r="BJ138" s="339">
        <f t="shared" si="65"/>
        <v>0</v>
      </c>
      <c r="BK138" s="339">
        <f t="shared" ref="BK138:CQ138" si="66">IF($I138&gt;BK$7-30,$E138,0)</f>
        <v>0</v>
      </c>
      <c r="BL138" s="339">
        <f t="shared" si="66"/>
        <v>0</v>
      </c>
      <c r="BM138" s="339">
        <f t="shared" si="66"/>
        <v>0</v>
      </c>
      <c r="BN138" s="339">
        <f t="shared" si="66"/>
        <v>0</v>
      </c>
      <c r="BO138" s="339">
        <f t="shared" si="66"/>
        <v>0</v>
      </c>
      <c r="BP138" s="339">
        <f t="shared" si="66"/>
        <v>0</v>
      </c>
      <c r="BQ138" s="339">
        <f t="shared" si="66"/>
        <v>0</v>
      </c>
      <c r="BR138" s="339">
        <f t="shared" si="66"/>
        <v>0</v>
      </c>
      <c r="BS138" s="339">
        <f t="shared" si="66"/>
        <v>0</v>
      </c>
      <c r="BT138" s="339">
        <f t="shared" si="66"/>
        <v>0</v>
      </c>
      <c r="BU138" s="339">
        <f t="shared" si="66"/>
        <v>0</v>
      </c>
      <c r="BV138" s="339">
        <f t="shared" si="66"/>
        <v>0</v>
      </c>
      <c r="BW138" s="339">
        <f t="shared" si="66"/>
        <v>0</v>
      </c>
      <c r="BX138" s="339">
        <f t="shared" si="66"/>
        <v>0</v>
      </c>
      <c r="BY138" s="339">
        <f t="shared" si="66"/>
        <v>0</v>
      </c>
      <c r="BZ138" s="339">
        <f t="shared" si="66"/>
        <v>0</v>
      </c>
      <c r="CA138" s="339">
        <f t="shared" si="66"/>
        <v>0</v>
      </c>
      <c r="CB138" s="339">
        <f t="shared" si="66"/>
        <v>0</v>
      </c>
      <c r="CC138" s="339">
        <f t="shared" si="66"/>
        <v>0</v>
      </c>
      <c r="CD138" s="339">
        <f t="shared" si="66"/>
        <v>0</v>
      </c>
      <c r="CE138" s="339">
        <f t="shared" si="66"/>
        <v>0</v>
      </c>
      <c r="CF138" s="339">
        <f t="shared" si="66"/>
        <v>0</v>
      </c>
      <c r="CG138" s="339">
        <f t="shared" si="66"/>
        <v>0</v>
      </c>
      <c r="CH138" s="339">
        <f t="shared" si="66"/>
        <v>0</v>
      </c>
      <c r="CI138" s="339">
        <f t="shared" si="66"/>
        <v>0</v>
      </c>
      <c r="CJ138" s="339">
        <f t="shared" si="66"/>
        <v>0</v>
      </c>
      <c r="CK138" s="339">
        <f t="shared" si="66"/>
        <v>0</v>
      </c>
      <c r="CL138" s="339">
        <f t="shared" si="66"/>
        <v>0</v>
      </c>
      <c r="CM138" s="339">
        <f t="shared" si="66"/>
        <v>0</v>
      </c>
      <c r="CN138" s="339">
        <f t="shared" si="66"/>
        <v>0</v>
      </c>
      <c r="CO138" s="339">
        <f t="shared" si="66"/>
        <v>0</v>
      </c>
      <c r="CP138" s="339">
        <f t="shared" si="66"/>
        <v>0</v>
      </c>
      <c r="CQ138" s="339">
        <f t="shared" si="66"/>
        <v>0</v>
      </c>
    </row>
    <row r="139" spans="4:95" ht="15.4">
      <c r="E139" s="403">
        <f t="shared" si="62"/>
        <v>0</v>
      </c>
      <c r="F139" s="403">
        <f t="shared" si="63"/>
        <v>5</v>
      </c>
      <c r="G139" s="403">
        <v>60</v>
      </c>
      <c r="H139" s="404">
        <v>44469</v>
      </c>
      <c r="I139" s="404">
        <f t="shared" si="64"/>
        <v>46294</v>
      </c>
      <c r="J139" s="459"/>
      <c r="AV139" s="339">
        <f t="shared" ref="AV139:CQ144" si="67">IF($I139&gt;AV$7-30,$E139,0)</f>
        <v>0</v>
      </c>
      <c r="AW139" s="339">
        <f t="shared" si="67"/>
        <v>0</v>
      </c>
      <c r="AX139" s="339">
        <f t="shared" si="67"/>
        <v>0</v>
      </c>
      <c r="AY139" s="339">
        <f t="shared" si="67"/>
        <v>0</v>
      </c>
      <c r="AZ139" s="339">
        <f t="shared" si="67"/>
        <v>0</v>
      </c>
      <c r="BA139" s="339">
        <f t="shared" si="67"/>
        <v>0</v>
      </c>
      <c r="BB139" s="339">
        <f t="shared" si="67"/>
        <v>0</v>
      </c>
      <c r="BC139" s="339">
        <f t="shared" si="67"/>
        <v>0</v>
      </c>
      <c r="BD139" s="339">
        <f t="shared" si="67"/>
        <v>0</v>
      </c>
      <c r="BE139" s="339">
        <f t="shared" si="67"/>
        <v>0</v>
      </c>
      <c r="BF139" s="339">
        <f t="shared" si="67"/>
        <v>0</v>
      </c>
      <c r="BG139" s="339">
        <f t="shared" si="67"/>
        <v>0</v>
      </c>
      <c r="BH139" s="339">
        <f t="shared" si="67"/>
        <v>0</v>
      </c>
      <c r="BI139" s="339">
        <f t="shared" si="67"/>
        <v>0</v>
      </c>
      <c r="BJ139" s="339">
        <f t="shared" si="67"/>
        <v>0</v>
      </c>
      <c r="BK139" s="339">
        <f t="shared" si="67"/>
        <v>0</v>
      </c>
      <c r="BL139" s="339">
        <f t="shared" si="67"/>
        <v>0</v>
      </c>
      <c r="BM139" s="339">
        <f t="shared" si="67"/>
        <v>0</v>
      </c>
      <c r="BN139" s="339">
        <f t="shared" si="67"/>
        <v>0</v>
      </c>
      <c r="BO139" s="339">
        <f t="shared" si="67"/>
        <v>0</v>
      </c>
      <c r="BP139" s="339">
        <f t="shared" si="67"/>
        <v>0</v>
      </c>
      <c r="BQ139" s="339">
        <f t="shared" si="67"/>
        <v>0</v>
      </c>
      <c r="BR139" s="339">
        <f t="shared" si="67"/>
        <v>0</v>
      </c>
      <c r="BS139" s="339">
        <f t="shared" si="67"/>
        <v>0</v>
      </c>
      <c r="BT139" s="339">
        <f t="shared" si="67"/>
        <v>0</v>
      </c>
      <c r="BU139" s="339">
        <f t="shared" si="67"/>
        <v>0</v>
      </c>
      <c r="BV139" s="339">
        <f t="shared" si="67"/>
        <v>0</v>
      </c>
      <c r="BW139" s="339">
        <f t="shared" si="67"/>
        <v>0</v>
      </c>
      <c r="BX139" s="339">
        <f t="shared" si="67"/>
        <v>0</v>
      </c>
      <c r="BY139" s="339">
        <f t="shared" si="67"/>
        <v>0</v>
      </c>
      <c r="BZ139" s="339">
        <f t="shared" si="67"/>
        <v>0</v>
      </c>
      <c r="CA139" s="339">
        <f t="shared" si="67"/>
        <v>0</v>
      </c>
      <c r="CB139" s="339">
        <f t="shared" si="67"/>
        <v>0</v>
      </c>
      <c r="CC139" s="339">
        <f t="shared" si="67"/>
        <v>0</v>
      </c>
      <c r="CD139" s="339">
        <f t="shared" si="67"/>
        <v>0</v>
      </c>
      <c r="CE139" s="339">
        <f t="shared" si="67"/>
        <v>0</v>
      </c>
      <c r="CF139" s="339">
        <f t="shared" si="67"/>
        <v>0</v>
      </c>
      <c r="CG139" s="339">
        <f t="shared" si="67"/>
        <v>0</v>
      </c>
      <c r="CH139" s="339">
        <f t="shared" si="67"/>
        <v>0</v>
      </c>
      <c r="CI139" s="339">
        <f t="shared" si="67"/>
        <v>0</v>
      </c>
      <c r="CJ139" s="339">
        <f t="shared" si="67"/>
        <v>0</v>
      </c>
      <c r="CK139" s="339">
        <f t="shared" si="67"/>
        <v>0</v>
      </c>
      <c r="CL139" s="339">
        <f t="shared" si="67"/>
        <v>0</v>
      </c>
      <c r="CM139" s="339">
        <f t="shared" si="67"/>
        <v>0</v>
      </c>
      <c r="CN139" s="339">
        <f t="shared" si="67"/>
        <v>0</v>
      </c>
      <c r="CO139" s="339">
        <f t="shared" si="67"/>
        <v>0</v>
      </c>
      <c r="CP139" s="339">
        <f t="shared" si="67"/>
        <v>0</v>
      </c>
      <c r="CQ139" s="339">
        <f t="shared" si="67"/>
        <v>0</v>
      </c>
    </row>
    <row r="140" spans="4:95" ht="15.4">
      <c r="E140" s="403">
        <f t="shared" si="62"/>
        <v>0</v>
      </c>
      <c r="F140" s="403">
        <f t="shared" si="63"/>
        <v>5</v>
      </c>
      <c r="G140" s="403">
        <v>60</v>
      </c>
      <c r="H140" s="404">
        <v>44469</v>
      </c>
      <c r="I140" s="404">
        <f t="shared" si="64"/>
        <v>46294</v>
      </c>
      <c r="J140" s="459"/>
      <c r="AV140" s="339">
        <f t="shared" si="67"/>
        <v>0</v>
      </c>
      <c r="AW140" s="339">
        <f t="shared" si="67"/>
        <v>0</v>
      </c>
      <c r="AX140" s="339">
        <f t="shared" si="67"/>
        <v>0</v>
      </c>
      <c r="AY140" s="339">
        <f t="shared" si="67"/>
        <v>0</v>
      </c>
      <c r="AZ140" s="339">
        <f t="shared" si="67"/>
        <v>0</v>
      </c>
      <c r="BA140" s="339">
        <f t="shared" si="67"/>
        <v>0</v>
      </c>
      <c r="BB140" s="339">
        <f t="shared" si="67"/>
        <v>0</v>
      </c>
      <c r="BC140" s="339">
        <f t="shared" si="67"/>
        <v>0</v>
      </c>
      <c r="BD140" s="339">
        <f t="shared" si="67"/>
        <v>0</v>
      </c>
      <c r="BE140" s="339">
        <f t="shared" si="67"/>
        <v>0</v>
      </c>
      <c r="BF140" s="339">
        <f t="shared" si="67"/>
        <v>0</v>
      </c>
      <c r="BG140" s="339">
        <f t="shared" si="67"/>
        <v>0</v>
      </c>
      <c r="BH140" s="339">
        <f t="shared" si="67"/>
        <v>0</v>
      </c>
      <c r="BI140" s="339">
        <f t="shared" si="67"/>
        <v>0</v>
      </c>
      <c r="BJ140" s="339">
        <f t="shared" si="67"/>
        <v>0</v>
      </c>
      <c r="BK140" s="339">
        <f t="shared" si="67"/>
        <v>0</v>
      </c>
      <c r="BL140" s="339">
        <f t="shared" si="67"/>
        <v>0</v>
      </c>
      <c r="BM140" s="339">
        <f t="shared" si="67"/>
        <v>0</v>
      </c>
      <c r="BN140" s="339">
        <f t="shared" si="67"/>
        <v>0</v>
      </c>
      <c r="BO140" s="339">
        <f t="shared" si="67"/>
        <v>0</v>
      </c>
      <c r="BP140" s="339">
        <f t="shared" si="67"/>
        <v>0</v>
      </c>
      <c r="BQ140" s="339">
        <f t="shared" si="67"/>
        <v>0</v>
      </c>
      <c r="BR140" s="339">
        <f t="shared" si="67"/>
        <v>0</v>
      </c>
      <c r="BS140" s="339">
        <f t="shared" si="67"/>
        <v>0</v>
      </c>
      <c r="BT140" s="339">
        <f t="shared" si="67"/>
        <v>0</v>
      </c>
      <c r="BU140" s="339">
        <f t="shared" si="67"/>
        <v>0</v>
      </c>
      <c r="BV140" s="339">
        <f t="shared" si="67"/>
        <v>0</v>
      </c>
      <c r="BW140" s="339">
        <f t="shared" si="67"/>
        <v>0</v>
      </c>
      <c r="BX140" s="339">
        <f t="shared" si="67"/>
        <v>0</v>
      </c>
      <c r="BY140" s="339">
        <f t="shared" si="67"/>
        <v>0</v>
      </c>
      <c r="BZ140" s="339">
        <f t="shared" si="67"/>
        <v>0</v>
      </c>
      <c r="CA140" s="339">
        <f t="shared" si="67"/>
        <v>0</v>
      </c>
      <c r="CB140" s="339">
        <f t="shared" si="67"/>
        <v>0</v>
      </c>
      <c r="CC140" s="339">
        <f t="shared" si="67"/>
        <v>0</v>
      </c>
      <c r="CD140" s="339">
        <f t="shared" si="67"/>
        <v>0</v>
      </c>
      <c r="CE140" s="339">
        <f t="shared" si="67"/>
        <v>0</v>
      </c>
      <c r="CF140" s="339">
        <f t="shared" si="67"/>
        <v>0</v>
      </c>
      <c r="CG140" s="339">
        <f t="shared" si="67"/>
        <v>0</v>
      </c>
      <c r="CH140" s="339">
        <f t="shared" si="67"/>
        <v>0</v>
      </c>
      <c r="CI140" s="339">
        <f t="shared" si="67"/>
        <v>0</v>
      </c>
      <c r="CJ140" s="339">
        <f t="shared" si="67"/>
        <v>0</v>
      </c>
      <c r="CK140" s="339">
        <f t="shared" si="67"/>
        <v>0</v>
      </c>
      <c r="CL140" s="339">
        <f t="shared" si="67"/>
        <v>0</v>
      </c>
      <c r="CM140" s="339">
        <f t="shared" si="67"/>
        <v>0</v>
      </c>
      <c r="CN140" s="339">
        <f t="shared" si="67"/>
        <v>0</v>
      </c>
      <c r="CO140" s="339">
        <f t="shared" si="67"/>
        <v>0</v>
      </c>
      <c r="CP140" s="339">
        <f t="shared" si="67"/>
        <v>0</v>
      </c>
      <c r="CQ140" s="339">
        <f t="shared" si="67"/>
        <v>0</v>
      </c>
    </row>
    <row r="141" spans="4:95" ht="15.4">
      <c r="E141" s="403">
        <f t="shared" si="62"/>
        <v>0</v>
      </c>
      <c r="F141" s="403">
        <f t="shared" si="63"/>
        <v>5</v>
      </c>
      <c r="G141" s="403">
        <v>60</v>
      </c>
      <c r="H141" s="404">
        <v>44469</v>
      </c>
      <c r="I141" s="404">
        <f t="shared" si="64"/>
        <v>46294</v>
      </c>
      <c r="J141" s="459"/>
      <c r="AV141" s="339">
        <f t="shared" si="67"/>
        <v>0</v>
      </c>
      <c r="AW141" s="339">
        <f t="shared" si="67"/>
        <v>0</v>
      </c>
      <c r="AX141" s="339">
        <f t="shared" si="67"/>
        <v>0</v>
      </c>
      <c r="AY141" s="339">
        <f t="shared" si="67"/>
        <v>0</v>
      </c>
      <c r="AZ141" s="339">
        <f t="shared" si="67"/>
        <v>0</v>
      </c>
      <c r="BA141" s="339">
        <f t="shared" si="67"/>
        <v>0</v>
      </c>
      <c r="BB141" s="339">
        <f t="shared" si="67"/>
        <v>0</v>
      </c>
      <c r="BC141" s="339">
        <f t="shared" si="67"/>
        <v>0</v>
      </c>
      <c r="BD141" s="339">
        <f t="shared" si="67"/>
        <v>0</v>
      </c>
      <c r="BE141" s="339">
        <f t="shared" si="67"/>
        <v>0</v>
      </c>
      <c r="BF141" s="339">
        <f t="shared" si="67"/>
        <v>0</v>
      </c>
      <c r="BG141" s="339">
        <f t="shared" si="67"/>
        <v>0</v>
      </c>
      <c r="BH141" s="339">
        <f t="shared" si="67"/>
        <v>0</v>
      </c>
      <c r="BI141" s="339">
        <f t="shared" si="67"/>
        <v>0</v>
      </c>
      <c r="BJ141" s="339">
        <f t="shared" si="67"/>
        <v>0</v>
      </c>
      <c r="BK141" s="339">
        <f t="shared" si="67"/>
        <v>0</v>
      </c>
      <c r="BL141" s="339">
        <f t="shared" si="67"/>
        <v>0</v>
      </c>
      <c r="BM141" s="339">
        <f t="shared" si="67"/>
        <v>0</v>
      </c>
      <c r="BN141" s="339">
        <f t="shared" si="67"/>
        <v>0</v>
      </c>
      <c r="BO141" s="339">
        <f t="shared" si="67"/>
        <v>0</v>
      </c>
      <c r="BP141" s="339">
        <f t="shared" si="67"/>
        <v>0</v>
      </c>
      <c r="BQ141" s="339">
        <f t="shared" si="67"/>
        <v>0</v>
      </c>
      <c r="BR141" s="339">
        <f t="shared" si="67"/>
        <v>0</v>
      </c>
      <c r="BS141" s="339">
        <f t="shared" si="67"/>
        <v>0</v>
      </c>
      <c r="BT141" s="339">
        <f t="shared" si="67"/>
        <v>0</v>
      </c>
      <c r="BU141" s="339">
        <f t="shared" si="67"/>
        <v>0</v>
      </c>
      <c r="BV141" s="339">
        <f t="shared" si="67"/>
        <v>0</v>
      </c>
      <c r="BW141" s="339">
        <f t="shared" si="67"/>
        <v>0</v>
      </c>
      <c r="BX141" s="339">
        <f t="shared" si="67"/>
        <v>0</v>
      </c>
      <c r="BY141" s="339">
        <f t="shared" si="67"/>
        <v>0</v>
      </c>
      <c r="BZ141" s="339">
        <f t="shared" si="67"/>
        <v>0</v>
      </c>
      <c r="CA141" s="339">
        <f t="shared" si="67"/>
        <v>0</v>
      </c>
      <c r="CB141" s="339">
        <f t="shared" si="67"/>
        <v>0</v>
      </c>
      <c r="CC141" s="339">
        <f t="shared" si="67"/>
        <v>0</v>
      </c>
      <c r="CD141" s="339">
        <f t="shared" si="67"/>
        <v>0</v>
      </c>
      <c r="CE141" s="339">
        <f t="shared" si="67"/>
        <v>0</v>
      </c>
      <c r="CF141" s="339">
        <f t="shared" si="67"/>
        <v>0</v>
      </c>
      <c r="CG141" s="339">
        <f t="shared" si="67"/>
        <v>0</v>
      </c>
      <c r="CH141" s="339">
        <f t="shared" si="67"/>
        <v>0</v>
      </c>
      <c r="CI141" s="339">
        <f t="shared" si="67"/>
        <v>0</v>
      </c>
      <c r="CJ141" s="339">
        <f t="shared" si="67"/>
        <v>0</v>
      </c>
      <c r="CK141" s="339">
        <f t="shared" si="67"/>
        <v>0</v>
      </c>
      <c r="CL141" s="339">
        <f t="shared" si="67"/>
        <v>0</v>
      </c>
      <c r="CM141" s="339">
        <f t="shared" si="67"/>
        <v>0</v>
      </c>
      <c r="CN141" s="339">
        <f t="shared" si="67"/>
        <v>0</v>
      </c>
      <c r="CO141" s="339">
        <f t="shared" si="67"/>
        <v>0</v>
      </c>
      <c r="CP141" s="339">
        <f t="shared" si="67"/>
        <v>0</v>
      </c>
      <c r="CQ141" s="339">
        <f t="shared" si="67"/>
        <v>0</v>
      </c>
    </row>
    <row r="142" spans="4:95" ht="15.4">
      <c r="E142" s="403">
        <f t="shared" si="62"/>
        <v>0</v>
      </c>
      <c r="F142" s="403">
        <f t="shared" si="63"/>
        <v>5</v>
      </c>
      <c r="G142" s="403">
        <v>60</v>
      </c>
      <c r="H142" s="404">
        <v>44469</v>
      </c>
      <c r="I142" s="404">
        <f t="shared" si="64"/>
        <v>46294</v>
      </c>
      <c r="J142" s="459"/>
      <c r="AV142" s="339">
        <f t="shared" si="67"/>
        <v>0</v>
      </c>
      <c r="AW142" s="339">
        <f t="shared" si="67"/>
        <v>0</v>
      </c>
      <c r="AX142" s="339">
        <f t="shared" si="67"/>
        <v>0</v>
      </c>
      <c r="AY142" s="339">
        <f t="shared" si="67"/>
        <v>0</v>
      </c>
      <c r="AZ142" s="339">
        <f t="shared" si="67"/>
        <v>0</v>
      </c>
      <c r="BA142" s="339">
        <f t="shared" si="67"/>
        <v>0</v>
      </c>
      <c r="BB142" s="339">
        <f t="shared" si="67"/>
        <v>0</v>
      </c>
      <c r="BC142" s="339">
        <f t="shared" si="67"/>
        <v>0</v>
      </c>
      <c r="BD142" s="339">
        <f t="shared" si="67"/>
        <v>0</v>
      </c>
      <c r="BE142" s="339">
        <f t="shared" si="67"/>
        <v>0</v>
      </c>
      <c r="BF142" s="339">
        <f t="shared" si="67"/>
        <v>0</v>
      </c>
      <c r="BG142" s="339">
        <f t="shared" si="67"/>
        <v>0</v>
      </c>
      <c r="BH142" s="339">
        <f t="shared" si="67"/>
        <v>0</v>
      </c>
      <c r="BI142" s="339">
        <f t="shared" si="67"/>
        <v>0</v>
      </c>
      <c r="BJ142" s="339">
        <f t="shared" si="67"/>
        <v>0</v>
      </c>
      <c r="BK142" s="339">
        <f t="shared" si="67"/>
        <v>0</v>
      </c>
      <c r="BL142" s="339">
        <f t="shared" si="67"/>
        <v>0</v>
      </c>
      <c r="BM142" s="339">
        <f t="shared" si="67"/>
        <v>0</v>
      </c>
      <c r="BN142" s="339">
        <f t="shared" si="67"/>
        <v>0</v>
      </c>
      <c r="BO142" s="339">
        <f t="shared" si="67"/>
        <v>0</v>
      </c>
      <c r="BP142" s="339">
        <f t="shared" si="67"/>
        <v>0</v>
      </c>
      <c r="BQ142" s="339">
        <f t="shared" si="67"/>
        <v>0</v>
      </c>
      <c r="BR142" s="339">
        <f t="shared" si="67"/>
        <v>0</v>
      </c>
      <c r="BS142" s="339">
        <f t="shared" si="67"/>
        <v>0</v>
      </c>
      <c r="BT142" s="339">
        <f t="shared" si="67"/>
        <v>0</v>
      </c>
      <c r="BU142" s="339">
        <f t="shared" si="67"/>
        <v>0</v>
      </c>
      <c r="BV142" s="339">
        <f t="shared" si="67"/>
        <v>0</v>
      </c>
      <c r="BW142" s="339">
        <f t="shared" si="67"/>
        <v>0</v>
      </c>
      <c r="BX142" s="339">
        <f t="shared" si="67"/>
        <v>0</v>
      </c>
      <c r="BY142" s="339">
        <f t="shared" si="67"/>
        <v>0</v>
      </c>
      <c r="BZ142" s="339">
        <f t="shared" si="67"/>
        <v>0</v>
      </c>
      <c r="CA142" s="339">
        <f t="shared" si="67"/>
        <v>0</v>
      </c>
      <c r="CB142" s="339">
        <f t="shared" si="67"/>
        <v>0</v>
      </c>
      <c r="CC142" s="339">
        <f t="shared" si="67"/>
        <v>0</v>
      </c>
      <c r="CD142" s="339">
        <f t="shared" si="67"/>
        <v>0</v>
      </c>
      <c r="CE142" s="339">
        <f t="shared" si="67"/>
        <v>0</v>
      </c>
      <c r="CF142" s="339">
        <f t="shared" si="67"/>
        <v>0</v>
      </c>
      <c r="CG142" s="339">
        <f t="shared" si="67"/>
        <v>0</v>
      </c>
      <c r="CH142" s="339">
        <f t="shared" si="67"/>
        <v>0</v>
      </c>
      <c r="CI142" s="339">
        <f t="shared" si="67"/>
        <v>0</v>
      </c>
      <c r="CJ142" s="339">
        <f t="shared" si="67"/>
        <v>0</v>
      </c>
      <c r="CK142" s="339">
        <f t="shared" si="67"/>
        <v>0</v>
      </c>
      <c r="CL142" s="339">
        <f t="shared" si="67"/>
        <v>0</v>
      </c>
      <c r="CM142" s="339">
        <f t="shared" si="67"/>
        <v>0</v>
      </c>
      <c r="CN142" s="339">
        <f t="shared" si="67"/>
        <v>0</v>
      </c>
      <c r="CO142" s="339">
        <f t="shared" si="67"/>
        <v>0</v>
      </c>
      <c r="CP142" s="339">
        <f t="shared" si="67"/>
        <v>0</v>
      </c>
      <c r="CQ142" s="339">
        <f t="shared" si="67"/>
        <v>0</v>
      </c>
    </row>
    <row r="143" spans="4:95" ht="15.4">
      <c r="E143" s="403">
        <f>D143/G143</f>
        <v>0</v>
      </c>
      <c r="F143" s="403">
        <f>G143/12</f>
        <v>5</v>
      </c>
      <c r="G143" s="403">
        <v>60</v>
      </c>
      <c r="H143" s="404">
        <v>44469</v>
      </c>
      <c r="I143" s="404">
        <f>H143+F143*365</f>
        <v>46294</v>
      </c>
      <c r="J143" s="459"/>
      <c r="AV143" s="339">
        <f t="shared" si="67"/>
        <v>0</v>
      </c>
      <c r="AW143" s="339">
        <f t="shared" si="67"/>
        <v>0</v>
      </c>
      <c r="AX143" s="339">
        <f t="shared" si="67"/>
        <v>0</v>
      </c>
      <c r="AY143" s="339">
        <f t="shared" si="67"/>
        <v>0</v>
      </c>
      <c r="AZ143" s="339">
        <f t="shared" si="67"/>
        <v>0</v>
      </c>
      <c r="BA143" s="339">
        <f t="shared" si="67"/>
        <v>0</v>
      </c>
      <c r="BB143" s="339">
        <f t="shared" si="67"/>
        <v>0</v>
      </c>
      <c r="BC143" s="339">
        <f t="shared" si="67"/>
        <v>0</v>
      </c>
      <c r="BD143" s="339">
        <f t="shared" si="67"/>
        <v>0</v>
      </c>
      <c r="BE143" s="339">
        <f t="shared" si="67"/>
        <v>0</v>
      </c>
      <c r="BF143" s="339">
        <f t="shared" si="67"/>
        <v>0</v>
      </c>
      <c r="BG143" s="339">
        <f t="shared" si="67"/>
        <v>0</v>
      </c>
      <c r="BH143" s="339">
        <f t="shared" si="67"/>
        <v>0</v>
      </c>
      <c r="BI143" s="339">
        <f t="shared" si="67"/>
        <v>0</v>
      </c>
      <c r="BJ143" s="339">
        <f t="shared" si="67"/>
        <v>0</v>
      </c>
      <c r="BK143" s="339">
        <f t="shared" si="67"/>
        <v>0</v>
      </c>
      <c r="BL143" s="339">
        <f t="shared" si="67"/>
        <v>0</v>
      </c>
      <c r="BM143" s="339">
        <f t="shared" si="67"/>
        <v>0</v>
      </c>
      <c r="BN143" s="339">
        <f t="shared" si="67"/>
        <v>0</v>
      </c>
      <c r="BO143" s="339">
        <f t="shared" si="67"/>
        <v>0</v>
      </c>
      <c r="BP143" s="339">
        <f t="shared" si="67"/>
        <v>0</v>
      </c>
      <c r="BQ143" s="339">
        <f t="shared" si="67"/>
        <v>0</v>
      </c>
      <c r="BR143" s="339">
        <f t="shared" si="67"/>
        <v>0</v>
      </c>
      <c r="BS143" s="339">
        <f t="shared" si="67"/>
        <v>0</v>
      </c>
      <c r="BT143" s="339">
        <f t="shared" si="67"/>
        <v>0</v>
      </c>
      <c r="BU143" s="339">
        <f t="shared" si="67"/>
        <v>0</v>
      </c>
      <c r="BV143" s="339">
        <f t="shared" si="67"/>
        <v>0</v>
      </c>
      <c r="BW143" s="339">
        <f t="shared" si="67"/>
        <v>0</v>
      </c>
      <c r="BX143" s="339">
        <f t="shared" si="67"/>
        <v>0</v>
      </c>
      <c r="BY143" s="339">
        <f t="shared" si="67"/>
        <v>0</v>
      </c>
      <c r="BZ143" s="339">
        <f t="shared" si="67"/>
        <v>0</v>
      </c>
      <c r="CA143" s="339">
        <f t="shared" si="67"/>
        <v>0</v>
      </c>
      <c r="CB143" s="339">
        <f t="shared" si="67"/>
        <v>0</v>
      </c>
      <c r="CC143" s="339">
        <f t="shared" si="67"/>
        <v>0</v>
      </c>
      <c r="CD143" s="339">
        <f t="shared" si="67"/>
        <v>0</v>
      </c>
      <c r="CE143" s="339">
        <f t="shared" si="67"/>
        <v>0</v>
      </c>
      <c r="CF143" s="339">
        <f t="shared" si="67"/>
        <v>0</v>
      </c>
      <c r="CG143" s="339">
        <f t="shared" si="67"/>
        <v>0</v>
      </c>
      <c r="CH143" s="339">
        <f t="shared" si="67"/>
        <v>0</v>
      </c>
      <c r="CI143" s="339">
        <f t="shared" si="67"/>
        <v>0</v>
      </c>
      <c r="CJ143" s="339">
        <f t="shared" si="67"/>
        <v>0</v>
      </c>
      <c r="CK143" s="339">
        <f t="shared" si="67"/>
        <v>0</v>
      </c>
      <c r="CL143" s="339">
        <f t="shared" si="67"/>
        <v>0</v>
      </c>
      <c r="CM143" s="339">
        <f t="shared" si="67"/>
        <v>0</v>
      </c>
      <c r="CN143" s="339">
        <f t="shared" si="67"/>
        <v>0</v>
      </c>
      <c r="CO143" s="339">
        <f t="shared" si="67"/>
        <v>0</v>
      </c>
      <c r="CP143" s="339">
        <f t="shared" si="67"/>
        <v>0</v>
      </c>
      <c r="CQ143" s="339">
        <f t="shared" si="67"/>
        <v>0</v>
      </c>
    </row>
    <row r="144" spans="4:95" ht="15.4">
      <c r="E144" s="403">
        <f>D144/G144</f>
        <v>0</v>
      </c>
      <c r="F144" s="403">
        <f>G144/12</f>
        <v>5</v>
      </c>
      <c r="G144" s="403">
        <v>60</v>
      </c>
      <c r="H144" s="404">
        <v>44469</v>
      </c>
      <c r="I144" s="404">
        <f>H144+F144*365</f>
        <v>46294</v>
      </c>
      <c r="J144" s="459"/>
      <c r="AV144" s="339">
        <f t="shared" si="67"/>
        <v>0</v>
      </c>
      <c r="AW144" s="339">
        <f t="shared" si="67"/>
        <v>0</v>
      </c>
      <c r="AX144" s="339">
        <f t="shared" si="67"/>
        <v>0</v>
      </c>
      <c r="AY144" s="339">
        <f t="shared" si="67"/>
        <v>0</v>
      </c>
      <c r="AZ144" s="339">
        <f t="shared" si="67"/>
        <v>0</v>
      </c>
      <c r="BA144" s="339">
        <f t="shared" si="67"/>
        <v>0</v>
      </c>
      <c r="BB144" s="339">
        <f t="shared" si="67"/>
        <v>0</v>
      </c>
      <c r="BC144" s="339">
        <f t="shared" si="67"/>
        <v>0</v>
      </c>
      <c r="BD144" s="339">
        <f t="shared" si="67"/>
        <v>0</v>
      </c>
      <c r="BE144" s="339">
        <f t="shared" si="67"/>
        <v>0</v>
      </c>
      <c r="BF144" s="339">
        <f t="shared" si="67"/>
        <v>0</v>
      </c>
      <c r="BG144" s="339">
        <f t="shared" si="67"/>
        <v>0</v>
      </c>
      <c r="BH144" s="339">
        <f t="shared" si="67"/>
        <v>0</v>
      </c>
      <c r="BI144" s="339">
        <f t="shared" si="67"/>
        <v>0</v>
      </c>
      <c r="BJ144" s="339">
        <f t="shared" si="67"/>
        <v>0</v>
      </c>
      <c r="BK144" s="339">
        <f t="shared" ref="BK144:CQ144" si="68">IF($I144&gt;BK$7-30,$E144,0)</f>
        <v>0</v>
      </c>
      <c r="BL144" s="339">
        <f t="shared" si="68"/>
        <v>0</v>
      </c>
      <c r="BM144" s="339">
        <f t="shared" si="68"/>
        <v>0</v>
      </c>
      <c r="BN144" s="339">
        <f t="shared" si="68"/>
        <v>0</v>
      </c>
      <c r="BO144" s="339">
        <f t="shared" si="68"/>
        <v>0</v>
      </c>
      <c r="BP144" s="339">
        <f t="shared" si="68"/>
        <v>0</v>
      </c>
      <c r="BQ144" s="339">
        <f t="shared" si="68"/>
        <v>0</v>
      </c>
      <c r="BR144" s="339">
        <f t="shared" si="68"/>
        <v>0</v>
      </c>
      <c r="BS144" s="339">
        <f t="shared" si="68"/>
        <v>0</v>
      </c>
      <c r="BT144" s="339">
        <f t="shared" si="68"/>
        <v>0</v>
      </c>
      <c r="BU144" s="339">
        <f t="shared" si="68"/>
        <v>0</v>
      </c>
      <c r="BV144" s="339">
        <f t="shared" si="68"/>
        <v>0</v>
      </c>
      <c r="BW144" s="339">
        <f t="shared" si="68"/>
        <v>0</v>
      </c>
      <c r="BX144" s="339">
        <f t="shared" si="68"/>
        <v>0</v>
      </c>
      <c r="BY144" s="339">
        <f t="shared" si="68"/>
        <v>0</v>
      </c>
      <c r="BZ144" s="339">
        <f t="shared" si="68"/>
        <v>0</v>
      </c>
      <c r="CA144" s="339">
        <f t="shared" si="68"/>
        <v>0</v>
      </c>
      <c r="CB144" s="339">
        <f t="shared" si="68"/>
        <v>0</v>
      </c>
      <c r="CC144" s="339">
        <f t="shared" si="68"/>
        <v>0</v>
      </c>
      <c r="CD144" s="339">
        <f t="shared" si="68"/>
        <v>0</v>
      </c>
      <c r="CE144" s="339">
        <f t="shared" si="68"/>
        <v>0</v>
      </c>
      <c r="CF144" s="339">
        <f t="shared" si="68"/>
        <v>0</v>
      </c>
      <c r="CG144" s="339">
        <f t="shared" si="68"/>
        <v>0</v>
      </c>
      <c r="CH144" s="339">
        <f t="shared" si="68"/>
        <v>0</v>
      </c>
      <c r="CI144" s="339">
        <f t="shared" si="68"/>
        <v>0</v>
      </c>
      <c r="CJ144" s="339">
        <f t="shared" si="68"/>
        <v>0</v>
      </c>
      <c r="CK144" s="339">
        <f t="shared" si="68"/>
        <v>0</v>
      </c>
      <c r="CL144" s="339">
        <f t="shared" si="68"/>
        <v>0</v>
      </c>
      <c r="CM144" s="339">
        <f t="shared" si="68"/>
        <v>0</v>
      </c>
      <c r="CN144" s="339">
        <f t="shared" si="68"/>
        <v>0</v>
      </c>
      <c r="CO144" s="339">
        <f t="shared" si="68"/>
        <v>0</v>
      </c>
      <c r="CP144" s="339">
        <f t="shared" si="68"/>
        <v>0</v>
      </c>
      <c r="CQ144" s="339">
        <f t="shared" si="68"/>
        <v>0</v>
      </c>
    </row>
    <row r="145" spans="2:95" ht="15.4">
      <c r="E145" s="403">
        <f t="shared" si="62"/>
        <v>0</v>
      </c>
      <c r="F145" s="403">
        <f t="shared" si="63"/>
        <v>5</v>
      </c>
      <c r="G145" s="403">
        <v>60</v>
      </c>
      <c r="H145" s="404">
        <v>44469</v>
      </c>
      <c r="I145" s="404">
        <f t="shared" si="64"/>
        <v>46294</v>
      </c>
      <c r="J145" s="459"/>
      <c r="AV145" s="339">
        <f t="shared" ref="AV145:CQ147" si="69">IF($I145&gt;AV$7-30,$E145,0)</f>
        <v>0</v>
      </c>
      <c r="AW145" s="339">
        <f t="shared" si="69"/>
        <v>0</v>
      </c>
      <c r="AX145" s="339">
        <f t="shared" si="69"/>
        <v>0</v>
      </c>
      <c r="AY145" s="339">
        <f t="shared" si="69"/>
        <v>0</v>
      </c>
      <c r="AZ145" s="339">
        <f t="shared" si="69"/>
        <v>0</v>
      </c>
      <c r="BA145" s="339">
        <f t="shared" si="69"/>
        <v>0</v>
      </c>
      <c r="BB145" s="339">
        <f t="shared" si="69"/>
        <v>0</v>
      </c>
      <c r="BC145" s="339">
        <f t="shared" si="69"/>
        <v>0</v>
      </c>
      <c r="BD145" s="339">
        <f t="shared" si="69"/>
        <v>0</v>
      </c>
      <c r="BE145" s="339">
        <f t="shared" si="69"/>
        <v>0</v>
      </c>
      <c r="BF145" s="339">
        <f t="shared" si="69"/>
        <v>0</v>
      </c>
      <c r="BG145" s="339">
        <f t="shared" si="69"/>
        <v>0</v>
      </c>
      <c r="BH145" s="339">
        <f t="shared" si="69"/>
        <v>0</v>
      </c>
      <c r="BI145" s="339">
        <f t="shared" si="69"/>
        <v>0</v>
      </c>
      <c r="BJ145" s="339">
        <f t="shared" si="69"/>
        <v>0</v>
      </c>
      <c r="BK145" s="339">
        <f t="shared" si="69"/>
        <v>0</v>
      </c>
      <c r="BL145" s="339">
        <f t="shared" si="69"/>
        <v>0</v>
      </c>
      <c r="BM145" s="339">
        <f t="shared" si="69"/>
        <v>0</v>
      </c>
      <c r="BN145" s="339">
        <f t="shared" si="69"/>
        <v>0</v>
      </c>
      <c r="BO145" s="339">
        <f t="shared" si="69"/>
        <v>0</v>
      </c>
      <c r="BP145" s="339">
        <f t="shared" si="69"/>
        <v>0</v>
      </c>
      <c r="BQ145" s="339">
        <f t="shared" si="69"/>
        <v>0</v>
      </c>
      <c r="BR145" s="339">
        <f t="shared" si="69"/>
        <v>0</v>
      </c>
      <c r="BS145" s="339">
        <f t="shared" si="69"/>
        <v>0</v>
      </c>
      <c r="BT145" s="339">
        <f t="shared" si="69"/>
        <v>0</v>
      </c>
      <c r="BU145" s="339">
        <f t="shared" si="69"/>
        <v>0</v>
      </c>
      <c r="BV145" s="339">
        <f t="shared" si="69"/>
        <v>0</v>
      </c>
      <c r="BW145" s="339">
        <f t="shared" si="69"/>
        <v>0</v>
      </c>
      <c r="BX145" s="339">
        <f t="shared" si="69"/>
        <v>0</v>
      </c>
      <c r="BY145" s="339">
        <f t="shared" si="69"/>
        <v>0</v>
      </c>
      <c r="BZ145" s="339">
        <f t="shared" si="69"/>
        <v>0</v>
      </c>
      <c r="CA145" s="339">
        <f t="shared" si="69"/>
        <v>0</v>
      </c>
      <c r="CB145" s="339">
        <f t="shared" si="69"/>
        <v>0</v>
      </c>
      <c r="CC145" s="339">
        <f t="shared" si="69"/>
        <v>0</v>
      </c>
      <c r="CD145" s="339">
        <f t="shared" si="69"/>
        <v>0</v>
      </c>
      <c r="CE145" s="339">
        <f t="shared" si="69"/>
        <v>0</v>
      </c>
      <c r="CF145" s="339">
        <f t="shared" si="69"/>
        <v>0</v>
      </c>
      <c r="CG145" s="339">
        <f t="shared" si="69"/>
        <v>0</v>
      </c>
      <c r="CH145" s="339">
        <f t="shared" si="69"/>
        <v>0</v>
      </c>
      <c r="CI145" s="339">
        <f t="shared" si="69"/>
        <v>0</v>
      </c>
      <c r="CJ145" s="339">
        <f t="shared" si="69"/>
        <v>0</v>
      </c>
      <c r="CK145" s="339">
        <f t="shared" si="69"/>
        <v>0</v>
      </c>
      <c r="CL145" s="339">
        <f t="shared" si="69"/>
        <v>0</v>
      </c>
      <c r="CM145" s="339">
        <f t="shared" si="69"/>
        <v>0</v>
      </c>
      <c r="CN145" s="339">
        <f t="shared" si="69"/>
        <v>0</v>
      </c>
      <c r="CO145" s="339">
        <f t="shared" si="69"/>
        <v>0</v>
      </c>
      <c r="CP145" s="339">
        <f t="shared" si="69"/>
        <v>0</v>
      </c>
      <c r="CQ145" s="339">
        <f t="shared" si="69"/>
        <v>0</v>
      </c>
    </row>
    <row r="146" spans="2:95" ht="15.4">
      <c r="E146" s="403">
        <f t="shared" si="62"/>
        <v>0</v>
      </c>
      <c r="F146" s="403">
        <f t="shared" si="63"/>
        <v>5</v>
      </c>
      <c r="G146" s="403">
        <v>60</v>
      </c>
      <c r="H146" s="404">
        <v>44469</v>
      </c>
      <c r="I146" s="404">
        <f t="shared" si="64"/>
        <v>46294</v>
      </c>
      <c r="J146" s="459"/>
      <c r="AV146" s="339">
        <f t="shared" si="69"/>
        <v>0</v>
      </c>
      <c r="AW146" s="339">
        <f t="shared" si="69"/>
        <v>0</v>
      </c>
      <c r="AX146" s="339">
        <f t="shared" si="69"/>
        <v>0</v>
      </c>
      <c r="AY146" s="339">
        <f t="shared" si="69"/>
        <v>0</v>
      </c>
      <c r="AZ146" s="339">
        <f t="shared" si="69"/>
        <v>0</v>
      </c>
      <c r="BA146" s="339">
        <f t="shared" si="69"/>
        <v>0</v>
      </c>
      <c r="BB146" s="339">
        <f t="shared" si="69"/>
        <v>0</v>
      </c>
      <c r="BC146" s="339">
        <f t="shared" si="69"/>
        <v>0</v>
      </c>
      <c r="BD146" s="339">
        <f t="shared" si="69"/>
        <v>0</v>
      </c>
      <c r="BE146" s="339">
        <f t="shared" si="69"/>
        <v>0</v>
      </c>
      <c r="BF146" s="339">
        <f t="shared" si="69"/>
        <v>0</v>
      </c>
      <c r="BG146" s="339">
        <f t="shared" si="69"/>
        <v>0</v>
      </c>
      <c r="BH146" s="339">
        <f t="shared" si="69"/>
        <v>0</v>
      </c>
      <c r="BI146" s="339">
        <f t="shared" si="69"/>
        <v>0</v>
      </c>
      <c r="BJ146" s="339">
        <f t="shared" si="69"/>
        <v>0</v>
      </c>
      <c r="BK146" s="339">
        <f t="shared" si="69"/>
        <v>0</v>
      </c>
      <c r="BL146" s="339">
        <f t="shared" si="69"/>
        <v>0</v>
      </c>
      <c r="BM146" s="339">
        <f t="shared" si="69"/>
        <v>0</v>
      </c>
      <c r="BN146" s="339">
        <f t="shared" si="69"/>
        <v>0</v>
      </c>
      <c r="BO146" s="339">
        <f t="shared" si="69"/>
        <v>0</v>
      </c>
      <c r="BP146" s="339">
        <f t="shared" si="69"/>
        <v>0</v>
      </c>
      <c r="BQ146" s="339">
        <f t="shared" si="69"/>
        <v>0</v>
      </c>
      <c r="BR146" s="339">
        <f t="shared" si="69"/>
        <v>0</v>
      </c>
      <c r="BS146" s="339">
        <f t="shared" si="69"/>
        <v>0</v>
      </c>
      <c r="BT146" s="339">
        <f t="shared" si="69"/>
        <v>0</v>
      </c>
      <c r="BU146" s="339">
        <f t="shared" si="69"/>
        <v>0</v>
      </c>
      <c r="BV146" s="339">
        <f t="shared" si="69"/>
        <v>0</v>
      </c>
      <c r="BW146" s="339">
        <f t="shared" si="69"/>
        <v>0</v>
      </c>
      <c r="BX146" s="339">
        <f t="shared" si="69"/>
        <v>0</v>
      </c>
      <c r="BY146" s="339">
        <f t="shared" si="69"/>
        <v>0</v>
      </c>
      <c r="BZ146" s="339">
        <f t="shared" si="69"/>
        <v>0</v>
      </c>
      <c r="CA146" s="339">
        <f t="shared" si="69"/>
        <v>0</v>
      </c>
      <c r="CB146" s="339">
        <f t="shared" si="69"/>
        <v>0</v>
      </c>
      <c r="CC146" s="339">
        <f t="shared" si="69"/>
        <v>0</v>
      </c>
      <c r="CD146" s="339">
        <f t="shared" si="69"/>
        <v>0</v>
      </c>
      <c r="CE146" s="339">
        <f t="shared" si="69"/>
        <v>0</v>
      </c>
      <c r="CF146" s="339">
        <f t="shared" si="69"/>
        <v>0</v>
      </c>
      <c r="CG146" s="339">
        <f t="shared" si="69"/>
        <v>0</v>
      </c>
      <c r="CH146" s="339">
        <f t="shared" si="69"/>
        <v>0</v>
      </c>
      <c r="CI146" s="339">
        <f t="shared" si="69"/>
        <v>0</v>
      </c>
      <c r="CJ146" s="339">
        <f t="shared" si="69"/>
        <v>0</v>
      </c>
      <c r="CK146" s="339">
        <f t="shared" si="69"/>
        <v>0</v>
      </c>
      <c r="CL146" s="339">
        <f t="shared" si="69"/>
        <v>0</v>
      </c>
      <c r="CM146" s="339">
        <f t="shared" si="69"/>
        <v>0</v>
      </c>
      <c r="CN146" s="339">
        <f t="shared" si="69"/>
        <v>0</v>
      </c>
      <c r="CO146" s="339">
        <f t="shared" si="69"/>
        <v>0</v>
      </c>
      <c r="CP146" s="339">
        <f t="shared" si="69"/>
        <v>0</v>
      </c>
      <c r="CQ146" s="339">
        <f t="shared" si="69"/>
        <v>0</v>
      </c>
    </row>
    <row r="147" spans="2:95" ht="15.4">
      <c r="E147" s="403">
        <f>D147/G147</f>
        <v>0</v>
      </c>
      <c r="F147" s="403">
        <f>G147/12</f>
        <v>5</v>
      </c>
      <c r="G147" s="403">
        <v>60</v>
      </c>
      <c r="H147" s="404">
        <v>44469</v>
      </c>
      <c r="I147" s="404">
        <f>H147+F147*365</f>
        <v>46294</v>
      </c>
      <c r="J147" s="459"/>
      <c r="AV147" s="339">
        <f t="shared" si="69"/>
        <v>0</v>
      </c>
      <c r="AW147" s="339">
        <f t="shared" si="69"/>
        <v>0</v>
      </c>
      <c r="AX147" s="339">
        <f t="shared" si="69"/>
        <v>0</v>
      </c>
      <c r="AY147" s="339">
        <f t="shared" si="69"/>
        <v>0</v>
      </c>
      <c r="AZ147" s="339">
        <f t="shared" si="69"/>
        <v>0</v>
      </c>
      <c r="BA147" s="339">
        <f t="shared" si="69"/>
        <v>0</v>
      </c>
      <c r="BB147" s="339">
        <f t="shared" si="69"/>
        <v>0</v>
      </c>
      <c r="BC147" s="339">
        <f t="shared" si="69"/>
        <v>0</v>
      </c>
      <c r="BD147" s="339">
        <f t="shared" si="69"/>
        <v>0</v>
      </c>
      <c r="BE147" s="339">
        <f t="shared" si="69"/>
        <v>0</v>
      </c>
      <c r="BF147" s="339">
        <f t="shared" si="69"/>
        <v>0</v>
      </c>
      <c r="BG147" s="339">
        <f t="shared" si="69"/>
        <v>0</v>
      </c>
      <c r="BH147" s="339">
        <f t="shared" si="69"/>
        <v>0</v>
      </c>
      <c r="BI147" s="339">
        <f t="shared" si="69"/>
        <v>0</v>
      </c>
      <c r="BJ147" s="339">
        <f t="shared" si="69"/>
        <v>0</v>
      </c>
      <c r="BK147" s="339">
        <f t="shared" si="69"/>
        <v>0</v>
      </c>
      <c r="BL147" s="339">
        <f t="shared" si="69"/>
        <v>0</v>
      </c>
      <c r="BM147" s="339">
        <f t="shared" si="69"/>
        <v>0</v>
      </c>
      <c r="BN147" s="339">
        <f t="shared" si="69"/>
        <v>0</v>
      </c>
      <c r="BO147" s="339">
        <f t="shared" si="69"/>
        <v>0</v>
      </c>
      <c r="BP147" s="339">
        <f t="shared" si="69"/>
        <v>0</v>
      </c>
      <c r="BQ147" s="339">
        <f t="shared" si="69"/>
        <v>0</v>
      </c>
      <c r="BR147" s="339">
        <f t="shared" si="69"/>
        <v>0</v>
      </c>
      <c r="BS147" s="339">
        <f t="shared" si="69"/>
        <v>0</v>
      </c>
      <c r="BT147" s="339">
        <f t="shared" si="69"/>
        <v>0</v>
      </c>
      <c r="BU147" s="339">
        <f t="shared" si="69"/>
        <v>0</v>
      </c>
      <c r="BV147" s="339">
        <f t="shared" si="69"/>
        <v>0</v>
      </c>
      <c r="BW147" s="339">
        <f t="shared" si="69"/>
        <v>0</v>
      </c>
      <c r="BX147" s="339">
        <f t="shared" si="69"/>
        <v>0</v>
      </c>
      <c r="BY147" s="339">
        <f t="shared" si="69"/>
        <v>0</v>
      </c>
      <c r="BZ147" s="339">
        <f t="shared" si="69"/>
        <v>0</v>
      </c>
      <c r="CA147" s="339">
        <f t="shared" si="69"/>
        <v>0</v>
      </c>
      <c r="CB147" s="339">
        <f t="shared" si="69"/>
        <v>0</v>
      </c>
      <c r="CC147" s="339">
        <f t="shared" si="69"/>
        <v>0</v>
      </c>
      <c r="CD147" s="339">
        <f t="shared" si="69"/>
        <v>0</v>
      </c>
      <c r="CE147" s="339">
        <f t="shared" si="69"/>
        <v>0</v>
      </c>
      <c r="CF147" s="339">
        <f t="shared" si="69"/>
        <v>0</v>
      </c>
      <c r="CG147" s="339">
        <f t="shared" si="69"/>
        <v>0</v>
      </c>
      <c r="CH147" s="339">
        <f t="shared" si="69"/>
        <v>0</v>
      </c>
      <c r="CI147" s="339">
        <f t="shared" si="69"/>
        <v>0</v>
      </c>
      <c r="CJ147" s="339">
        <f t="shared" si="69"/>
        <v>0</v>
      </c>
      <c r="CK147" s="339">
        <f t="shared" si="69"/>
        <v>0</v>
      </c>
      <c r="CL147" s="339">
        <f t="shared" si="69"/>
        <v>0</v>
      </c>
      <c r="CM147" s="339">
        <f t="shared" si="69"/>
        <v>0</v>
      </c>
      <c r="CN147" s="339">
        <f t="shared" si="69"/>
        <v>0</v>
      </c>
      <c r="CO147" s="339">
        <f t="shared" si="69"/>
        <v>0</v>
      </c>
      <c r="CP147" s="339">
        <f t="shared" si="69"/>
        <v>0</v>
      </c>
      <c r="CQ147" s="339">
        <f t="shared" si="69"/>
        <v>0</v>
      </c>
    </row>
    <row r="148" spans="2:95">
      <c r="J148" s="459"/>
    </row>
    <row r="149" spans="2:95" ht="15.4">
      <c r="B149" s="406" t="s">
        <v>552</v>
      </c>
      <c r="J149" s="459"/>
    </row>
    <row r="150" spans="2:95" ht="15.4">
      <c r="D150" s="403">
        <f>'DD forecasts'!E14*'DD forecasts'!E81*1000</f>
        <v>49860.212376554955</v>
      </c>
      <c r="E150" s="403">
        <f>D150/G150</f>
        <v>415.50176980462464</v>
      </c>
      <c r="F150" s="403">
        <f t="shared" ref="F150:F164" si="70">G150/12</f>
        <v>10</v>
      </c>
      <c r="G150" s="403">
        <v>120</v>
      </c>
      <c r="H150" s="404">
        <v>44834</v>
      </c>
      <c r="I150" s="404">
        <f>H150+F150*365</f>
        <v>48484</v>
      </c>
      <c r="J150" s="459"/>
      <c r="BH150" s="339">
        <f t="shared" ref="BH150:CQ159" si="71">IF($I150&gt;BH$7-30,$E150,0)</f>
        <v>415.50176980462464</v>
      </c>
      <c r="BI150" s="339">
        <f t="shared" si="71"/>
        <v>415.50176980462464</v>
      </c>
      <c r="BJ150" s="339">
        <f t="shared" si="71"/>
        <v>415.50176980462464</v>
      </c>
      <c r="BK150" s="339">
        <f t="shared" si="71"/>
        <v>415.50176980462464</v>
      </c>
      <c r="BL150" s="339">
        <f t="shared" si="71"/>
        <v>415.50176980462464</v>
      </c>
      <c r="BM150" s="339">
        <f t="shared" si="71"/>
        <v>415.50176980462464</v>
      </c>
      <c r="BN150" s="339">
        <f t="shared" si="71"/>
        <v>415.50176980462464</v>
      </c>
      <c r="BO150" s="339">
        <f t="shared" si="71"/>
        <v>415.50176980462464</v>
      </c>
      <c r="BP150" s="339">
        <f t="shared" si="71"/>
        <v>415.50176980462464</v>
      </c>
      <c r="BQ150" s="339">
        <f t="shared" si="71"/>
        <v>415.50176980462464</v>
      </c>
      <c r="BR150" s="339">
        <f t="shared" si="71"/>
        <v>415.50176980462464</v>
      </c>
      <c r="BS150" s="339">
        <f t="shared" si="71"/>
        <v>415.50176980462464</v>
      </c>
      <c r="BT150" s="339">
        <f t="shared" si="71"/>
        <v>415.50176980462464</v>
      </c>
      <c r="BU150" s="339">
        <f t="shared" si="71"/>
        <v>415.50176980462464</v>
      </c>
      <c r="BV150" s="339">
        <f t="shared" si="71"/>
        <v>415.50176980462464</v>
      </c>
      <c r="BW150" s="339">
        <f t="shared" si="71"/>
        <v>415.50176980462464</v>
      </c>
      <c r="BX150" s="339">
        <f t="shared" si="71"/>
        <v>415.50176980462464</v>
      </c>
      <c r="BY150" s="339">
        <f t="shared" si="71"/>
        <v>415.50176980462464</v>
      </c>
      <c r="BZ150" s="339">
        <f t="shared" si="71"/>
        <v>415.50176980462464</v>
      </c>
      <c r="CA150" s="339">
        <f t="shared" si="71"/>
        <v>415.50176980462464</v>
      </c>
      <c r="CB150" s="339">
        <f t="shared" si="71"/>
        <v>415.50176980462464</v>
      </c>
      <c r="CC150" s="339">
        <f t="shared" si="71"/>
        <v>415.50176980462464</v>
      </c>
      <c r="CD150" s="339">
        <f t="shared" si="71"/>
        <v>415.50176980462464</v>
      </c>
      <c r="CE150" s="339">
        <f t="shared" si="71"/>
        <v>415.50176980462464</v>
      </c>
      <c r="CF150" s="339">
        <f t="shared" si="71"/>
        <v>415.50176980462464</v>
      </c>
      <c r="CG150" s="339">
        <f t="shared" si="71"/>
        <v>415.50176980462464</v>
      </c>
      <c r="CH150" s="339">
        <f t="shared" si="71"/>
        <v>415.50176980462464</v>
      </c>
      <c r="CI150" s="339">
        <f t="shared" si="71"/>
        <v>415.50176980462464</v>
      </c>
      <c r="CJ150" s="339">
        <f t="shared" si="71"/>
        <v>415.50176980462464</v>
      </c>
      <c r="CK150" s="339">
        <f t="shared" si="71"/>
        <v>415.50176980462464</v>
      </c>
      <c r="CL150" s="339">
        <f t="shared" si="71"/>
        <v>415.50176980462464</v>
      </c>
      <c r="CM150" s="339">
        <f t="shared" si="71"/>
        <v>415.50176980462464</v>
      </c>
      <c r="CN150" s="339">
        <f t="shared" si="71"/>
        <v>415.50176980462464</v>
      </c>
      <c r="CO150" s="339">
        <f t="shared" si="71"/>
        <v>415.50176980462464</v>
      </c>
      <c r="CP150" s="339">
        <f t="shared" si="71"/>
        <v>415.50176980462464</v>
      </c>
      <c r="CQ150" s="339">
        <f t="shared" si="71"/>
        <v>415.50176980462464</v>
      </c>
    </row>
    <row r="151" spans="2:95" ht="15.4">
      <c r="E151" s="403">
        <f>D151/G151</f>
        <v>0</v>
      </c>
      <c r="F151" s="403">
        <f t="shared" si="70"/>
        <v>10</v>
      </c>
      <c r="G151" s="403">
        <v>120</v>
      </c>
      <c r="H151" s="404">
        <v>44834</v>
      </c>
      <c r="I151" s="404">
        <f>H151+F151*365</f>
        <v>48484</v>
      </c>
      <c r="J151" s="459"/>
      <c r="BH151" s="339">
        <f t="shared" si="71"/>
        <v>0</v>
      </c>
      <c r="BI151" s="339">
        <f t="shared" si="71"/>
        <v>0</v>
      </c>
      <c r="BJ151" s="339">
        <f t="shared" si="71"/>
        <v>0</v>
      </c>
      <c r="BK151" s="339">
        <f t="shared" si="71"/>
        <v>0</v>
      </c>
      <c r="BL151" s="339">
        <f t="shared" si="71"/>
        <v>0</v>
      </c>
      <c r="BM151" s="339">
        <f t="shared" si="71"/>
        <v>0</v>
      </c>
      <c r="BN151" s="339">
        <f t="shared" si="71"/>
        <v>0</v>
      </c>
      <c r="BO151" s="339">
        <f t="shared" si="71"/>
        <v>0</v>
      </c>
      <c r="BP151" s="339">
        <f t="shared" si="71"/>
        <v>0</v>
      </c>
      <c r="BQ151" s="339">
        <f t="shared" si="71"/>
        <v>0</v>
      </c>
      <c r="BR151" s="339">
        <f t="shared" si="71"/>
        <v>0</v>
      </c>
      <c r="BS151" s="339">
        <f t="shared" si="71"/>
        <v>0</v>
      </c>
      <c r="BT151" s="339">
        <f t="shared" si="71"/>
        <v>0</v>
      </c>
      <c r="BU151" s="339">
        <f t="shared" si="71"/>
        <v>0</v>
      </c>
      <c r="BV151" s="339">
        <f t="shared" si="71"/>
        <v>0</v>
      </c>
      <c r="BW151" s="339">
        <f t="shared" si="71"/>
        <v>0</v>
      </c>
      <c r="BX151" s="339">
        <f t="shared" si="71"/>
        <v>0</v>
      </c>
      <c r="BY151" s="339">
        <f t="shared" si="71"/>
        <v>0</v>
      </c>
      <c r="BZ151" s="339">
        <f t="shared" si="71"/>
        <v>0</v>
      </c>
      <c r="CA151" s="339">
        <f t="shared" si="71"/>
        <v>0</v>
      </c>
      <c r="CB151" s="339">
        <f t="shared" si="71"/>
        <v>0</v>
      </c>
      <c r="CC151" s="339">
        <f t="shared" si="71"/>
        <v>0</v>
      </c>
      <c r="CD151" s="339">
        <f t="shared" si="71"/>
        <v>0</v>
      </c>
      <c r="CE151" s="339">
        <f t="shared" si="71"/>
        <v>0</v>
      </c>
      <c r="CF151" s="339">
        <f t="shared" si="71"/>
        <v>0</v>
      </c>
      <c r="CG151" s="339">
        <f t="shared" si="71"/>
        <v>0</v>
      </c>
      <c r="CH151" s="339">
        <f t="shared" si="71"/>
        <v>0</v>
      </c>
      <c r="CI151" s="339">
        <f t="shared" si="71"/>
        <v>0</v>
      </c>
      <c r="CJ151" s="339">
        <f t="shared" si="71"/>
        <v>0</v>
      </c>
      <c r="CK151" s="339">
        <f t="shared" si="71"/>
        <v>0</v>
      </c>
      <c r="CL151" s="339">
        <f t="shared" si="71"/>
        <v>0</v>
      </c>
      <c r="CM151" s="339">
        <f t="shared" si="71"/>
        <v>0</v>
      </c>
      <c r="CN151" s="339">
        <f t="shared" si="71"/>
        <v>0</v>
      </c>
      <c r="CO151" s="339">
        <f t="shared" si="71"/>
        <v>0</v>
      </c>
      <c r="CP151" s="339">
        <f t="shared" si="71"/>
        <v>0</v>
      </c>
      <c r="CQ151" s="339">
        <f t="shared" si="71"/>
        <v>0</v>
      </c>
    </row>
    <row r="152" spans="2:95">
      <c r="J152" s="459"/>
    </row>
    <row r="153" spans="2:95" ht="15.4">
      <c r="E153" s="403">
        <f>D153/G153</f>
        <v>0</v>
      </c>
      <c r="F153" s="403">
        <f>G153/12</f>
        <v>5</v>
      </c>
      <c r="G153" s="403">
        <v>60</v>
      </c>
      <c r="H153" s="404">
        <v>44834</v>
      </c>
      <c r="I153" s="404">
        <f>H153+F153*365</f>
        <v>46659</v>
      </c>
      <c r="J153" s="459"/>
      <c r="BH153" s="339">
        <f t="shared" ref="BH153:CQ153" si="72">IF($I153&gt;BH$7-30,$E153,0)</f>
        <v>0</v>
      </c>
      <c r="BI153" s="339">
        <f t="shared" si="72"/>
        <v>0</v>
      </c>
      <c r="BJ153" s="339">
        <f t="shared" si="72"/>
        <v>0</v>
      </c>
      <c r="BK153" s="339">
        <f t="shared" si="72"/>
        <v>0</v>
      </c>
      <c r="BL153" s="339">
        <f t="shared" si="72"/>
        <v>0</v>
      </c>
      <c r="BM153" s="339">
        <f t="shared" si="72"/>
        <v>0</v>
      </c>
      <c r="BN153" s="339">
        <f t="shared" si="72"/>
        <v>0</v>
      </c>
      <c r="BO153" s="339">
        <f t="shared" si="72"/>
        <v>0</v>
      </c>
      <c r="BP153" s="339">
        <f t="shared" si="72"/>
        <v>0</v>
      </c>
      <c r="BQ153" s="339">
        <f t="shared" si="72"/>
        <v>0</v>
      </c>
      <c r="BR153" s="339">
        <f t="shared" si="72"/>
        <v>0</v>
      </c>
      <c r="BS153" s="339">
        <f t="shared" si="72"/>
        <v>0</v>
      </c>
      <c r="BT153" s="339">
        <f t="shared" si="72"/>
        <v>0</v>
      </c>
      <c r="BU153" s="339">
        <f t="shared" si="72"/>
        <v>0</v>
      </c>
      <c r="BV153" s="339">
        <f t="shared" si="72"/>
        <v>0</v>
      </c>
      <c r="BW153" s="339">
        <f t="shared" si="72"/>
        <v>0</v>
      </c>
      <c r="BX153" s="339">
        <f t="shared" si="72"/>
        <v>0</v>
      </c>
      <c r="BY153" s="339">
        <f t="shared" si="72"/>
        <v>0</v>
      </c>
      <c r="BZ153" s="339">
        <f t="shared" si="72"/>
        <v>0</v>
      </c>
      <c r="CA153" s="339">
        <f t="shared" si="72"/>
        <v>0</v>
      </c>
      <c r="CB153" s="339">
        <f t="shared" si="72"/>
        <v>0</v>
      </c>
      <c r="CC153" s="339">
        <f t="shared" si="72"/>
        <v>0</v>
      </c>
      <c r="CD153" s="339">
        <f t="shared" si="72"/>
        <v>0</v>
      </c>
      <c r="CE153" s="339">
        <f t="shared" si="72"/>
        <v>0</v>
      </c>
      <c r="CF153" s="339">
        <f t="shared" si="72"/>
        <v>0</v>
      </c>
      <c r="CG153" s="339">
        <f t="shared" si="72"/>
        <v>0</v>
      </c>
      <c r="CH153" s="339">
        <f t="shared" si="72"/>
        <v>0</v>
      </c>
      <c r="CI153" s="339">
        <f t="shared" si="72"/>
        <v>0</v>
      </c>
      <c r="CJ153" s="339">
        <f t="shared" si="72"/>
        <v>0</v>
      </c>
      <c r="CK153" s="339">
        <f t="shared" si="72"/>
        <v>0</v>
      </c>
      <c r="CL153" s="339">
        <f t="shared" si="72"/>
        <v>0</v>
      </c>
      <c r="CM153" s="339">
        <f t="shared" si="72"/>
        <v>0</v>
      </c>
      <c r="CN153" s="339">
        <f t="shared" si="72"/>
        <v>0</v>
      </c>
      <c r="CO153" s="339">
        <f t="shared" si="72"/>
        <v>0</v>
      </c>
      <c r="CP153" s="339">
        <f t="shared" si="72"/>
        <v>0</v>
      </c>
      <c r="CQ153" s="339">
        <f t="shared" si="72"/>
        <v>0</v>
      </c>
    </row>
    <row r="154" spans="2:95" ht="15.4">
      <c r="D154" s="403">
        <f>'DD forecasts'!E41*'DD forecasts'!E81*1000</f>
        <v>197469.71905934263</v>
      </c>
      <c r="E154" s="403">
        <f t="shared" ref="E154:E164" si="73">D154/G154</f>
        <v>3291.1619843223771</v>
      </c>
      <c r="F154" s="403">
        <f t="shared" si="70"/>
        <v>5</v>
      </c>
      <c r="G154" s="403">
        <v>60</v>
      </c>
      <c r="H154" s="404">
        <v>44834</v>
      </c>
      <c r="I154" s="404">
        <f t="shared" ref="I154:I164" si="74">H154+F154*365</f>
        <v>46659</v>
      </c>
      <c r="J154" s="459"/>
      <c r="BH154" s="339">
        <f t="shared" si="71"/>
        <v>3291.1619843223771</v>
      </c>
      <c r="BI154" s="339">
        <f t="shared" si="71"/>
        <v>3291.1619843223771</v>
      </c>
      <c r="BJ154" s="339">
        <f t="shared" si="71"/>
        <v>3291.1619843223771</v>
      </c>
      <c r="BK154" s="339">
        <f t="shared" si="71"/>
        <v>3291.1619843223771</v>
      </c>
      <c r="BL154" s="339">
        <f t="shared" si="71"/>
        <v>3291.1619843223771</v>
      </c>
      <c r="BM154" s="339">
        <f t="shared" si="71"/>
        <v>3291.1619843223771</v>
      </c>
      <c r="BN154" s="339">
        <f t="shared" si="71"/>
        <v>3291.1619843223771</v>
      </c>
      <c r="BO154" s="339">
        <f t="shared" si="71"/>
        <v>3291.1619843223771</v>
      </c>
      <c r="BP154" s="339">
        <f t="shared" si="71"/>
        <v>3291.1619843223771</v>
      </c>
      <c r="BQ154" s="339">
        <f t="shared" si="71"/>
        <v>3291.1619843223771</v>
      </c>
      <c r="BR154" s="339">
        <f t="shared" si="71"/>
        <v>3291.1619843223771</v>
      </c>
      <c r="BS154" s="339">
        <f t="shared" si="71"/>
        <v>3291.1619843223771</v>
      </c>
      <c r="BT154" s="339">
        <f t="shared" si="71"/>
        <v>3291.1619843223771</v>
      </c>
      <c r="BU154" s="339">
        <f t="shared" si="71"/>
        <v>3291.1619843223771</v>
      </c>
      <c r="BV154" s="339">
        <f t="shared" si="71"/>
        <v>3291.1619843223771</v>
      </c>
      <c r="BW154" s="339">
        <f t="shared" si="71"/>
        <v>3291.1619843223771</v>
      </c>
      <c r="BX154" s="339">
        <f t="shared" si="71"/>
        <v>3291.1619843223771</v>
      </c>
      <c r="BY154" s="339">
        <f t="shared" si="71"/>
        <v>3291.1619843223771</v>
      </c>
      <c r="BZ154" s="339">
        <f t="shared" si="71"/>
        <v>3291.1619843223771</v>
      </c>
      <c r="CA154" s="339">
        <f t="shared" si="71"/>
        <v>3291.1619843223771</v>
      </c>
      <c r="CB154" s="339">
        <f t="shared" si="71"/>
        <v>3291.1619843223771</v>
      </c>
      <c r="CC154" s="339">
        <f t="shared" si="71"/>
        <v>3291.1619843223771</v>
      </c>
      <c r="CD154" s="339">
        <f t="shared" si="71"/>
        <v>3291.1619843223771</v>
      </c>
      <c r="CE154" s="339">
        <f t="shared" si="71"/>
        <v>3291.1619843223771</v>
      </c>
      <c r="CF154" s="339">
        <f t="shared" si="71"/>
        <v>3291.1619843223771</v>
      </c>
      <c r="CG154" s="339">
        <f t="shared" si="71"/>
        <v>3291.1619843223771</v>
      </c>
      <c r="CH154" s="339">
        <f t="shared" si="71"/>
        <v>3291.1619843223771</v>
      </c>
      <c r="CI154" s="339">
        <f t="shared" si="71"/>
        <v>3291.1619843223771</v>
      </c>
      <c r="CJ154" s="339">
        <f t="shared" si="71"/>
        <v>3291.1619843223771</v>
      </c>
      <c r="CK154" s="339">
        <f t="shared" si="71"/>
        <v>3291.1619843223771</v>
      </c>
      <c r="CL154" s="339">
        <f t="shared" si="71"/>
        <v>3291.1619843223771</v>
      </c>
      <c r="CM154" s="339">
        <f t="shared" si="71"/>
        <v>3291.1619843223771</v>
      </c>
      <c r="CN154" s="339">
        <f t="shared" si="71"/>
        <v>3291.1619843223771</v>
      </c>
      <c r="CO154" s="339">
        <f t="shared" si="71"/>
        <v>3291.1619843223771</v>
      </c>
      <c r="CP154" s="339">
        <f t="shared" si="71"/>
        <v>3291.1619843223771</v>
      </c>
      <c r="CQ154" s="339">
        <f t="shared" si="71"/>
        <v>3291.1619843223771</v>
      </c>
    </row>
    <row r="155" spans="2:95" ht="15.4">
      <c r="D155" s="403">
        <f>'DD forecasts'!E13*'DD forecasts'!E81*1000</f>
        <v>3054943.7803956405</v>
      </c>
      <c r="E155" s="403">
        <f t="shared" si="73"/>
        <v>50915.729673260677</v>
      </c>
      <c r="F155" s="403">
        <f t="shared" si="70"/>
        <v>5</v>
      </c>
      <c r="G155" s="403">
        <v>60</v>
      </c>
      <c r="H155" s="404">
        <v>44834</v>
      </c>
      <c r="I155" s="404">
        <f t="shared" si="74"/>
        <v>46659</v>
      </c>
      <c r="J155" s="459"/>
      <c r="BH155" s="339">
        <f t="shared" si="71"/>
        <v>50915.729673260677</v>
      </c>
      <c r="BI155" s="339">
        <f t="shared" si="71"/>
        <v>50915.729673260677</v>
      </c>
      <c r="BJ155" s="339">
        <f t="shared" si="71"/>
        <v>50915.729673260677</v>
      </c>
      <c r="BK155" s="339">
        <f t="shared" si="71"/>
        <v>50915.729673260677</v>
      </c>
      <c r="BL155" s="339">
        <f t="shared" si="71"/>
        <v>50915.729673260677</v>
      </c>
      <c r="BM155" s="339">
        <f t="shared" si="71"/>
        <v>50915.729673260677</v>
      </c>
      <c r="BN155" s="339">
        <f t="shared" si="71"/>
        <v>50915.729673260677</v>
      </c>
      <c r="BO155" s="339">
        <f t="shared" si="71"/>
        <v>50915.729673260677</v>
      </c>
      <c r="BP155" s="339">
        <f t="shared" si="71"/>
        <v>50915.729673260677</v>
      </c>
      <c r="BQ155" s="339">
        <f t="shared" si="71"/>
        <v>50915.729673260677</v>
      </c>
      <c r="BR155" s="339">
        <f t="shared" si="71"/>
        <v>50915.729673260677</v>
      </c>
      <c r="BS155" s="339">
        <f t="shared" si="71"/>
        <v>50915.729673260677</v>
      </c>
      <c r="BT155" s="339">
        <f t="shared" si="71"/>
        <v>50915.729673260677</v>
      </c>
      <c r="BU155" s="339">
        <f t="shared" si="71"/>
        <v>50915.729673260677</v>
      </c>
      <c r="BV155" s="339">
        <f t="shared" si="71"/>
        <v>50915.729673260677</v>
      </c>
      <c r="BW155" s="339">
        <f t="shared" si="71"/>
        <v>50915.729673260677</v>
      </c>
      <c r="BX155" s="339">
        <f t="shared" si="71"/>
        <v>50915.729673260677</v>
      </c>
      <c r="BY155" s="339">
        <f t="shared" si="71"/>
        <v>50915.729673260677</v>
      </c>
      <c r="BZ155" s="339">
        <f t="shared" si="71"/>
        <v>50915.729673260677</v>
      </c>
      <c r="CA155" s="339">
        <f t="shared" si="71"/>
        <v>50915.729673260677</v>
      </c>
      <c r="CB155" s="339">
        <f t="shared" si="71"/>
        <v>50915.729673260677</v>
      </c>
      <c r="CC155" s="339">
        <f t="shared" si="71"/>
        <v>50915.729673260677</v>
      </c>
      <c r="CD155" s="339">
        <f t="shared" si="71"/>
        <v>50915.729673260677</v>
      </c>
      <c r="CE155" s="339">
        <f t="shared" si="71"/>
        <v>50915.729673260677</v>
      </c>
      <c r="CF155" s="339">
        <f t="shared" si="71"/>
        <v>50915.729673260677</v>
      </c>
      <c r="CG155" s="339">
        <f t="shared" si="71"/>
        <v>50915.729673260677</v>
      </c>
      <c r="CH155" s="339">
        <f t="shared" si="71"/>
        <v>50915.729673260677</v>
      </c>
      <c r="CI155" s="339">
        <f t="shared" si="71"/>
        <v>50915.729673260677</v>
      </c>
      <c r="CJ155" s="339">
        <f t="shared" si="71"/>
        <v>50915.729673260677</v>
      </c>
      <c r="CK155" s="339">
        <f t="shared" si="71"/>
        <v>50915.729673260677</v>
      </c>
      <c r="CL155" s="339">
        <f t="shared" si="71"/>
        <v>50915.729673260677</v>
      </c>
      <c r="CM155" s="339">
        <f t="shared" si="71"/>
        <v>50915.729673260677</v>
      </c>
      <c r="CN155" s="339">
        <f t="shared" si="71"/>
        <v>50915.729673260677</v>
      </c>
      <c r="CO155" s="339">
        <f t="shared" si="71"/>
        <v>50915.729673260677</v>
      </c>
      <c r="CP155" s="339">
        <f t="shared" si="71"/>
        <v>50915.729673260677</v>
      </c>
      <c r="CQ155" s="339">
        <f t="shared" si="71"/>
        <v>50915.729673260677</v>
      </c>
    </row>
    <row r="156" spans="2:95" ht="15.4">
      <c r="E156" s="403">
        <f t="shared" si="73"/>
        <v>0</v>
      </c>
      <c r="F156" s="403">
        <f t="shared" si="70"/>
        <v>5</v>
      </c>
      <c r="G156" s="403">
        <v>60</v>
      </c>
      <c r="H156" s="404">
        <v>44834</v>
      </c>
      <c r="I156" s="404">
        <f t="shared" si="74"/>
        <v>46659</v>
      </c>
      <c r="J156" s="459"/>
      <c r="BH156" s="339">
        <f t="shared" si="71"/>
        <v>0</v>
      </c>
      <c r="BI156" s="339">
        <f t="shared" si="71"/>
        <v>0</v>
      </c>
      <c r="BJ156" s="339">
        <f t="shared" si="71"/>
        <v>0</v>
      </c>
      <c r="BK156" s="339">
        <f t="shared" si="71"/>
        <v>0</v>
      </c>
      <c r="BL156" s="339">
        <f t="shared" si="71"/>
        <v>0</v>
      </c>
      <c r="BM156" s="339">
        <f t="shared" si="71"/>
        <v>0</v>
      </c>
      <c r="BN156" s="339">
        <f t="shared" si="71"/>
        <v>0</v>
      </c>
      <c r="BO156" s="339">
        <f t="shared" si="71"/>
        <v>0</v>
      </c>
      <c r="BP156" s="339">
        <f t="shared" si="71"/>
        <v>0</v>
      </c>
      <c r="BQ156" s="339">
        <f t="shared" si="71"/>
        <v>0</v>
      </c>
      <c r="BR156" s="339">
        <f t="shared" si="71"/>
        <v>0</v>
      </c>
      <c r="BS156" s="339">
        <f t="shared" si="71"/>
        <v>0</v>
      </c>
      <c r="BT156" s="339">
        <f t="shared" si="71"/>
        <v>0</v>
      </c>
      <c r="BU156" s="339">
        <f t="shared" si="71"/>
        <v>0</v>
      </c>
      <c r="BV156" s="339">
        <f t="shared" si="71"/>
        <v>0</v>
      </c>
      <c r="BW156" s="339">
        <f t="shared" si="71"/>
        <v>0</v>
      </c>
      <c r="BX156" s="339">
        <f t="shared" si="71"/>
        <v>0</v>
      </c>
      <c r="BY156" s="339">
        <f t="shared" si="71"/>
        <v>0</v>
      </c>
      <c r="BZ156" s="339">
        <f t="shared" si="71"/>
        <v>0</v>
      </c>
      <c r="CA156" s="339">
        <f t="shared" si="71"/>
        <v>0</v>
      </c>
      <c r="CB156" s="339">
        <f t="shared" si="71"/>
        <v>0</v>
      </c>
      <c r="CC156" s="339">
        <f t="shared" si="71"/>
        <v>0</v>
      </c>
      <c r="CD156" s="339">
        <f t="shared" si="71"/>
        <v>0</v>
      </c>
      <c r="CE156" s="339">
        <f t="shared" si="71"/>
        <v>0</v>
      </c>
      <c r="CF156" s="339">
        <f t="shared" si="71"/>
        <v>0</v>
      </c>
      <c r="CG156" s="339">
        <f t="shared" si="71"/>
        <v>0</v>
      </c>
      <c r="CH156" s="339">
        <f t="shared" si="71"/>
        <v>0</v>
      </c>
      <c r="CI156" s="339">
        <f t="shared" si="71"/>
        <v>0</v>
      </c>
      <c r="CJ156" s="339">
        <f t="shared" si="71"/>
        <v>0</v>
      </c>
      <c r="CK156" s="339">
        <f t="shared" si="71"/>
        <v>0</v>
      </c>
      <c r="CL156" s="339">
        <f t="shared" si="71"/>
        <v>0</v>
      </c>
      <c r="CM156" s="339">
        <f t="shared" si="71"/>
        <v>0</v>
      </c>
      <c r="CN156" s="339">
        <f t="shared" si="71"/>
        <v>0</v>
      </c>
      <c r="CO156" s="339">
        <f t="shared" si="71"/>
        <v>0</v>
      </c>
      <c r="CP156" s="339">
        <f t="shared" si="71"/>
        <v>0</v>
      </c>
      <c r="CQ156" s="339">
        <f t="shared" si="71"/>
        <v>0</v>
      </c>
    </row>
    <row r="157" spans="2:95" ht="15.4">
      <c r="E157" s="403">
        <f t="shared" si="73"/>
        <v>0</v>
      </c>
      <c r="F157" s="403">
        <f t="shared" si="70"/>
        <v>5</v>
      </c>
      <c r="G157" s="403">
        <v>60</v>
      </c>
      <c r="H157" s="404">
        <v>44834</v>
      </c>
      <c r="I157" s="404">
        <f t="shared" si="74"/>
        <v>46659</v>
      </c>
      <c r="J157" s="459"/>
      <c r="BH157" s="339">
        <f t="shared" si="71"/>
        <v>0</v>
      </c>
      <c r="BI157" s="339">
        <f t="shared" si="71"/>
        <v>0</v>
      </c>
      <c r="BJ157" s="339">
        <f t="shared" si="71"/>
        <v>0</v>
      </c>
      <c r="BK157" s="339">
        <f t="shared" si="71"/>
        <v>0</v>
      </c>
      <c r="BL157" s="339">
        <f t="shared" si="71"/>
        <v>0</v>
      </c>
      <c r="BM157" s="339">
        <f t="shared" si="71"/>
        <v>0</v>
      </c>
      <c r="BN157" s="339">
        <f t="shared" si="71"/>
        <v>0</v>
      </c>
      <c r="BO157" s="339">
        <f t="shared" si="71"/>
        <v>0</v>
      </c>
      <c r="BP157" s="339">
        <f t="shared" si="71"/>
        <v>0</v>
      </c>
      <c r="BQ157" s="339">
        <f t="shared" si="71"/>
        <v>0</v>
      </c>
      <c r="BR157" s="339">
        <f t="shared" si="71"/>
        <v>0</v>
      </c>
      <c r="BS157" s="339">
        <f t="shared" si="71"/>
        <v>0</v>
      </c>
      <c r="BT157" s="339">
        <f t="shared" si="71"/>
        <v>0</v>
      </c>
      <c r="BU157" s="339">
        <f t="shared" si="71"/>
        <v>0</v>
      </c>
      <c r="BV157" s="339">
        <f t="shared" si="71"/>
        <v>0</v>
      </c>
      <c r="BW157" s="339">
        <f t="shared" si="71"/>
        <v>0</v>
      </c>
      <c r="BX157" s="339">
        <f t="shared" si="71"/>
        <v>0</v>
      </c>
      <c r="BY157" s="339">
        <f t="shared" si="71"/>
        <v>0</v>
      </c>
      <c r="BZ157" s="339">
        <f t="shared" si="71"/>
        <v>0</v>
      </c>
      <c r="CA157" s="339">
        <f t="shared" si="71"/>
        <v>0</v>
      </c>
      <c r="CB157" s="339">
        <f t="shared" si="71"/>
        <v>0</v>
      </c>
      <c r="CC157" s="339">
        <f t="shared" si="71"/>
        <v>0</v>
      </c>
      <c r="CD157" s="339">
        <f t="shared" si="71"/>
        <v>0</v>
      </c>
      <c r="CE157" s="339">
        <f t="shared" si="71"/>
        <v>0</v>
      </c>
      <c r="CF157" s="339">
        <f t="shared" si="71"/>
        <v>0</v>
      </c>
      <c r="CG157" s="339">
        <f t="shared" si="71"/>
        <v>0</v>
      </c>
      <c r="CH157" s="339">
        <f t="shared" si="71"/>
        <v>0</v>
      </c>
      <c r="CI157" s="339">
        <f t="shared" si="71"/>
        <v>0</v>
      </c>
      <c r="CJ157" s="339">
        <f t="shared" si="71"/>
        <v>0</v>
      </c>
      <c r="CK157" s="339">
        <f t="shared" si="71"/>
        <v>0</v>
      </c>
      <c r="CL157" s="339">
        <f t="shared" si="71"/>
        <v>0</v>
      </c>
      <c r="CM157" s="339">
        <f t="shared" si="71"/>
        <v>0</v>
      </c>
      <c r="CN157" s="339">
        <f t="shared" si="71"/>
        <v>0</v>
      </c>
      <c r="CO157" s="339">
        <f t="shared" si="71"/>
        <v>0</v>
      </c>
      <c r="CP157" s="339">
        <f t="shared" si="71"/>
        <v>0</v>
      </c>
      <c r="CQ157" s="339">
        <f t="shared" si="71"/>
        <v>0</v>
      </c>
    </row>
    <row r="158" spans="2:95" ht="15.4">
      <c r="E158" s="403">
        <f t="shared" si="73"/>
        <v>0</v>
      </c>
      <c r="F158" s="403">
        <f t="shared" si="70"/>
        <v>5</v>
      </c>
      <c r="G158" s="403">
        <v>60</v>
      </c>
      <c r="H158" s="404">
        <v>44834</v>
      </c>
      <c r="I158" s="404">
        <f t="shared" si="74"/>
        <v>46659</v>
      </c>
      <c r="J158" s="459"/>
      <c r="BH158" s="339">
        <f t="shared" si="71"/>
        <v>0</v>
      </c>
      <c r="BI158" s="339">
        <f t="shared" si="71"/>
        <v>0</v>
      </c>
      <c r="BJ158" s="339">
        <f t="shared" si="71"/>
        <v>0</v>
      </c>
      <c r="BK158" s="339">
        <f t="shared" si="71"/>
        <v>0</v>
      </c>
      <c r="BL158" s="339">
        <f t="shared" si="71"/>
        <v>0</v>
      </c>
      <c r="BM158" s="339">
        <f t="shared" si="71"/>
        <v>0</v>
      </c>
      <c r="BN158" s="339">
        <f t="shared" si="71"/>
        <v>0</v>
      </c>
      <c r="BO158" s="339">
        <f t="shared" si="71"/>
        <v>0</v>
      </c>
      <c r="BP158" s="339">
        <f t="shared" si="71"/>
        <v>0</v>
      </c>
      <c r="BQ158" s="339">
        <f t="shared" si="71"/>
        <v>0</v>
      </c>
      <c r="BR158" s="339">
        <f t="shared" si="71"/>
        <v>0</v>
      </c>
      <c r="BS158" s="339">
        <f t="shared" si="71"/>
        <v>0</v>
      </c>
      <c r="BT158" s="339">
        <f t="shared" si="71"/>
        <v>0</v>
      </c>
      <c r="BU158" s="339">
        <f t="shared" si="71"/>
        <v>0</v>
      </c>
      <c r="BV158" s="339">
        <f t="shared" si="71"/>
        <v>0</v>
      </c>
      <c r="BW158" s="339">
        <f t="shared" si="71"/>
        <v>0</v>
      </c>
      <c r="BX158" s="339">
        <f t="shared" si="71"/>
        <v>0</v>
      </c>
      <c r="BY158" s="339">
        <f t="shared" si="71"/>
        <v>0</v>
      </c>
      <c r="BZ158" s="339">
        <f t="shared" si="71"/>
        <v>0</v>
      </c>
      <c r="CA158" s="339">
        <f t="shared" si="71"/>
        <v>0</v>
      </c>
      <c r="CB158" s="339">
        <f t="shared" si="71"/>
        <v>0</v>
      </c>
      <c r="CC158" s="339">
        <f t="shared" si="71"/>
        <v>0</v>
      </c>
      <c r="CD158" s="339">
        <f t="shared" si="71"/>
        <v>0</v>
      </c>
      <c r="CE158" s="339">
        <f t="shared" si="71"/>
        <v>0</v>
      </c>
      <c r="CF158" s="339">
        <f t="shared" si="71"/>
        <v>0</v>
      </c>
      <c r="CG158" s="339">
        <f t="shared" si="71"/>
        <v>0</v>
      </c>
      <c r="CH158" s="339">
        <f t="shared" si="71"/>
        <v>0</v>
      </c>
      <c r="CI158" s="339">
        <f t="shared" si="71"/>
        <v>0</v>
      </c>
      <c r="CJ158" s="339">
        <f t="shared" si="71"/>
        <v>0</v>
      </c>
      <c r="CK158" s="339">
        <f t="shared" si="71"/>
        <v>0</v>
      </c>
      <c r="CL158" s="339">
        <f t="shared" si="71"/>
        <v>0</v>
      </c>
      <c r="CM158" s="339">
        <f t="shared" si="71"/>
        <v>0</v>
      </c>
      <c r="CN158" s="339">
        <f t="shared" si="71"/>
        <v>0</v>
      </c>
      <c r="CO158" s="339">
        <f t="shared" si="71"/>
        <v>0</v>
      </c>
      <c r="CP158" s="339">
        <f t="shared" si="71"/>
        <v>0</v>
      </c>
      <c r="CQ158" s="339">
        <f t="shared" si="71"/>
        <v>0</v>
      </c>
    </row>
    <row r="159" spans="2:95" ht="15.4">
      <c r="E159" s="403">
        <f t="shared" si="73"/>
        <v>0</v>
      </c>
      <c r="F159" s="403">
        <f t="shared" si="70"/>
        <v>5</v>
      </c>
      <c r="G159" s="403">
        <v>60</v>
      </c>
      <c r="H159" s="404">
        <v>44834</v>
      </c>
      <c r="I159" s="404">
        <f t="shared" si="74"/>
        <v>46659</v>
      </c>
      <c r="J159" s="459"/>
      <c r="BH159" s="339">
        <f t="shared" si="71"/>
        <v>0</v>
      </c>
      <c r="BI159" s="339">
        <f t="shared" si="71"/>
        <v>0</v>
      </c>
      <c r="BJ159" s="339">
        <f t="shared" si="71"/>
        <v>0</v>
      </c>
      <c r="BK159" s="339">
        <f t="shared" ref="BK159:CQ159" si="75">IF($I159&gt;BK$7-30,$E159,0)</f>
        <v>0</v>
      </c>
      <c r="BL159" s="339">
        <f t="shared" si="75"/>
        <v>0</v>
      </c>
      <c r="BM159" s="339">
        <f t="shared" si="75"/>
        <v>0</v>
      </c>
      <c r="BN159" s="339">
        <f t="shared" si="75"/>
        <v>0</v>
      </c>
      <c r="BO159" s="339">
        <f t="shared" si="75"/>
        <v>0</v>
      </c>
      <c r="BP159" s="339">
        <f t="shared" si="75"/>
        <v>0</v>
      </c>
      <c r="BQ159" s="339">
        <f t="shared" si="75"/>
        <v>0</v>
      </c>
      <c r="BR159" s="339">
        <f t="shared" si="75"/>
        <v>0</v>
      </c>
      <c r="BS159" s="339">
        <f t="shared" si="75"/>
        <v>0</v>
      </c>
      <c r="BT159" s="339">
        <f t="shared" si="75"/>
        <v>0</v>
      </c>
      <c r="BU159" s="339">
        <f t="shared" si="75"/>
        <v>0</v>
      </c>
      <c r="BV159" s="339">
        <f t="shared" si="75"/>
        <v>0</v>
      </c>
      <c r="BW159" s="339">
        <f t="shared" si="75"/>
        <v>0</v>
      </c>
      <c r="BX159" s="339">
        <f t="shared" si="75"/>
        <v>0</v>
      </c>
      <c r="BY159" s="339">
        <f t="shared" si="75"/>
        <v>0</v>
      </c>
      <c r="BZ159" s="339">
        <f t="shared" si="75"/>
        <v>0</v>
      </c>
      <c r="CA159" s="339">
        <f t="shared" si="75"/>
        <v>0</v>
      </c>
      <c r="CB159" s="339">
        <f t="shared" si="75"/>
        <v>0</v>
      </c>
      <c r="CC159" s="339">
        <f t="shared" si="75"/>
        <v>0</v>
      </c>
      <c r="CD159" s="339">
        <f t="shared" si="75"/>
        <v>0</v>
      </c>
      <c r="CE159" s="339">
        <f t="shared" si="75"/>
        <v>0</v>
      </c>
      <c r="CF159" s="339">
        <f t="shared" si="75"/>
        <v>0</v>
      </c>
      <c r="CG159" s="339">
        <f t="shared" si="75"/>
        <v>0</v>
      </c>
      <c r="CH159" s="339">
        <f t="shared" si="75"/>
        <v>0</v>
      </c>
      <c r="CI159" s="339">
        <f t="shared" si="75"/>
        <v>0</v>
      </c>
      <c r="CJ159" s="339">
        <f t="shared" si="75"/>
        <v>0</v>
      </c>
      <c r="CK159" s="339">
        <f t="shared" si="75"/>
        <v>0</v>
      </c>
      <c r="CL159" s="339">
        <f t="shared" si="75"/>
        <v>0</v>
      </c>
      <c r="CM159" s="339">
        <f t="shared" si="75"/>
        <v>0</v>
      </c>
      <c r="CN159" s="339">
        <f t="shared" si="75"/>
        <v>0</v>
      </c>
      <c r="CO159" s="339">
        <f t="shared" si="75"/>
        <v>0</v>
      </c>
      <c r="CP159" s="339">
        <f t="shared" si="75"/>
        <v>0</v>
      </c>
      <c r="CQ159" s="339">
        <f t="shared" si="75"/>
        <v>0</v>
      </c>
    </row>
    <row r="160" spans="2:95" ht="15.4">
      <c r="E160" s="403">
        <f t="shared" si="73"/>
        <v>0</v>
      </c>
      <c r="F160" s="403">
        <f t="shared" si="70"/>
        <v>5</v>
      </c>
      <c r="G160" s="403">
        <v>60</v>
      </c>
      <c r="H160" s="404">
        <v>44834</v>
      </c>
      <c r="I160" s="404">
        <f t="shared" si="74"/>
        <v>46659</v>
      </c>
      <c r="J160" s="459"/>
      <c r="BH160" s="339">
        <f t="shared" ref="BH160:CQ167" si="76">IF($I160&gt;BH$7-30,$E160,0)</f>
        <v>0</v>
      </c>
      <c r="BI160" s="339">
        <f t="shared" si="76"/>
        <v>0</v>
      </c>
      <c r="BJ160" s="339">
        <f t="shared" si="76"/>
        <v>0</v>
      </c>
      <c r="BK160" s="339">
        <f t="shared" si="76"/>
        <v>0</v>
      </c>
      <c r="BL160" s="339">
        <f t="shared" si="76"/>
        <v>0</v>
      </c>
      <c r="BM160" s="339">
        <f t="shared" si="76"/>
        <v>0</v>
      </c>
      <c r="BN160" s="339">
        <f t="shared" si="76"/>
        <v>0</v>
      </c>
      <c r="BO160" s="339">
        <f t="shared" si="76"/>
        <v>0</v>
      </c>
      <c r="BP160" s="339">
        <f t="shared" si="76"/>
        <v>0</v>
      </c>
      <c r="BQ160" s="339">
        <f t="shared" si="76"/>
        <v>0</v>
      </c>
      <c r="BR160" s="339">
        <f t="shared" si="76"/>
        <v>0</v>
      </c>
      <c r="BS160" s="339">
        <f t="shared" si="76"/>
        <v>0</v>
      </c>
      <c r="BT160" s="339">
        <f t="shared" si="76"/>
        <v>0</v>
      </c>
      <c r="BU160" s="339">
        <f t="shared" si="76"/>
        <v>0</v>
      </c>
      <c r="BV160" s="339">
        <f t="shared" si="76"/>
        <v>0</v>
      </c>
      <c r="BW160" s="339">
        <f t="shared" si="76"/>
        <v>0</v>
      </c>
      <c r="BX160" s="339">
        <f t="shared" si="76"/>
        <v>0</v>
      </c>
      <c r="BY160" s="339">
        <f t="shared" si="76"/>
        <v>0</v>
      </c>
      <c r="BZ160" s="339">
        <f t="shared" si="76"/>
        <v>0</v>
      </c>
      <c r="CA160" s="339">
        <f t="shared" si="76"/>
        <v>0</v>
      </c>
      <c r="CB160" s="339">
        <f t="shared" si="76"/>
        <v>0</v>
      </c>
      <c r="CC160" s="339">
        <f t="shared" si="76"/>
        <v>0</v>
      </c>
      <c r="CD160" s="339">
        <f t="shared" si="76"/>
        <v>0</v>
      </c>
      <c r="CE160" s="339">
        <f t="shared" si="76"/>
        <v>0</v>
      </c>
      <c r="CF160" s="339">
        <f t="shared" si="76"/>
        <v>0</v>
      </c>
      <c r="CG160" s="339">
        <f t="shared" si="76"/>
        <v>0</v>
      </c>
      <c r="CH160" s="339">
        <f t="shared" si="76"/>
        <v>0</v>
      </c>
      <c r="CI160" s="339">
        <f t="shared" si="76"/>
        <v>0</v>
      </c>
      <c r="CJ160" s="339">
        <f t="shared" si="76"/>
        <v>0</v>
      </c>
      <c r="CK160" s="339">
        <f t="shared" si="76"/>
        <v>0</v>
      </c>
      <c r="CL160" s="339">
        <f t="shared" si="76"/>
        <v>0</v>
      </c>
      <c r="CM160" s="339">
        <f t="shared" si="76"/>
        <v>0</v>
      </c>
      <c r="CN160" s="339">
        <f t="shared" si="76"/>
        <v>0</v>
      </c>
      <c r="CO160" s="339">
        <f t="shared" si="76"/>
        <v>0</v>
      </c>
      <c r="CP160" s="339">
        <f t="shared" si="76"/>
        <v>0</v>
      </c>
      <c r="CQ160" s="339">
        <f t="shared" si="76"/>
        <v>0</v>
      </c>
    </row>
    <row r="161" spans="2:95" ht="15.4">
      <c r="E161" s="403">
        <f t="shared" si="73"/>
        <v>0</v>
      </c>
      <c r="F161" s="403">
        <f t="shared" si="70"/>
        <v>5</v>
      </c>
      <c r="G161" s="403">
        <v>60</v>
      </c>
      <c r="H161" s="404">
        <v>44834</v>
      </c>
      <c r="I161" s="404">
        <f t="shared" si="74"/>
        <v>46659</v>
      </c>
      <c r="J161" s="459"/>
      <c r="BH161" s="339">
        <f t="shared" si="76"/>
        <v>0</v>
      </c>
      <c r="BI161" s="339">
        <f t="shared" si="76"/>
        <v>0</v>
      </c>
      <c r="BJ161" s="339">
        <f t="shared" si="76"/>
        <v>0</v>
      </c>
      <c r="BK161" s="339">
        <f t="shared" si="76"/>
        <v>0</v>
      </c>
      <c r="BL161" s="339">
        <f t="shared" si="76"/>
        <v>0</v>
      </c>
      <c r="BM161" s="339">
        <f t="shared" si="76"/>
        <v>0</v>
      </c>
      <c r="BN161" s="339">
        <f t="shared" si="76"/>
        <v>0</v>
      </c>
      <c r="BO161" s="339">
        <f t="shared" si="76"/>
        <v>0</v>
      </c>
      <c r="BP161" s="339">
        <f t="shared" si="76"/>
        <v>0</v>
      </c>
      <c r="BQ161" s="339">
        <f t="shared" si="76"/>
        <v>0</v>
      </c>
      <c r="BR161" s="339">
        <f t="shared" si="76"/>
        <v>0</v>
      </c>
      <c r="BS161" s="339">
        <f t="shared" si="76"/>
        <v>0</v>
      </c>
      <c r="BT161" s="339">
        <f t="shared" si="76"/>
        <v>0</v>
      </c>
      <c r="BU161" s="339">
        <f t="shared" si="76"/>
        <v>0</v>
      </c>
      <c r="BV161" s="339">
        <f t="shared" si="76"/>
        <v>0</v>
      </c>
      <c r="BW161" s="339">
        <f t="shared" si="76"/>
        <v>0</v>
      </c>
      <c r="BX161" s="339">
        <f t="shared" si="76"/>
        <v>0</v>
      </c>
      <c r="BY161" s="339">
        <f t="shared" si="76"/>
        <v>0</v>
      </c>
      <c r="BZ161" s="339">
        <f t="shared" si="76"/>
        <v>0</v>
      </c>
      <c r="CA161" s="339">
        <f t="shared" si="76"/>
        <v>0</v>
      </c>
      <c r="CB161" s="339">
        <f t="shared" si="76"/>
        <v>0</v>
      </c>
      <c r="CC161" s="339">
        <f t="shared" si="76"/>
        <v>0</v>
      </c>
      <c r="CD161" s="339">
        <f t="shared" si="76"/>
        <v>0</v>
      </c>
      <c r="CE161" s="339">
        <f t="shared" si="76"/>
        <v>0</v>
      </c>
      <c r="CF161" s="339">
        <f t="shared" si="76"/>
        <v>0</v>
      </c>
      <c r="CG161" s="339">
        <f t="shared" si="76"/>
        <v>0</v>
      </c>
      <c r="CH161" s="339">
        <f t="shared" si="76"/>
        <v>0</v>
      </c>
      <c r="CI161" s="339">
        <f t="shared" si="76"/>
        <v>0</v>
      </c>
      <c r="CJ161" s="339">
        <f t="shared" si="76"/>
        <v>0</v>
      </c>
      <c r="CK161" s="339">
        <f t="shared" si="76"/>
        <v>0</v>
      </c>
      <c r="CL161" s="339">
        <f t="shared" si="76"/>
        <v>0</v>
      </c>
      <c r="CM161" s="339">
        <f t="shared" si="76"/>
        <v>0</v>
      </c>
      <c r="CN161" s="339">
        <f t="shared" si="76"/>
        <v>0</v>
      </c>
      <c r="CO161" s="339">
        <f t="shared" si="76"/>
        <v>0</v>
      </c>
      <c r="CP161" s="339">
        <f t="shared" si="76"/>
        <v>0</v>
      </c>
      <c r="CQ161" s="339">
        <f t="shared" si="76"/>
        <v>0</v>
      </c>
    </row>
    <row r="162" spans="2:95" ht="15.4">
      <c r="E162" s="403">
        <f t="shared" si="73"/>
        <v>0</v>
      </c>
      <c r="F162" s="403">
        <f t="shared" si="70"/>
        <v>5</v>
      </c>
      <c r="G162" s="403">
        <v>60</v>
      </c>
      <c r="H162" s="404">
        <v>44834</v>
      </c>
      <c r="I162" s="404">
        <f t="shared" si="74"/>
        <v>46659</v>
      </c>
      <c r="J162" s="459"/>
      <c r="BH162" s="339">
        <f t="shared" si="76"/>
        <v>0</v>
      </c>
      <c r="BI162" s="339">
        <f t="shared" si="76"/>
        <v>0</v>
      </c>
      <c r="BJ162" s="339">
        <f t="shared" si="76"/>
        <v>0</v>
      </c>
      <c r="BK162" s="339">
        <f t="shared" si="76"/>
        <v>0</v>
      </c>
      <c r="BL162" s="339">
        <f t="shared" si="76"/>
        <v>0</v>
      </c>
      <c r="BM162" s="339">
        <f t="shared" si="76"/>
        <v>0</v>
      </c>
      <c r="BN162" s="339">
        <f t="shared" si="76"/>
        <v>0</v>
      </c>
      <c r="BO162" s="339">
        <f t="shared" si="76"/>
        <v>0</v>
      </c>
      <c r="BP162" s="339">
        <f t="shared" si="76"/>
        <v>0</v>
      </c>
      <c r="BQ162" s="339">
        <f t="shared" si="76"/>
        <v>0</v>
      </c>
      <c r="BR162" s="339">
        <f t="shared" si="76"/>
        <v>0</v>
      </c>
      <c r="BS162" s="339">
        <f t="shared" si="76"/>
        <v>0</v>
      </c>
      <c r="BT162" s="339">
        <f t="shared" si="76"/>
        <v>0</v>
      </c>
      <c r="BU162" s="339">
        <f t="shared" si="76"/>
        <v>0</v>
      </c>
      <c r="BV162" s="339">
        <f t="shared" si="76"/>
        <v>0</v>
      </c>
      <c r="BW162" s="339">
        <f t="shared" si="76"/>
        <v>0</v>
      </c>
      <c r="BX162" s="339">
        <f t="shared" si="76"/>
        <v>0</v>
      </c>
      <c r="BY162" s="339">
        <f t="shared" si="76"/>
        <v>0</v>
      </c>
      <c r="BZ162" s="339">
        <f t="shared" si="76"/>
        <v>0</v>
      </c>
      <c r="CA162" s="339">
        <f t="shared" si="76"/>
        <v>0</v>
      </c>
      <c r="CB162" s="339">
        <f t="shared" si="76"/>
        <v>0</v>
      </c>
      <c r="CC162" s="339">
        <f t="shared" si="76"/>
        <v>0</v>
      </c>
      <c r="CD162" s="339">
        <f t="shared" si="76"/>
        <v>0</v>
      </c>
      <c r="CE162" s="339">
        <f t="shared" si="76"/>
        <v>0</v>
      </c>
      <c r="CF162" s="339">
        <f t="shared" si="76"/>
        <v>0</v>
      </c>
      <c r="CG162" s="339">
        <f t="shared" si="76"/>
        <v>0</v>
      </c>
      <c r="CH162" s="339">
        <f t="shared" si="76"/>
        <v>0</v>
      </c>
      <c r="CI162" s="339">
        <f t="shared" si="76"/>
        <v>0</v>
      </c>
      <c r="CJ162" s="339">
        <f t="shared" si="76"/>
        <v>0</v>
      </c>
      <c r="CK162" s="339">
        <f t="shared" si="76"/>
        <v>0</v>
      </c>
      <c r="CL162" s="339">
        <f t="shared" si="76"/>
        <v>0</v>
      </c>
      <c r="CM162" s="339">
        <f t="shared" si="76"/>
        <v>0</v>
      </c>
      <c r="CN162" s="339">
        <f t="shared" si="76"/>
        <v>0</v>
      </c>
      <c r="CO162" s="339">
        <f t="shared" si="76"/>
        <v>0</v>
      </c>
      <c r="CP162" s="339">
        <f t="shared" si="76"/>
        <v>0</v>
      </c>
      <c r="CQ162" s="339">
        <f t="shared" si="76"/>
        <v>0</v>
      </c>
    </row>
    <row r="163" spans="2:95" ht="15.4">
      <c r="E163" s="403">
        <f t="shared" si="73"/>
        <v>0</v>
      </c>
      <c r="F163" s="403">
        <f t="shared" si="70"/>
        <v>5</v>
      </c>
      <c r="G163" s="403">
        <v>60</v>
      </c>
      <c r="H163" s="404">
        <v>44834</v>
      </c>
      <c r="I163" s="404">
        <f t="shared" si="74"/>
        <v>46659</v>
      </c>
      <c r="J163" s="459"/>
      <c r="BH163" s="339">
        <f t="shared" si="76"/>
        <v>0</v>
      </c>
      <c r="BI163" s="339">
        <f t="shared" si="76"/>
        <v>0</v>
      </c>
      <c r="BJ163" s="339">
        <f t="shared" si="76"/>
        <v>0</v>
      </c>
      <c r="BK163" s="339">
        <f t="shared" si="76"/>
        <v>0</v>
      </c>
      <c r="BL163" s="339">
        <f t="shared" si="76"/>
        <v>0</v>
      </c>
      <c r="BM163" s="339">
        <f t="shared" si="76"/>
        <v>0</v>
      </c>
      <c r="BN163" s="339">
        <f t="shared" si="76"/>
        <v>0</v>
      </c>
      <c r="BO163" s="339">
        <f t="shared" si="76"/>
        <v>0</v>
      </c>
      <c r="BP163" s="339">
        <f t="shared" si="76"/>
        <v>0</v>
      </c>
      <c r="BQ163" s="339">
        <f t="shared" si="76"/>
        <v>0</v>
      </c>
      <c r="BR163" s="339">
        <f t="shared" si="76"/>
        <v>0</v>
      </c>
      <c r="BS163" s="339">
        <f t="shared" si="76"/>
        <v>0</v>
      </c>
      <c r="BT163" s="339">
        <f t="shared" si="76"/>
        <v>0</v>
      </c>
      <c r="BU163" s="339">
        <f t="shared" si="76"/>
        <v>0</v>
      </c>
      <c r="BV163" s="339">
        <f t="shared" si="76"/>
        <v>0</v>
      </c>
      <c r="BW163" s="339">
        <f t="shared" si="76"/>
        <v>0</v>
      </c>
      <c r="BX163" s="339">
        <f t="shared" si="76"/>
        <v>0</v>
      </c>
      <c r="BY163" s="339">
        <f t="shared" si="76"/>
        <v>0</v>
      </c>
      <c r="BZ163" s="339">
        <f t="shared" si="76"/>
        <v>0</v>
      </c>
      <c r="CA163" s="339">
        <f t="shared" si="76"/>
        <v>0</v>
      </c>
      <c r="CB163" s="339">
        <f t="shared" si="76"/>
        <v>0</v>
      </c>
      <c r="CC163" s="339">
        <f t="shared" si="76"/>
        <v>0</v>
      </c>
      <c r="CD163" s="339">
        <f t="shared" si="76"/>
        <v>0</v>
      </c>
      <c r="CE163" s="339">
        <f t="shared" si="76"/>
        <v>0</v>
      </c>
      <c r="CF163" s="339">
        <f t="shared" si="76"/>
        <v>0</v>
      </c>
      <c r="CG163" s="339">
        <f t="shared" si="76"/>
        <v>0</v>
      </c>
      <c r="CH163" s="339">
        <f t="shared" si="76"/>
        <v>0</v>
      </c>
      <c r="CI163" s="339">
        <f t="shared" si="76"/>
        <v>0</v>
      </c>
      <c r="CJ163" s="339">
        <f t="shared" si="76"/>
        <v>0</v>
      </c>
      <c r="CK163" s="339">
        <f t="shared" si="76"/>
        <v>0</v>
      </c>
      <c r="CL163" s="339">
        <f t="shared" si="76"/>
        <v>0</v>
      </c>
      <c r="CM163" s="339">
        <f t="shared" si="76"/>
        <v>0</v>
      </c>
      <c r="CN163" s="339">
        <f t="shared" si="76"/>
        <v>0</v>
      </c>
      <c r="CO163" s="339">
        <f t="shared" si="76"/>
        <v>0</v>
      </c>
      <c r="CP163" s="339">
        <f t="shared" si="76"/>
        <v>0</v>
      </c>
      <c r="CQ163" s="339">
        <f t="shared" si="76"/>
        <v>0</v>
      </c>
    </row>
    <row r="164" spans="2:95" ht="15.4">
      <c r="E164" s="403">
        <f t="shared" si="73"/>
        <v>0</v>
      </c>
      <c r="F164" s="403">
        <f t="shared" si="70"/>
        <v>5</v>
      </c>
      <c r="G164" s="403">
        <v>60</v>
      </c>
      <c r="H164" s="404">
        <v>44834</v>
      </c>
      <c r="I164" s="404">
        <f t="shared" si="74"/>
        <v>46659</v>
      </c>
      <c r="J164" s="459"/>
      <c r="BH164" s="339">
        <f t="shared" si="76"/>
        <v>0</v>
      </c>
      <c r="BI164" s="339">
        <f t="shared" si="76"/>
        <v>0</v>
      </c>
      <c r="BJ164" s="339">
        <f t="shared" si="76"/>
        <v>0</v>
      </c>
      <c r="BK164" s="339">
        <f t="shared" si="76"/>
        <v>0</v>
      </c>
      <c r="BL164" s="339">
        <f t="shared" si="76"/>
        <v>0</v>
      </c>
      <c r="BM164" s="339">
        <f t="shared" si="76"/>
        <v>0</v>
      </c>
      <c r="BN164" s="339">
        <f t="shared" si="76"/>
        <v>0</v>
      </c>
      <c r="BO164" s="339">
        <f t="shared" si="76"/>
        <v>0</v>
      </c>
      <c r="BP164" s="339">
        <f t="shared" si="76"/>
        <v>0</v>
      </c>
      <c r="BQ164" s="339">
        <f t="shared" si="76"/>
        <v>0</v>
      </c>
      <c r="BR164" s="339">
        <f t="shared" si="76"/>
        <v>0</v>
      </c>
      <c r="BS164" s="339">
        <f t="shared" si="76"/>
        <v>0</v>
      </c>
      <c r="BT164" s="339">
        <f t="shared" si="76"/>
        <v>0</v>
      </c>
      <c r="BU164" s="339">
        <f t="shared" si="76"/>
        <v>0</v>
      </c>
      <c r="BV164" s="339">
        <f t="shared" si="76"/>
        <v>0</v>
      </c>
      <c r="BW164" s="339">
        <f t="shared" si="76"/>
        <v>0</v>
      </c>
      <c r="BX164" s="339">
        <f t="shared" si="76"/>
        <v>0</v>
      </c>
      <c r="BY164" s="339">
        <f t="shared" si="76"/>
        <v>0</v>
      </c>
      <c r="BZ164" s="339">
        <f t="shared" si="76"/>
        <v>0</v>
      </c>
      <c r="CA164" s="339">
        <f t="shared" si="76"/>
        <v>0</v>
      </c>
      <c r="CB164" s="339">
        <f t="shared" si="76"/>
        <v>0</v>
      </c>
      <c r="CC164" s="339">
        <f t="shared" si="76"/>
        <v>0</v>
      </c>
      <c r="CD164" s="339">
        <f t="shared" si="76"/>
        <v>0</v>
      </c>
      <c r="CE164" s="339">
        <f t="shared" si="76"/>
        <v>0</v>
      </c>
      <c r="CF164" s="339">
        <f t="shared" si="76"/>
        <v>0</v>
      </c>
      <c r="CG164" s="339">
        <f t="shared" si="76"/>
        <v>0</v>
      </c>
      <c r="CH164" s="339">
        <f t="shared" si="76"/>
        <v>0</v>
      </c>
      <c r="CI164" s="339">
        <f t="shared" si="76"/>
        <v>0</v>
      </c>
      <c r="CJ164" s="339">
        <f t="shared" si="76"/>
        <v>0</v>
      </c>
      <c r="CK164" s="339">
        <f t="shared" si="76"/>
        <v>0</v>
      </c>
      <c r="CL164" s="339">
        <f t="shared" si="76"/>
        <v>0</v>
      </c>
      <c r="CM164" s="339">
        <f t="shared" si="76"/>
        <v>0</v>
      </c>
      <c r="CN164" s="339">
        <f t="shared" si="76"/>
        <v>0</v>
      </c>
      <c r="CO164" s="339">
        <f t="shared" si="76"/>
        <v>0</v>
      </c>
      <c r="CP164" s="339">
        <f t="shared" si="76"/>
        <v>0</v>
      </c>
      <c r="CQ164" s="339">
        <f t="shared" si="76"/>
        <v>0</v>
      </c>
    </row>
    <row r="165" spans="2:95" ht="15.4">
      <c r="E165" s="403">
        <f>D165/G165</f>
        <v>0</v>
      </c>
      <c r="F165" s="403">
        <f>G165/12</f>
        <v>5</v>
      </c>
      <c r="G165" s="403">
        <v>60</v>
      </c>
      <c r="H165" s="404">
        <v>44834</v>
      </c>
      <c r="I165" s="404">
        <f>H165+F165*365</f>
        <v>46659</v>
      </c>
      <c r="J165" s="459"/>
      <c r="BH165" s="339">
        <f t="shared" si="76"/>
        <v>0</v>
      </c>
      <c r="BI165" s="339">
        <f t="shared" si="76"/>
        <v>0</v>
      </c>
      <c r="BJ165" s="339">
        <f t="shared" si="76"/>
        <v>0</v>
      </c>
      <c r="BK165" s="339">
        <f t="shared" si="76"/>
        <v>0</v>
      </c>
      <c r="BL165" s="339">
        <f t="shared" si="76"/>
        <v>0</v>
      </c>
      <c r="BM165" s="339">
        <f t="shared" si="76"/>
        <v>0</v>
      </c>
      <c r="BN165" s="339">
        <f t="shared" si="76"/>
        <v>0</v>
      </c>
      <c r="BO165" s="339">
        <f t="shared" si="76"/>
        <v>0</v>
      </c>
      <c r="BP165" s="339">
        <f t="shared" si="76"/>
        <v>0</v>
      </c>
      <c r="BQ165" s="339">
        <f t="shared" si="76"/>
        <v>0</v>
      </c>
      <c r="BR165" s="339">
        <f t="shared" si="76"/>
        <v>0</v>
      </c>
      <c r="BS165" s="339">
        <f t="shared" si="76"/>
        <v>0</v>
      </c>
      <c r="BT165" s="339">
        <f t="shared" si="76"/>
        <v>0</v>
      </c>
      <c r="BU165" s="339">
        <f t="shared" si="76"/>
        <v>0</v>
      </c>
      <c r="BV165" s="339">
        <f t="shared" si="76"/>
        <v>0</v>
      </c>
      <c r="BW165" s="339">
        <f t="shared" si="76"/>
        <v>0</v>
      </c>
      <c r="BX165" s="339">
        <f t="shared" si="76"/>
        <v>0</v>
      </c>
      <c r="BY165" s="339">
        <f t="shared" si="76"/>
        <v>0</v>
      </c>
      <c r="BZ165" s="339">
        <f t="shared" si="76"/>
        <v>0</v>
      </c>
      <c r="CA165" s="339">
        <f t="shared" si="76"/>
        <v>0</v>
      </c>
      <c r="CB165" s="339">
        <f t="shared" si="76"/>
        <v>0</v>
      </c>
      <c r="CC165" s="339">
        <f t="shared" si="76"/>
        <v>0</v>
      </c>
      <c r="CD165" s="339">
        <f t="shared" si="76"/>
        <v>0</v>
      </c>
      <c r="CE165" s="339">
        <f t="shared" si="76"/>
        <v>0</v>
      </c>
      <c r="CF165" s="339">
        <f t="shared" si="76"/>
        <v>0</v>
      </c>
      <c r="CG165" s="339">
        <f t="shared" si="76"/>
        <v>0</v>
      </c>
      <c r="CH165" s="339">
        <f t="shared" si="76"/>
        <v>0</v>
      </c>
      <c r="CI165" s="339">
        <f t="shared" si="76"/>
        <v>0</v>
      </c>
      <c r="CJ165" s="339">
        <f t="shared" si="76"/>
        <v>0</v>
      </c>
      <c r="CK165" s="339">
        <f t="shared" si="76"/>
        <v>0</v>
      </c>
      <c r="CL165" s="339">
        <f t="shared" si="76"/>
        <v>0</v>
      </c>
      <c r="CM165" s="339">
        <f t="shared" si="76"/>
        <v>0</v>
      </c>
      <c r="CN165" s="339">
        <f t="shared" si="76"/>
        <v>0</v>
      </c>
      <c r="CO165" s="339">
        <f t="shared" si="76"/>
        <v>0</v>
      </c>
      <c r="CP165" s="339">
        <f t="shared" si="76"/>
        <v>0</v>
      </c>
      <c r="CQ165" s="339">
        <f t="shared" si="76"/>
        <v>0</v>
      </c>
    </row>
    <row r="166" spans="2:95" ht="15.4">
      <c r="E166" s="403">
        <f>D166/G166</f>
        <v>0</v>
      </c>
      <c r="F166" s="403">
        <f>G166/12</f>
        <v>5</v>
      </c>
      <c r="G166" s="403">
        <v>60</v>
      </c>
      <c r="H166" s="404">
        <v>44834</v>
      </c>
      <c r="I166" s="404">
        <f>H166+F166*365</f>
        <v>46659</v>
      </c>
      <c r="J166" s="459"/>
      <c r="BH166" s="339">
        <f t="shared" si="76"/>
        <v>0</v>
      </c>
      <c r="BI166" s="339">
        <f t="shared" si="76"/>
        <v>0</v>
      </c>
      <c r="BJ166" s="339">
        <f t="shared" si="76"/>
        <v>0</v>
      </c>
      <c r="BK166" s="339">
        <f t="shared" si="76"/>
        <v>0</v>
      </c>
      <c r="BL166" s="339">
        <f t="shared" si="76"/>
        <v>0</v>
      </c>
      <c r="BM166" s="339">
        <f t="shared" si="76"/>
        <v>0</v>
      </c>
      <c r="BN166" s="339">
        <f t="shared" si="76"/>
        <v>0</v>
      </c>
      <c r="BO166" s="339">
        <f t="shared" si="76"/>
        <v>0</v>
      </c>
      <c r="BP166" s="339">
        <f t="shared" si="76"/>
        <v>0</v>
      </c>
      <c r="BQ166" s="339">
        <f t="shared" si="76"/>
        <v>0</v>
      </c>
      <c r="BR166" s="339">
        <f t="shared" si="76"/>
        <v>0</v>
      </c>
      <c r="BS166" s="339">
        <f t="shared" si="76"/>
        <v>0</v>
      </c>
      <c r="BT166" s="339">
        <f t="shared" si="76"/>
        <v>0</v>
      </c>
      <c r="BU166" s="339">
        <f t="shared" si="76"/>
        <v>0</v>
      </c>
      <c r="BV166" s="339">
        <f t="shared" si="76"/>
        <v>0</v>
      </c>
      <c r="BW166" s="339">
        <f t="shared" si="76"/>
        <v>0</v>
      </c>
      <c r="BX166" s="339">
        <f t="shared" si="76"/>
        <v>0</v>
      </c>
      <c r="BY166" s="339">
        <f t="shared" si="76"/>
        <v>0</v>
      </c>
      <c r="BZ166" s="339">
        <f t="shared" si="76"/>
        <v>0</v>
      </c>
      <c r="CA166" s="339">
        <f t="shared" si="76"/>
        <v>0</v>
      </c>
      <c r="CB166" s="339">
        <f t="shared" si="76"/>
        <v>0</v>
      </c>
      <c r="CC166" s="339">
        <f t="shared" si="76"/>
        <v>0</v>
      </c>
      <c r="CD166" s="339">
        <f t="shared" si="76"/>
        <v>0</v>
      </c>
      <c r="CE166" s="339">
        <f t="shared" si="76"/>
        <v>0</v>
      </c>
      <c r="CF166" s="339">
        <f t="shared" si="76"/>
        <v>0</v>
      </c>
      <c r="CG166" s="339">
        <f t="shared" si="76"/>
        <v>0</v>
      </c>
      <c r="CH166" s="339">
        <f t="shared" si="76"/>
        <v>0</v>
      </c>
      <c r="CI166" s="339">
        <f t="shared" si="76"/>
        <v>0</v>
      </c>
      <c r="CJ166" s="339">
        <f t="shared" si="76"/>
        <v>0</v>
      </c>
      <c r="CK166" s="339">
        <f t="shared" si="76"/>
        <v>0</v>
      </c>
      <c r="CL166" s="339">
        <f t="shared" si="76"/>
        <v>0</v>
      </c>
      <c r="CM166" s="339">
        <f t="shared" si="76"/>
        <v>0</v>
      </c>
      <c r="CN166" s="339">
        <f t="shared" si="76"/>
        <v>0</v>
      </c>
      <c r="CO166" s="339">
        <f t="shared" si="76"/>
        <v>0</v>
      </c>
      <c r="CP166" s="339">
        <f t="shared" si="76"/>
        <v>0</v>
      </c>
      <c r="CQ166" s="339">
        <f t="shared" si="76"/>
        <v>0</v>
      </c>
    </row>
    <row r="167" spans="2:95" ht="15.4">
      <c r="E167" s="403">
        <f>D167/G167</f>
        <v>0</v>
      </c>
      <c r="F167" s="403">
        <f>G167/12</f>
        <v>5</v>
      </c>
      <c r="G167" s="403">
        <v>60</v>
      </c>
      <c r="H167" s="404">
        <v>44834</v>
      </c>
      <c r="I167" s="404">
        <f>H167+F167*365</f>
        <v>46659</v>
      </c>
      <c r="J167" s="459"/>
      <c r="BH167" s="339">
        <f t="shared" si="76"/>
        <v>0</v>
      </c>
      <c r="BI167" s="339">
        <f t="shared" si="76"/>
        <v>0</v>
      </c>
      <c r="BJ167" s="339">
        <f t="shared" si="76"/>
        <v>0</v>
      </c>
      <c r="BK167" s="339">
        <f t="shared" ref="BK167:CQ167" si="77">IF($I167&gt;BK$7-30,$E167,0)</f>
        <v>0</v>
      </c>
      <c r="BL167" s="339">
        <f t="shared" si="77"/>
        <v>0</v>
      </c>
      <c r="BM167" s="339">
        <f t="shared" si="77"/>
        <v>0</v>
      </c>
      <c r="BN167" s="339">
        <f t="shared" si="77"/>
        <v>0</v>
      </c>
      <c r="BO167" s="339">
        <f t="shared" si="77"/>
        <v>0</v>
      </c>
      <c r="BP167" s="339">
        <f t="shared" si="77"/>
        <v>0</v>
      </c>
      <c r="BQ167" s="339">
        <f t="shared" si="77"/>
        <v>0</v>
      </c>
      <c r="BR167" s="339">
        <f t="shared" si="77"/>
        <v>0</v>
      </c>
      <c r="BS167" s="339">
        <f t="shared" si="77"/>
        <v>0</v>
      </c>
      <c r="BT167" s="339">
        <f t="shared" si="77"/>
        <v>0</v>
      </c>
      <c r="BU167" s="339">
        <f t="shared" si="77"/>
        <v>0</v>
      </c>
      <c r="BV167" s="339">
        <f t="shared" si="77"/>
        <v>0</v>
      </c>
      <c r="BW167" s="339">
        <f t="shared" si="77"/>
        <v>0</v>
      </c>
      <c r="BX167" s="339">
        <f t="shared" si="77"/>
        <v>0</v>
      </c>
      <c r="BY167" s="339">
        <f t="shared" si="77"/>
        <v>0</v>
      </c>
      <c r="BZ167" s="339">
        <f t="shared" si="77"/>
        <v>0</v>
      </c>
      <c r="CA167" s="339">
        <f t="shared" si="77"/>
        <v>0</v>
      </c>
      <c r="CB167" s="339">
        <f t="shared" si="77"/>
        <v>0</v>
      </c>
      <c r="CC167" s="339">
        <f t="shared" si="77"/>
        <v>0</v>
      </c>
      <c r="CD167" s="339">
        <f t="shared" si="77"/>
        <v>0</v>
      </c>
      <c r="CE167" s="339">
        <f t="shared" si="77"/>
        <v>0</v>
      </c>
      <c r="CF167" s="339">
        <f t="shared" si="77"/>
        <v>0</v>
      </c>
      <c r="CG167" s="339">
        <f t="shared" si="77"/>
        <v>0</v>
      </c>
      <c r="CH167" s="339">
        <f t="shared" si="77"/>
        <v>0</v>
      </c>
      <c r="CI167" s="339">
        <f t="shared" si="77"/>
        <v>0</v>
      </c>
      <c r="CJ167" s="339">
        <f t="shared" si="77"/>
        <v>0</v>
      </c>
      <c r="CK167" s="339">
        <f t="shared" si="77"/>
        <v>0</v>
      </c>
      <c r="CL167" s="339">
        <f t="shared" si="77"/>
        <v>0</v>
      </c>
      <c r="CM167" s="339">
        <f t="shared" si="77"/>
        <v>0</v>
      </c>
      <c r="CN167" s="339">
        <f t="shared" si="77"/>
        <v>0</v>
      </c>
      <c r="CO167" s="339">
        <f t="shared" si="77"/>
        <v>0</v>
      </c>
      <c r="CP167" s="339">
        <f t="shared" si="77"/>
        <v>0</v>
      </c>
      <c r="CQ167" s="339">
        <f t="shared" si="77"/>
        <v>0</v>
      </c>
    </row>
    <row r="168" spans="2:95" ht="15.4">
      <c r="E168" s="403">
        <f>D168/G168</f>
        <v>0</v>
      </c>
      <c r="F168" s="403">
        <f>G168/12</f>
        <v>5</v>
      </c>
      <c r="G168" s="403">
        <v>60</v>
      </c>
      <c r="H168" s="404">
        <v>44834</v>
      </c>
      <c r="I168" s="404">
        <f>H168+F168*365</f>
        <v>46659</v>
      </c>
      <c r="J168" s="459"/>
      <c r="BH168" s="339">
        <f t="shared" ref="BH168:CQ169" si="78">IF($I168&gt;BH$7-30,$E168,0)</f>
        <v>0</v>
      </c>
      <c r="BI168" s="339">
        <f t="shared" si="78"/>
        <v>0</v>
      </c>
      <c r="BJ168" s="339">
        <f t="shared" si="78"/>
        <v>0</v>
      </c>
      <c r="BK168" s="339">
        <f t="shared" si="78"/>
        <v>0</v>
      </c>
      <c r="BL168" s="339">
        <f t="shared" si="78"/>
        <v>0</v>
      </c>
      <c r="BM168" s="339">
        <f t="shared" si="78"/>
        <v>0</v>
      </c>
      <c r="BN168" s="339">
        <f t="shared" si="78"/>
        <v>0</v>
      </c>
      <c r="BO168" s="339">
        <f t="shared" si="78"/>
        <v>0</v>
      </c>
      <c r="BP168" s="339">
        <f t="shared" si="78"/>
        <v>0</v>
      </c>
      <c r="BQ168" s="339">
        <f t="shared" si="78"/>
        <v>0</v>
      </c>
      <c r="BR168" s="339">
        <f t="shared" si="78"/>
        <v>0</v>
      </c>
      <c r="BS168" s="339">
        <f t="shared" si="78"/>
        <v>0</v>
      </c>
      <c r="BT168" s="339">
        <f t="shared" si="78"/>
        <v>0</v>
      </c>
      <c r="BU168" s="339">
        <f t="shared" si="78"/>
        <v>0</v>
      </c>
      <c r="BV168" s="339">
        <f t="shared" si="78"/>
        <v>0</v>
      </c>
      <c r="BW168" s="339">
        <f t="shared" si="78"/>
        <v>0</v>
      </c>
      <c r="BX168" s="339">
        <f t="shared" si="78"/>
        <v>0</v>
      </c>
      <c r="BY168" s="339">
        <f t="shared" si="78"/>
        <v>0</v>
      </c>
      <c r="BZ168" s="339">
        <f t="shared" si="78"/>
        <v>0</v>
      </c>
      <c r="CA168" s="339">
        <f t="shared" si="78"/>
        <v>0</v>
      </c>
      <c r="CB168" s="339">
        <f t="shared" si="78"/>
        <v>0</v>
      </c>
      <c r="CC168" s="339">
        <f t="shared" si="78"/>
        <v>0</v>
      </c>
      <c r="CD168" s="339">
        <f t="shared" si="78"/>
        <v>0</v>
      </c>
      <c r="CE168" s="339">
        <f t="shared" si="78"/>
        <v>0</v>
      </c>
      <c r="CF168" s="339">
        <f t="shared" si="78"/>
        <v>0</v>
      </c>
      <c r="CG168" s="339">
        <f t="shared" si="78"/>
        <v>0</v>
      </c>
      <c r="CH168" s="339">
        <f t="shared" si="78"/>
        <v>0</v>
      </c>
      <c r="CI168" s="339">
        <f t="shared" si="78"/>
        <v>0</v>
      </c>
      <c r="CJ168" s="339">
        <f t="shared" si="78"/>
        <v>0</v>
      </c>
      <c r="CK168" s="339">
        <f t="shared" si="78"/>
        <v>0</v>
      </c>
      <c r="CL168" s="339">
        <f t="shared" si="78"/>
        <v>0</v>
      </c>
      <c r="CM168" s="339">
        <f t="shared" si="78"/>
        <v>0</v>
      </c>
      <c r="CN168" s="339">
        <f t="shared" si="78"/>
        <v>0</v>
      </c>
      <c r="CO168" s="339">
        <f t="shared" si="78"/>
        <v>0</v>
      </c>
      <c r="CP168" s="339">
        <f t="shared" si="78"/>
        <v>0</v>
      </c>
      <c r="CQ168" s="339">
        <f t="shared" si="78"/>
        <v>0</v>
      </c>
    </row>
    <row r="169" spans="2:95" ht="15.4">
      <c r="E169" s="403">
        <f>D169/G169</f>
        <v>0</v>
      </c>
      <c r="F169" s="403">
        <f>G169/12</f>
        <v>5</v>
      </c>
      <c r="G169" s="403">
        <v>60</v>
      </c>
      <c r="H169" s="404">
        <v>44834</v>
      </c>
      <c r="I169" s="404">
        <f>H169+F169*365</f>
        <v>46659</v>
      </c>
      <c r="J169" s="459"/>
      <c r="BH169" s="339">
        <f t="shared" si="78"/>
        <v>0</v>
      </c>
      <c r="BI169" s="339">
        <f t="shared" si="78"/>
        <v>0</v>
      </c>
      <c r="BJ169" s="339">
        <f t="shared" si="78"/>
        <v>0</v>
      </c>
      <c r="BK169" s="339">
        <f t="shared" si="78"/>
        <v>0</v>
      </c>
      <c r="BL169" s="339">
        <f t="shared" si="78"/>
        <v>0</v>
      </c>
      <c r="BM169" s="339">
        <f t="shared" si="78"/>
        <v>0</v>
      </c>
      <c r="BN169" s="339">
        <f t="shared" si="78"/>
        <v>0</v>
      </c>
      <c r="BO169" s="339">
        <f t="shared" si="78"/>
        <v>0</v>
      </c>
      <c r="BP169" s="339">
        <f t="shared" si="78"/>
        <v>0</v>
      </c>
      <c r="BQ169" s="339">
        <f t="shared" si="78"/>
        <v>0</v>
      </c>
      <c r="BR169" s="339">
        <f t="shared" si="78"/>
        <v>0</v>
      </c>
      <c r="BS169" s="339">
        <f t="shared" si="78"/>
        <v>0</v>
      </c>
      <c r="BT169" s="339">
        <f t="shared" si="78"/>
        <v>0</v>
      </c>
      <c r="BU169" s="339">
        <f t="shared" si="78"/>
        <v>0</v>
      </c>
      <c r="BV169" s="339">
        <f t="shared" si="78"/>
        <v>0</v>
      </c>
      <c r="BW169" s="339">
        <f t="shared" si="78"/>
        <v>0</v>
      </c>
      <c r="BX169" s="339">
        <f t="shared" si="78"/>
        <v>0</v>
      </c>
      <c r="BY169" s="339">
        <f t="shared" si="78"/>
        <v>0</v>
      </c>
      <c r="BZ169" s="339">
        <f t="shared" si="78"/>
        <v>0</v>
      </c>
      <c r="CA169" s="339">
        <f t="shared" si="78"/>
        <v>0</v>
      </c>
      <c r="CB169" s="339">
        <f t="shared" si="78"/>
        <v>0</v>
      </c>
      <c r="CC169" s="339">
        <f t="shared" si="78"/>
        <v>0</v>
      </c>
      <c r="CD169" s="339">
        <f t="shared" si="78"/>
        <v>0</v>
      </c>
      <c r="CE169" s="339">
        <f t="shared" si="78"/>
        <v>0</v>
      </c>
      <c r="CF169" s="339">
        <f t="shared" si="78"/>
        <v>0</v>
      </c>
      <c r="CG169" s="339">
        <f t="shared" si="78"/>
        <v>0</v>
      </c>
      <c r="CH169" s="339">
        <f t="shared" si="78"/>
        <v>0</v>
      </c>
      <c r="CI169" s="339">
        <f t="shared" si="78"/>
        <v>0</v>
      </c>
      <c r="CJ169" s="339">
        <f t="shared" si="78"/>
        <v>0</v>
      </c>
      <c r="CK169" s="339">
        <f t="shared" si="78"/>
        <v>0</v>
      </c>
      <c r="CL169" s="339">
        <f t="shared" si="78"/>
        <v>0</v>
      </c>
      <c r="CM169" s="339">
        <f t="shared" si="78"/>
        <v>0</v>
      </c>
      <c r="CN169" s="339">
        <f t="shared" si="78"/>
        <v>0</v>
      </c>
      <c r="CO169" s="339">
        <f t="shared" si="78"/>
        <v>0</v>
      </c>
      <c r="CP169" s="339">
        <f t="shared" si="78"/>
        <v>0</v>
      </c>
      <c r="CQ169" s="339">
        <f t="shared" si="78"/>
        <v>0</v>
      </c>
    </row>
    <row r="170" spans="2:95">
      <c r="J170" s="459"/>
    </row>
    <row r="171" spans="2:95" ht="15.4">
      <c r="B171" s="406" t="s">
        <v>553</v>
      </c>
      <c r="J171" s="459"/>
    </row>
    <row r="172" spans="2:95" ht="15.4">
      <c r="D172" s="403">
        <f>'DD forecasts'!F14*'DD forecasts'!F81*1000</f>
        <v>10706.82455243917</v>
      </c>
      <c r="E172" s="403">
        <f>D172/G172</f>
        <v>89.223537936993083</v>
      </c>
      <c r="F172" s="403">
        <f t="shared" ref="F172:F186" si="79">G172/12</f>
        <v>10</v>
      </c>
      <c r="G172" s="403">
        <v>120</v>
      </c>
      <c r="H172" s="404">
        <v>45199</v>
      </c>
      <c r="I172" s="404">
        <f>H172+F172*365</f>
        <v>48849</v>
      </c>
      <c r="J172" s="459"/>
      <c r="BT172" s="339">
        <f t="shared" ref="BT172:CQ183" si="80">IF($I172&gt;BT$7-30,$E172,0)</f>
        <v>89.223537936993083</v>
      </c>
      <c r="BU172" s="339">
        <f t="shared" si="80"/>
        <v>89.223537936993083</v>
      </c>
      <c r="BV172" s="339">
        <f t="shared" si="80"/>
        <v>89.223537936993083</v>
      </c>
      <c r="BW172" s="339">
        <f t="shared" si="80"/>
        <v>89.223537936993083</v>
      </c>
      <c r="BX172" s="339">
        <f t="shared" si="80"/>
        <v>89.223537936993083</v>
      </c>
      <c r="BY172" s="339">
        <f t="shared" si="80"/>
        <v>89.223537936993083</v>
      </c>
      <c r="BZ172" s="339">
        <f t="shared" si="80"/>
        <v>89.223537936993083</v>
      </c>
      <c r="CA172" s="339">
        <f t="shared" si="80"/>
        <v>89.223537936993083</v>
      </c>
      <c r="CB172" s="339">
        <f t="shared" si="80"/>
        <v>89.223537936993083</v>
      </c>
      <c r="CC172" s="339">
        <f t="shared" si="80"/>
        <v>89.223537936993083</v>
      </c>
      <c r="CD172" s="339">
        <f t="shared" si="80"/>
        <v>89.223537936993083</v>
      </c>
      <c r="CE172" s="339">
        <f t="shared" si="80"/>
        <v>89.223537936993083</v>
      </c>
      <c r="CF172" s="339">
        <f t="shared" si="80"/>
        <v>89.223537936993083</v>
      </c>
      <c r="CG172" s="339">
        <f t="shared" si="80"/>
        <v>89.223537936993083</v>
      </c>
      <c r="CH172" s="339">
        <f t="shared" si="80"/>
        <v>89.223537936993083</v>
      </c>
      <c r="CI172" s="339">
        <f t="shared" si="80"/>
        <v>89.223537936993083</v>
      </c>
      <c r="CJ172" s="339">
        <f t="shared" si="80"/>
        <v>89.223537936993083</v>
      </c>
      <c r="CK172" s="339">
        <f t="shared" si="80"/>
        <v>89.223537936993083</v>
      </c>
      <c r="CL172" s="339">
        <f t="shared" si="80"/>
        <v>89.223537936993083</v>
      </c>
      <c r="CM172" s="339">
        <f t="shared" si="80"/>
        <v>89.223537936993083</v>
      </c>
      <c r="CN172" s="339">
        <f t="shared" si="80"/>
        <v>89.223537936993083</v>
      </c>
      <c r="CO172" s="339">
        <f t="shared" si="80"/>
        <v>89.223537936993083</v>
      </c>
      <c r="CP172" s="339">
        <f t="shared" si="80"/>
        <v>89.223537936993083</v>
      </c>
      <c r="CQ172" s="339">
        <f t="shared" si="80"/>
        <v>89.223537936993083</v>
      </c>
    </row>
    <row r="173" spans="2:95" ht="15.4">
      <c r="E173" s="403">
        <f>D173/G173</f>
        <v>0</v>
      </c>
      <c r="F173" s="403">
        <f t="shared" si="79"/>
        <v>10</v>
      </c>
      <c r="G173" s="403">
        <v>120</v>
      </c>
      <c r="H173" s="404">
        <v>45199</v>
      </c>
      <c r="I173" s="404">
        <f>H173+F173*365</f>
        <v>48849</v>
      </c>
      <c r="J173" s="459"/>
      <c r="BT173" s="339">
        <f t="shared" si="80"/>
        <v>0</v>
      </c>
      <c r="BU173" s="339">
        <f t="shared" si="80"/>
        <v>0</v>
      </c>
      <c r="BV173" s="339">
        <f t="shared" si="80"/>
        <v>0</v>
      </c>
      <c r="BW173" s="339">
        <f t="shared" si="80"/>
        <v>0</v>
      </c>
      <c r="BX173" s="339">
        <f t="shared" si="80"/>
        <v>0</v>
      </c>
      <c r="BY173" s="339">
        <f t="shared" si="80"/>
        <v>0</v>
      </c>
      <c r="BZ173" s="339">
        <f t="shared" si="80"/>
        <v>0</v>
      </c>
      <c r="CA173" s="339">
        <f t="shared" si="80"/>
        <v>0</v>
      </c>
      <c r="CB173" s="339">
        <f t="shared" si="80"/>
        <v>0</v>
      </c>
      <c r="CC173" s="339">
        <f t="shared" si="80"/>
        <v>0</v>
      </c>
      <c r="CD173" s="339">
        <f t="shared" si="80"/>
        <v>0</v>
      </c>
      <c r="CE173" s="339">
        <f t="shared" si="80"/>
        <v>0</v>
      </c>
      <c r="CF173" s="339">
        <f t="shared" si="80"/>
        <v>0</v>
      </c>
      <c r="CG173" s="339">
        <f t="shared" si="80"/>
        <v>0</v>
      </c>
      <c r="CH173" s="339">
        <f t="shared" si="80"/>
        <v>0</v>
      </c>
      <c r="CI173" s="339">
        <f t="shared" si="80"/>
        <v>0</v>
      </c>
      <c r="CJ173" s="339">
        <f t="shared" si="80"/>
        <v>0</v>
      </c>
      <c r="CK173" s="339">
        <f t="shared" si="80"/>
        <v>0</v>
      </c>
      <c r="CL173" s="339">
        <f t="shared" si="80"/>
        <v>0</v>
      </c>
      <c r="CM173" s="339">
        <f t="shared" si="80"/>
        <v>0</v>
      </c>
      <c r="CN173" s="339">
        <f t="shared" si="80"/>
        <v>0</v>
      </c>
      <c r="CO173" s="339">
        <f t="shared" si="80"/>
        <v>0</v>
      </c>
      <c r="CP173" s="339">
        <f t="shared" si="80"/>
        <v>0</v>
      </c>
      <c r="CQ173" s="339">
        <f t="shared" si="80"/>
        <v>0</v>
      </c>
    </row>
    <row r="174" spans="2:95">
      <c r="J174" s="459"/>
      <c r="BT174" s="339">
        <f t="shared" si="80"/>
        <v>0</v>
      </c>
      <c r="BU174" s="339">
        <f t="shared" si="80"/>
        <v>0</v>
      </c>
      <c r="BV174" s="339">
        <f t="shared" si="80"/>
        <v>0</v>
      </c>
      <c r="BW174" s="339">
        <f t="shared" si="80"/>
        <v>0</v>
      </c>
      <c r="BX174" s="339">
        <f t="shared" si="80"/>
        <v>0</v>
      </c>
      <c r="BY174" s="339">
        <f t="shared" si="80"/>
        <v>0</v>
      </c>
      <c r="BZ174" s="339">
        <f t="shared" si="80"/>
        <v>0</v>
      </c>
      <c r="CA174" s="339">
        <f t="shared" si="80"/>
        <v>0</v>
      </c>
      <c r="CB174" s="339">
        <f t="shared" si="80"/>
        <v>0</v>
      </c>
      <c r="CC174" s="339">
        <f t="shared" si="80"/>
        <v>0</v>
      </c>
      <c r="CD174" s="339">
        <f t="shared" si="80"/>
        <v>0</v>
      </c>
      <c r="CE174" s="339">
        <f t="shared" si="80"/>
        <v>0</v>
      </c>
      <c r="CF174" s="339">
        <f t="shared" si="80"/>
        <v>0</v>
      </c>
      <c r="CG174" s="339">
        <f t="shared" si="80"/>
        <v>0</v>
      </c>
      <c r="CH174" s="339">
        <f t="shared" si="80"/>
        <v>0</v>
      </c>
      <c r="CI174" s="339">
        <f t="shared" si="80"/>
        <v>0</v>
      </c>
      <c r="CJ174" s="339">
        <f t="shared" si="80"/>
        <v>0</v>
      </c>
      <c r="CK174" s="339">
        <f t="shared" si="80"/>
        <v>0</v>
      </c>
      <c r="CL174" s="339">
        <f t="shared" si="80"/>
        <v>0</v>
      </c>
      <c r="CM174" s="339">
        <f t="shared" si="80"/>
        <v>0</v>
      </c>
      <c r="CN174" s="339">
        <f t="shared" si="80"/>
        <v>0</v>
      </c>
      <c r="CO174" s="339">
        <f t="shared" si="80"/>
        <v>0</v>
      </c>
      <c r="CP174" s="339">
        <f t="shared" si="80"/>
        <v>0</v>
      </c>
      <c r="CQ174" s="339">
        <f t="shared" si="80"/>
        <v>0</v>
      </c>
    </row>
    <row r="175" spans="2:95" ht="15.4">
      <c r="E175" s="403">
        <f>D175/G175</f>
        <v>0</v>
      </c>
      <c r="F175" s="403">
        <f>G175/12</f>
        <v>5</v>
      </c>
      <c r="G175" s="403">
        <v>60</v>
      </c>
      <c r="H175" s="404">
        <v>45199</v>
      </c>
      <c r="I175" s="404">
        <f>H175+F175*365</f>
        <v>47024</v>
      </c>
      <c r="J175" s="459"/>
    </row>
    <row r="176" spans="2:95" ht="15.4">
      <c r="D176" s="403">
        <f>'DD forecasts'!F41*'DD forecasts'!F81*1000</f>
        <v>184722.18207454946</v>
      </c>
      <c r="E176" s="403">
        <f t="shared" ref="E176:E186" si="81">D176/G176</f>
        <v>3078.7030345758244</v>
      </c>
      <c r="F176" s="403">
        <f t="shared" si="79"/>
        <v>5</v>
      </c>
      <c r="G176" s="403">
        <v>60</v>
      </c>
      <c r="H176" s="404">
        <v>45199</v>
      </c>
      <c r="I176" s="404">
        <f t="shared" ref="I176:I186" si="82">H176+F176*365</f>
        <v>47024</v>
      </c>
      <c r="J176" s="459"/>
      <c r="BT176" s="339">
        <f t="shared" si="80"/>
        <v>3078.7030345758244</v>
      </c>
      <c r="BU176" s="339">
        <f t="shared" si="80"/>
        <v>3078.7030345758244</v>
      </c>
      <c r="BV176" s="339">
        <f t="shared" si="80"/>
        <v>3078.7030345758244</v>
      </c>
      <c r="BW176" s="339">
        <f t="shared" si="80"/>
        <v>3078.7030345758244</v>
      </c>
      <c r="BX176" s="339">
        <f t="shared" si="80"/>
        <v>3078.7030345758244</v>
      </c>
      <c r="BY176" s="339">
        <f t="shared" si="80"/>
        <v>3078.7030345758244</v>
      </c>
      <c r="BZ176" s="339">
        <f t="shared" si="80"/>
        <v>3078.7030345758244</v>
      </c>
      <c r="CA176" s="339">
        <f t="shared" si="80"/>
        <v>3078.7030345758244</v>
      </c>
      <c r="CB176" s="339">
        <f t="shared" si="80"/>
        <v>3078.7030345758244</v>
      </c>
      <c r="CC176" s="339">
        <f t="shared" si="80"/>
        <v>3078.7030345758244</v>
      </c>
      <c r="CD176" s="339">
        <f t="shared" si="80"/>
        <v>3078.7030345758244</v>
      </c>
      <c r="CE176" s="339">
        <f t="shared" si="80"/>
        <v>3078.7030345758244</v>
      </c>
      <c r="CF176" s="339">
        <f t="shared" si="80"/>
        <v>3078.7030345758244</v>
      </c>
      <c r="CG176" s="339">
        <f t="shared" si="80"/>
        <v>3078.7030345758244</v>
      </c>
      <c r="CH176" s="339">
        <f t="shared" si="80"/>
        <v>3078.7030345758244</v>
      </c>
      <c r="CI176" s="339">
        <f t="shared" si="80"/>
        <v>3078.7030345758244</v>
      </c>
      <c r="CJ176" s="339">
        <f t="shared" si="80"/>
        <v>3078.7030345758244</v>
      </c>
      <c r="CK176" s="339">
        <f t="shared" si="80"/>
        <v>3078.7030345758244</v>
      </c>
      <c r="CL176" s="339">
        <f t="shared" si="80"/>
        <v>3078.7030345758244</v>
      </c>
      <c r="CM176" s="339">
        <f t="shared" si="80"/>
        <v>3078.7030345758244</v>
      </c>
      <c r="CN176" s="339">
        <f t="shared" si="80"/>
        <v>3078.7030345758244</v>
      </c>
      <c r="CO176" s="339">
        <f t="shared" si="80"/>
        <v>3078.7030345758244</v>
      </c>
      <c r="CP176" s="339">
        <f t="shared" si="80"/>
        <v>3078.7030345758244</v>
      </c>
      <c r="CQ176" s="339">
        <f t="shared" si="80"/>
        <v>3078.7030345758244</v>
      </c>
    </row>
    <row r="177" spans="2:95" ht="15.4">
      <c r="D177" s="403">
        <f>'DD forecasts'!F13*'DD forecasts'!F81*1000</f>
        <v>2773213.7490699403</v>
      </c>
      <c r="E177" s="403">
        <f t="shared" si="81"/>
        <v>46220.229151165673</v>
      </c>
      <c r="F177" s="403">
        <f t="shared" si="79"/>
        <v>5</v>
      </c>
      <c r="G177" s="403">
        <v>60</v>
      </c>
      <c r="H177" s="404">
        <v>45199</v>
      </c>
      <c r="I177" s="404">
        <f t="shared" si="82"/>
        <v>47024</v>
      </c>
      <c r="J177" s="459"/>
      <c r="BT177" s="339">
        <f t="shared" si="80"/>
        <v>46220.229151165673</v>
      </c>
      <c r="BU177" s="339">
        <f t="shared" si="80"/>
        <v>46220.229151165673</v>
      </c>
      <c r="BV177" s="339">
        <f t="shared" si="80"/>
        <v>46220.229151165673</v>
      </c>
      <c r="BW177" s="339">
        <f t="shared" si="80"/>
        <v>46220.229151165673</v>
      </c>
      <c r="BX177" s="339">
        <f t="shared" si="80"/>
        <v>46220.229151165673</v>
      </c>
      <c r="BY177" s="339">
        <f t="shared" si="80"/>
        <v>46220.229151165673</v>
      </c>
      <c r="BZ177" s="339">
        <f t="shared" si="80"/>
        <v>46220.229151165673</v>
      </c>
      <c r="CA177" s="339">
        <f t="shared" si="80"/>
        <v>46220.229151165673</v>
      </c>
      <c r="CB177" s="339">
        <f t="shared" si="80"/>
        <v>46220.229151165673</v>
      </c>
      <c r="CC177" s="339">
        <f t="shared" si="80"/>
        <v>46220.229151165673</v>
      </c>
      <c r="CD177" s="339">
        <f t="shared" si="80"/>
        <v>46220.229151165673</v>
      </c>
      <c r="CE177" s="339">
        <f t="shared" si="80"/>
        <v>46220.229151165673</v>
      </c>
      <c r="CF177" s="339">
        <f t="shared" si="80"/>
        <v>46220.229151165673</v>
      </c>
      <c r="CG177" s="339">
        <f t="shared" si="80"/>
        <v>46220.229151165673</v>
      </c>
      <c r="CH177" s="339">
        <f t="shared" si="80"/>
        <v>46220.229151165673</v>
      </c>
      <c r="CI177" s="339">
        <f t="shared" si="80"/>
        <v>46220.229151165673</v>
      </c>
      <c r="CJ177" s="339">
        <f t="shared" si="80"/>
        <v>46220.229151165673</v>
      </c>
      <c r="CK177" s="339">
        <f t="shared" si="80"/>
        <v>46220.229151165673</v>
      </c>
      <c r="CL177" s="339">
        <f t="shared" si="80"/>
        <v>46220.229151165673</v>
      </c>
      <c r="CM177" s="339">
        <f t="shared" si="80"/>
        <v>46220.229151165673</v>
      </c>
      <c r="CN177" s="339">
        <f t="shared" si="80"/>
        <v>46220.229151165673</v>
      </c>
      <c r="CO177" s="339">
        <f t="shared" si="80"/>
        <v>46220.229151165673</v>
      </c>
      <c r="CP177" s="339">
        <f t="shared" si="80"/>
        <v>46220.229151165673</v>
      </c>
      <c r="CQ177" s="339">
        <f t="shared" si="80"/>
        <v>46220.229151165673</v>
      </c>
    </row>
    <row r="178" spans="2:95" ht="15.4">
      <c r="E178" s="403">
        <f t="shared" si="81"/>
        <v>0</v>
      </c>
      <c r="F178" s="403">
        <f t="shared" si="79"/>
        <v>5</v>
      </c>
      <c r="G178" s="403">
        <v>60</v>
      </c>
      <c r="H178" s="404">
        <v>45199</v>
      </c>
      <c r="I178" s="404">
        <f t="shared" si="82"/>
        <v>47024</v>
      </c>
      <c r="J178" s="459"/>
      <c r="BT178" s="339">
        <f t="shared" si="80"/>
        <v>0</v>
      </c>
      <c r="BU178" s="339">
        <f t="shared" si="80"/>
        <v>0</v>
      </c>
      <c r="BV178" s="339">
        <f t="shared" si="80"/>
        <v>0</v>
      </c>
      <c r="BW178" s="339">
        <f t="shared" si="80"/>
        <v>0</v>
      </c>
      <c r="BX178" s="339">
        <f t="shared" si="80"/>
        <v>0</v>
      </c>
      <c r="BY178" s="339">
        <f t="shared" si="80"/>
        <v>0</v>
      </c>
      <c r="BZ178" s="339">
        <f t="shared" si="80"/>
        <v>0</v>
      </c>
      <c r="CA178" s="339">
        <f t="shared" si="80"/>
        <v>0</v>
      </c>
      <c r="CB178" s="339">
        <f t="shared" si="80"/>
        <v>0</v>
      </c>
      <c r="CC178" s="339">
        <f t="shared" si="80"/>
        <v>0</v>
      </c>
      <c r="CD178" s="339">
        <f t="shared" si="80"/>
        <v>0</v>
      </c>
      <c r="CE178" s="339">
        <f t="shared" si="80"/>
        <v>0</v>
      </c>
      <c r="CF178" s="339">
        <f t="shared" si="80"/>
        <v>0</v>
      </c>
      <c r="CG178" s="339">
        <f t="shared" si="80"/>
        <v>0</v>
      </c>
      <c r="CH178" s="339">
        <f t="shared" si="80"/>
        <v>0</v>
      </c>
      <c r="CI178" s="339">
        <f t="shared" si="80"/>
        <v>0</v>
      </c>
      <c r="CJ178" s="339">
        <f t="shared" si="80"/>
        <v>0</v>
      </c>
      <c r="CK178" s="339">
        <f t="shared" si="80"/>
        <v>0</v>
      </c>
      <c r="CL178" s="339">
        <f t="shared" si="80"/>
        <v>0</v>
      </c>
      <c r="CM178" s="339">
        <f t="shared" si="80"/>
        <v>0</v>
      </c>
      <c r="CN178" s="339">
        <f t="shared" si="80"/>
        <v>0</v>
      </c>
      <c r="CO178" s="339">
        <f t="shared" si="80"/>
        <v>0</v>
      </c>
      <c r="CP178" s="339">
        <f t="shared" si="80"/>
        <v>0</v>
      </c>
      <c r="CQ178" s="339">
        <f t="shared" si="80"/>
        <v>0</v>
      </c>
    </row>
    <row r="179" spans="2:95" ht="15.4">
      <c r="E179" s="403">
        <f t="shared" si="81"/>
        <v>0</v>
      </c>
      <c r="F179" s="403">
        <f t="shared" si="79"/>
        <v>5</v>
      </c>
      <c r="G179" s="403">
        <v>60</v>
      </c>
      <c r="H179" s="404">
        <v>45199</v>
      </c>
      <c r="I179" s="404">
        <f t="shared" si="82"/>
        <v>47024</v>
      </c>
      <c r="J179" s="459"/>
      <c r="BT179" s="339">
        <f t="shared" si="80"/>
        <v>0</v>
      </c>
      <c r="BU179" s="339">
        <f t="shared" si="80"/>
        <v>0</v>
      </c>
      <c r="BV179" s="339">
        <f t="shared" si="80"/>
        <v>0</v>
      </c>
      <c r="BW179" s="339">
        <f t="shared" si="80"/>
        <v>0</v>
      </c>
      <c r="BX179" s="339">
        <f t="shared" si="80"/>
        <v>0</v>
      </c>
      <c r="BY179" s="339">
        <f t="shared" si="80"/>
        <v>0</v>
      </c>
      <c r="BZ179" s="339">
        <f t="shared" si="80"/>
        <v>0</v>
      </c>
      <c r="CA179" s="339">
        <f t="shared" si="80"/>
        <v>0</v>
      </c>
      <c r="CB179" s="339">
        <f t="shared" si="80"/>
        <v>0</v>
      </c>
      <c r="CC179" s="339">
        <f t="shared" si="80"/>
        <v>0</v>
      </c>
      <c r="CD179" s="339">
        <f t="shared" si="80"/>
        <v>0</v>
      </c>
      <c r="CE179" s="339">
        <f t="shared" si="80"/>
        <v>0</v>
      </c>
      <c r="CF179" s="339">
        <f t="shared" si="80"/>
        <v>0</v>
      </c>
      <c r="CG179" s="339">
        <f t="shared" si="80"/>
        <v>0</v>
      </c>
      <c r="CH179" s="339">
        <f t="shared" si="80"/>
        <v>0</v>
      </c>
      <c r="CI179" s="339">
        <f t="shared" si="80"/>
        <v>0</v>
      </c>
      <c r="CJ179" s="339">
        <f t="shared" si="80"/>
        <v>0</v>
      </c>
      <c r="CK179" s="339">
        <f t="shared" si="80"/>
        <v>0</v>
      </c>
      <c r="CL179" s="339">
        <f t="shared" si="80"/>
        <v>0</v>
      </c>
      <c r="CM179" s="339">
        <f t="shared" si="80"/>
        <v>0</v>
      </c>
      <c r="CN179" s="339">
        <f t="shared" si="80"/>
        <v>0</v>
      </c>
      <c r="CO179" s="339">
        <f t="shared" si="80"/>
        <v>0</v>
      </c>
      <c r="CP179" s="339">
        <f t="shared" si="80"/>
        <v>0</v>
      </c>
      <c r="CQ179" s="339">
        <f t="shared" si="80"/>
        <v>0</v>
      </c>
    </row>
    <row r="180" spans="2:95" ht="15.4">
      <c r="E180" s="403">
        <f t="shared" si="81"/>
        <v>0</v>
      </c>
      <c r="F180" s="403">
        <f t="shared" si="79"/>
        <v>5</v>
      </c>
      <c r="G180" s="403">
        <v>60</v>
      </c>
      <c r="H180" s="404">
        <v>45199</v>
      </c>
      <c r="I180" s="404">
        <f t="shared" si="82"/>
        <v>47024</v>
      </c>
      <c r="J180" s="459"/>
      <c r="BT180" s="339">
        <f t="shared" si="80"/>
        <v>0</v>
      </c>
      <c r="BU180" s="339">
        <f t="shared" si="80"/>
        <v>0</v>
      </c>
      <c r="BV180" s="339">
        <f t="shared" si="80"/>
        <v>0</v>
      </c>
      <c r="BW180" s="339">
        <f t="shared" si="80"/>
        <v>0</v>
      </c>
      <c r="BX180" s="339">
        <f t="shared" si="80"/>
        <v>0</v>
      </c>
      <c r="BY180" s="339">
        <f t="shared" si="80"/>
        <v>0</v>
      </c>
      <c r="BZ180" s="339">
        <f t="shared" si="80"/>
        <v>0</v>
      </c>
      <c r="CA180" s="339">
        <f t="shared" si="80"/>
        <v>0</v>
      </c>
      <c r="CB180" s="339">
        <f t="shared" si="80"/>
        <v>0</v>
      </c>
      <c r="CC180" s="339">
        <f t="shared" si="80"/>
        <v>0</v>
      </c>
      <c r="CD180" s="339">
        <f t="shared" si="80"/>
        <v>0</v>
      </c>
      <c r="CE180" s="339">
        <f t="shared" si="80"/>
        <v>0</v>
      </c>
      <c r="CF180" s="339">
        <f t="shared" si="80"/>
        <v>0</v>
      </c>
      <c r="CG180" s="339">
        <f t="shared" si="80"/>
        <v>0</v>
      </c>
      <c r="CH180" s="339">
        <f t="shared" si="80"/>
        <v>0</v>
      </c>
      <c r="CI180" s="339">
        <f t="shared" si="80"/>
        <v>0</v>
      </c>
      <c r="CJ180" s="339">
        <f t="shared" si="80"/>
        <v>0</v>
      </c>
      <c r="CK180" s="339">
        <f t="shared" si="80"/>
        <v>0</v>
      </c>
      <c r="CL180" s="339">
        <f t="shared" si="80"/>
        <v>0</v>
      </c>
      <c r="CM180" s="339">
        <f t="shared" si="80"/>
        <v>0</v>
      </c>
      <c r="CN180" s="339">
        <f t="shared" si="80"/>
        <v>0</v>
      </c>
      <c r="CO180" s="339">
        <f t="shared" si="80"/>
        <v>0</v>
      </c>
      <c r="CP180" s="339">
        <f t="shared" si="80"/>
        <v>0</v>
      </c>
      <c r="CQ180" s="339">
        <f t="shared" si="80"/>
        <v>0</v>
      </c>
    </row>
    <row r="181" spans="2:95" ht="15.4">
      <c r="E181" s="403">
        <f t="shared" si="81"/>
        <v>0</v>
      </c>
      <c r="F181" s="403">
        <f t="shared" si="79"/>
        <v>5</v>
      </c>
      <c r="G181" s="403">
        <v>60</v>
      </c>
      <c r="H181" s="404">
        <v>45199</v>
      </c>
      <c r="I181" s="404">
        <f t="shared" si="82"/>
        <v>47024</v>
      </c>
      <c r="J181" s="459"/>
      <c r="BT181" s="339">
        <f t="shared" si="80"/>
        <v>0</v>
      </c>
      <c r="BU181" s="339">
        <f t="shared" si="80"/>
        <v>0</v>
      </c>
      <c r="BV181" s="339">
        <f t="shared" si="80"/>
        <v>0</v>
      </c>
      <c r="BW181" s="339">
        <f t="shared" si="80"/>
        <v>0</v>
      </c>
      <c r="BX181" s="339">
        <f t="shared" si="80"/>
        <v>0</v>
      </c>
      <c r="BY181" s="339">
        <f t="shared" si="80"/>
        <v>0</v>
      </c>
      <c r="BZ181" s="339">
        <f t="shared" si="80"/>
        <v>0</v>
      </c>
      <c r="CA181" s="339">
        <f t="shared" si="80"/>
        <v>0</v>
      </c>
      <c r="CB181" s="339">
        <f t="shared" si="80"/>
        <v>0</v>
      </c>
      <c r="CC181" s="339">
        <f t="shared" si="80"/>
        <v>0</v>
      </c>
      <c r="CD181" s="339">
        <f t="shared" si="80"/>
        <v>0</v>
      </c>
      <c r="CE181" s="339">
        <f t="shared" si="80"/>
        <v>0</v>
      </c>
      <c r="CF181" s="339">
        <f t="shared" si="80"/>
        <v>0</v>
      </c>
      <c r="CG181" s="339">
        <f t="shared" si="80"/>
        <v>0</v>
      </c>
      <c r="CH181" s="339">
        <f t="shared" si="80"/>
        <v>0</v>
      </c>
      <c r="CI181" s="339">
        <f t="shared" si="80"/>
        <v>0</v>
      </c>
      <c r="CJ181" s="339">
        <f t="shared" si="80"/>
        <v>0</v>
      </c>
      <c r="CK181" s="339">
        <f t="shared" si="80"/>
        <v>0</v>
      </c>
      <c r="CL181" s="339">
        <f t="shared" si="80"/>
        <v>0</v>
      </c>
      <c r="CM181" s="339">
        <f t="shared" si="80"/>
        <v>0</v>
      </c>
      <c r="CN181" s="339">
        <f t="shared" si="80"/>
        <v>0</v>
      </c>
      <c r="CO181" s="339">
        <f t="shared" si="80"/>
        <v>0</v>
      </c>
      <c r="CP181" s="339">
        <f t="shared" si="80"/>
        <v>0</v>
      </c>
      <c r="CQ181" s="339">
        <f t="shared" si="80"/>
        <v>0</v>
      </c>
    </row>
    <row r="182" spans="2:95" ht="15.4">
      <c r="E182" s="403">
        <f t="shared" si="81"/>
        <v>0</v>
      </c>
      <c r="F182" s="403">
        <f t="shared" si="79"/>
        <v>5</v>
      </c>
      <c r="G182" s="403">
        <v>60</v>
      </c>
      <c r="H182" s="404">
        <v>45199</v>
      </c>
      <c r="I182" s="404">
        <f t="shared" si="82"/>
        <v>47024</v>
      </c>
      <c r="J182" s="459"/>
      <c r="BT182" s="339">
        <f t="shared" si="80"/>
        <v>0</v>
      </c>
      <c r="BU182" s="339">
        <f t="shared" si="80"/>
        <v>0</v>
      </c>
      <c r="BV182" s="339">
        <f t="shared" si="80"/>
        <v>0</v>
      </c>
      <c r="BW182" s="339">
        <f t="shared" si="80"/>
        <v>0</v>
      </c>
      <c r="BX182" s="339">
        <f t="shared" si="80"/>
        <v>0</v>
      </c>
      <c r="BY182" s="339">
        <f t="shared" si="80"/>
        <v>0</v>
      </c>
      <c r="BZ182" s="339">
        <f t="shared" si="80"/>
        <v>0</v>
      </c>
      <c r="CA182" s="339">
        <f t="shared" si="80"/>
        <v>0</v>
      </c>
      <c r="CB182" s="339">
        <f t="shared" si="80"/>
        <v>0</v>
      </c>
      <c r="CC182" s="339">
        <f t="shared" si="80"/>
        <v>0</v>
      </c>
      <c r="CD182" s="339">
        <f t="shared" si="80"/>
        <v>0</v>
      </c>
      <c r="CE182" s="339">
        <f t="shared" si="80"/>
        <v>0</v>
      </c>
      <c r="CF182" s="339">
        <f t="shared" si="80"/>
        <v>0</v>
      </c>
      <c r="CG182" s="339">
        <f t="shared" si="80"/>
        <v>0</v>
      </c>
      <c r="CH182" s="339">
        <f t="shared" si="80"/>
        <v>0</v>
      </c>
      <c r="CI182" s="339">
        <f t="shared" si="80"/>
        <v>0</v>
      </c>
      <c r="CJ182" s="339">
        <f t="shared" si="80"/>
        <v>0</v>
      </c>
      <c r="CK182" s="339">
        <f t="shared" si="80"/>
        <v>0</v>
      </c>
      <c r="CL182" s="339">
        <f t="shared" si="80"/>
        <v>0</v>
      </c>
      <c r="CM182" s="339">
        <f t="shared" si="80"/>
        <v>0</v>
      </c>
      <c r="CN182" s="339">
        <f t="shared" si="80"/>
        <v>0</v>
      </c>
      <c r="CO182" s="339">
        <f t="shared" si="80"/>
        <v>0</v>
      </c>
      <c r="CP182" s="339">
        <f t="shared" si="80"/>
        <v>0</v>
      </c>
      <c r="CQ182" s="339">
        <f t="shared" si="80"/>
        <v>0</v>
      </c>
    </row>
    <row r="183" spans="2:95" ht="15.4">
      <c r="E183" s="403">
        <f>D183/G183</f>
        <v>0</v>
      </c>
      <c r="F183" s="403">
        <f>G183/12</f>
        <v>5</v>
      </c>
      <c r="G183" s="403">
        <v>60</v>
      </c>
      <c r="H183" s="404">
        <v>45199</v>
      </c>
      <c r="I183" s="404">
        <f>H183+F183*365</f>
        <v>47024</v>
      </c>
      <c r="J183" s="459"/>
      <c r="BT183" s="339">
        <f t="shared" si="80"/>
        <v>0</v>
      </c>
      <c r="BU183" s="339">
        <f t="shared" si="80"/>
        <v>0</v>
      </c>
      <c r="BV183" s="339">
        <f t="shared" si="80"/>
        <v>0</v>
      </c>
      <c r="BW183" s="339">
        <f t="shared" si="80"/>
        <v>0</v>
      </c>
      <c r="BX183" s="339">
        <f t="shared" si="80"/>
        <v>0</v>
      </c>
      <c r="BY183" s="339">
        <f t="shared" si="80"/>
        <v>0</v>
      </c>
      <c r="BZ183" s="339">
        <f t="shared" si="80"/>
        <v>0</v>
      </c>
      <c r="CA183" s="339">
        <f t="shared" si="80"/>
        <v>0</v>
      </c>
      <c r="CB183" s="339">
        <f t="shared" si="80"/>
        <v>0</v>
      </c>
      <c r="CC183" s="339">
        <f t="shared" si="80"/>
        <v>0</v>
      </c>
      <c r="CD183" s="339">
        <f t="shared" si="80"/>
        <v>0</v>
      </c>
      <c r="CE183" s="339">
        <f t="shared" si="80"/>
        <v>0</v>
      </c>
      <c r="CF183" s="339">
        <f t="shared" si="80"/>
        <v>0</v>
      </c>
      <c r="CG183" s="339">
        <f t="shared" si="80"/>
        <v>0</v>
      </c>
      <c r="CH183" s="339">
        <f t="shared" si="80"/>
        <v>0</v>
      </c>
      <c r="CI183" s="339">
        <f t="shared" ref="CI183:CQ183" si="83">IF($I183&gt;CI$7-30,$E183,0)</f>
        <v>0</v>
      </c>
      <c r="CJ183" s="339">
        <f t="shared" si="83"/>
        <v>0</v>
      </c>
      <c r="CK183" s="339">
        <f t="shared" si="83"/>
        <v>0</v>
      </c>
      <c r="CL183" s="339">
        <f t="shared" si="83"/>
        <v>0</v>
      </c>
      <c r="CM183" s="339">
        <f t="shared" si="83"/>
        <v>0</v>
      </c>
      <c r="CN183" s="339">
        <f t="shared" si="83"/>
        <v>0</v>
      </c>
      <c r="CO183" s="339">
        <f t="shared" si="83"/>
        <v>0</v>
      </c>
      <c r="CP183" s="339">
        <f t="shared" si="83"/>
        <v>0</v>
      </c>
      <c r="CQ183" s="339">
        <f t="shared" si="83"/>
        <v>0</v>
      </c>
    </row>
    <row r="184" spans="2:95" ht="15.4">
      <c r="E184" s="403">
        <f>D184/G184</f>
        <v>0</v>
      </c>
      <c r="F184" s="403">
        <f>G184/12</f>
        <v>5</v>
      </c>
      <c r="G184" s="403">
        <v>60</v>
      </c>
      <c r="H184" s="404">
        <v>45199</v>
      </c>
      <c r="I184" s="404">
        <f>H184+F184*365</f>
        <v>47024</v>
      </c>
      <c r="J184" s="459"/>
      <c r="BT184" s="339">
        <f t="shared" ref="BT184:CQ186" si="84">IF($I184&gt;BT$7-30,$E184,0)</f>
        <v>0</v>
      </c>
      <c r="BU184" s="339">
        <f t="shared" si="84"/>
        <v>0</v>
      </c>
      <c r="BV184" s="339">
        <f t="shared" si="84"/>
        <v>0</v>
      </c>
      <c r="BW184" s="339">
        <f t="shared" si="84"/>
        <v>0</v>
      </c>
      <c r="BX184" s="339">
        <f t="shared" si="84"/>
        <v>0</v>
      </c>
      <c r="BY184" s="339">
        <f t="shared" si="84"/>
        <v>0</v>
      </c>
      <c r="BZ184" s="339">
        <f t="shared" si="84"/>
        <v>0</v>
      </c>
      <c r="CA184" s="339">
        <f t="shared" si="84"/>
        <v>0</v>
      </c>
      <c r="CB184" s="339">
        <f t="shared" si="84"/>
        <v>0</v>
      </c>
      <c r="CC184" s="339">
        <f t="shared" si="84"/>
        <v>0</v>
      </c>
      <c r="CD184" s="339">
        <f t="shared" si="84"/>
        <v>0</v>
      </c>
      <c r="CE184" s="339">
        <f t="shared" si="84"/>
        <v>0</v>
      </c>
      <c r="CF184" s="339">
        <f t="shared" si="84"/>
        <v>0</v>
      </c>
      <c r="CG184" s="339">
        <f t="shared" si="84"/>
        <v>0</v>
      </c>
      <c r="CH184" s="339">
        <f t="shared" si="84"/>
        <v>0</v>
      </c>
      <c r="CI184" s="339">
        <f t="shared" si="84"/>
        <v>0</v>
      </c>
      <c r="CJ184" s="339">
        <f t="shared" si="84"/>
        <v>0</v>
      </c>
      <c r="CK184" s="339">
        <f t="shared" si="84"/>
        <v>0</v>
      </c>
      <c r="CL184" s="339">
        <f t="shared" si="84"/>
        <v>0</v>
      </c>
      <c r="CM184" s="339">
        <f t="shared" si="84"/>
        <v>0</v>
      </c>
      <c r="CN184" s="339">
        <f t="shared" si="84"/>
        <v>0</v>
      </c>
      <c r="CO184" s="339">
        <f t="shared" si="84"/>
        <v>0</v>
      </c>
      <c r="CP184" s="339">
        <f t="shared" si="84"/>
        <v>0</v>
      </c>
      <c r="CQ184" s="339">
        <f t="shared" si="84"/>
        <v>0</v>
      </c>
    </row>
    <row r="185" spans="2:95" ht="15.4">
      <c r="E185" s="403">
        <f>D185/G185</f>
        <v>0</v>
      </c>
      <c r="F185" s="403">
        <f>G185/12</f>
        <v>5</v>
      </c>
      <c r="G185" s="403">
        <v>60</v>
      </c>
      <c r="H185" s="404">
        <v>45199</v>
      </c>
      <c r="I185" s="404">
        <f>H185+F185*365</f>
        <v>47024</v>
      </c>
      <c r="J185" s="459"/>
      <c r="BT185" s="339">
        <f t="shared" si="84"/>
        <v>0</v>
      </c>
      <c r="BU185" s="339">
        <f t="shared" si="84"/>
        <v>0</v>
      </c>
      <c r="BV185" s="339">
        <f t="shared" si="84"/>
        <v>0</v>
      </c>
      <c r="BW185" s="339">
        <f t="shared" si="84"/>
        <v>0</v>
      </c>
      <c r="BX185" s="339">
        <f t="shared" si="84"/>
        <v>0</v>
      </c>
      <c r="BY185" s="339">
        <f t="shared" si="84"/>
        <v>0</v>
      </c>
      <c r="BZ185" s="339">
        <f t="shared" si="84"/>
        <v>0</v>
      </c>
      <c r="CA185" s="339">
        <f t="shared" si="84"/>
        <v>0</v>
      </c>
      <c r="CB185" s="339">
        <f t="shared" si="84"/>
        <v>0</v>
      </c>
      <c r="CC185" s="339">
        <f t="shared" si="84"/>
        <v>0</v>
      </c>
      <c r="CD185" s="339">
        <f t="shared" si="84"/>
        <v>0</v>
      </c>
      <c r="CE185" s="339">
        <f t="shared" si="84"/>
        <v>0</v>
      </c>
      <c r="CF185" s="339">
        <f t="shared" si="84"/>
        <v>0</v>
      </c>
      <c r="CG185" s="339">
        <f t="shared" si="84"/>
        <v>0</v>
      </c>
      <c r="CH185" s="339">
        <f t="shared" si="84"/>
        <v>0</v>
      </c>
      <c r="CI185" s="339">
        <f t="shared" si="84"/>
        <v>0</v>
      </c>
      <c r="CJ185" s="339">
        <f t="shared" si="84"/>
        <v>0</v>
      </c>
      <c r="CK185" s="339">
        <f t="shared" si="84"/>
        <v>0</v>
      </c>
      <c r="CL185" s="339">
        <f t="shared" si="84"/>
        <v>0</v>
      </c>
      <c r="CM185" s="339">
        <f t="shared" si="84"/>
        <v>0</v>
      </c>
      <c r="CN185" s="339">
        <f t="shared" si="84"/>
        <v>0</v>
      </c>
      <c r="CO185" s="339">
        <f t="shared" si="84"/>
        <v>0</v>
      </c>
      <c r="CP185" s="339">
        <f t="shared" si="84"/>
        <v>0</v>
      </c>
      <c r="CQ185" s="339">
        <f t="shared" si="84"/>
        <v>0</v>
      </c>
    </row>
    <row r="186" spans="2:95" ht="15.4">
      <c r="E186" s="403">
        <f t="shared" si="81"/>
        <v>0</v>
      </c>
      <c r="F186" s="403">
        <f t="shared" si="79"/>
        <v>5</v>
      </c>
      <c r="G186" s="403">
        <v>60</v>
      </c>
      <c r="H186" s="404">
        <v>45199</v>
      </c>
      <c r="I186" s="404">
        <f t="shared" si="82"/>
        <v>47024</v>
      </c>
      <c r="J186" s="459"/>
      <c r="BT186" s="339">
        <f t="shared" si="84"/>
        <v>0</v>
      </c>
      <c r="BU186" s="339">
        <f t="shared" si="84"/>
        <v>0</v>
      </c>
      <c r="BV186" s="339">
        <f t="shared" si="84"/>
        <v>0</v>
      </c>
      <c r="BW186" s="339">
        <f t="shared" si="84"/>
        <v>0</v>
      </c>
      <c r="BX186" s="339">
        <f t="shared" si="84"/>
        <v>0</v>
      </c>
      <c r="BY186" s="339">
        <f t="shared" si="84"/>
        <v>0</v>
      </c>
      <c r="BZ186" s="339">
        <f t="shared" si="84"/>
        <v>0</v>
      </c>
      <c r="CA186" s="339">
        <f t="shared" si="84"/>
        <v>0</v>
      </c>
      <c r="CB186" s="339">
        <f t="shared" si="84"/>
        <v>0</v>
      </c>
      <c r="CC186" s="339">
        <f t="shared" si="84"/>
        <v>0</v>
      </c>
      <c r="CD186" s="339">
        <f t="shared" si="84"/>
        <v>0</v>
      </c>
      <c r="CE186" s="339">
        <f t="shared" si="84"/>
        <v>0</v>
      </c>
      <c r="CF186" s="339">
        <f t="shared" si="84"/>
        <v>0</v>
      </c>
      <c r="CG186" s="339">
        <f t="shared" si="84"/>
        <v>0</v>
      </c>
      <c r="CH186" s="339">
        <f t="shared" si="84"/>
        <v>0</v>
      </c>
      <c r="CI186" s="339">
        <f t="shared" si="84"/>
        <v>0</v>
      </c>
      <c r="CJ186" s="339">
        <f t="shared" si="84"/>
        <v>0</v>
      </c>
      <c r="CK186" s="339">
        <f t="shared" si="84"/>
        <v>0</v>
      </c>
      <c r="CL186" s="339">
        <f t="shared" si="84"/>
        <v>0</v>
      </c>
      <c r="CM186" s="339">
        <f t="shared" si="84"/>
        <v>0</v>
      </c>
      <c r="CN186" s="339">
        <f t="shared" si="84"/>
        <v>0</v>
      </c>
      <c r="CO186" s="339">
        <f t="shared" si="84"/>
        <v>0</v>
      </c>
      <c r="CP186" s="339">
        <f t="shared" si="84"/>
        <v>0</v>
      </c>
      <c r="CQ186" s="339">
        <f t="shared" si="84"/>
        <v>0</v>
      </c>
    </row>
    <row r="187" spans="2:95" ht="15.4">
      <c r="E187" s="403">
        <f>D187/G187</f>
        <v>0</v>
      </c>
      <c r="F187" s="403">
        <f>G187/12</f>
        <v>5</v>
      </c>
      <c r="G187" s="403">
        <v>60</v>
      </c>
      <c r="H187" s="404">
        <v>45199</v>
      </c>
      <c r="I187" s="404">
        <f>H187+F187*365</f>
        <v>47024</v>
      </c>
      <c r="J187" s="459"/>
    </row>
    <row r="188" spans="2:95">
      <c r="J188" s="459"/>
    </row>
    <row r="189" spans="2:95" ht="15.4">
      <c r="B189" s="406" t="s">
        <v>554</v>
      </c>
      <c r="J189" s="459"/>
    </row>
    <row r="190" spans="2:95" ht="15.4">
      <c r="B190" s="402"/>
      <c r="D190" s="403">
        <f>'DD forecasts'!G14*'DD forecasts'!G81*1000</f>
        <v>10920.961043487952</v>
      </c>
      <c r="E190" s="403">
        <f>D190/G190</f>
        <v>91.00800869573294</v>
      </c>
      <c r="F190" s="403">
        <f>G190/12</f>
        <v>10</v>
      </c>
      <c r="G190" s="403">
        <v>120</v>
      </c>
      <c r="H190" s="404">
        <v>45565</v>
      </c>
      <c r="I190" s="404">
        <f>H190+F190*365</f>
        <v>49215</v>
      </c>
      <c r="J190" s="459"/>
      <c r="CF190" s="339">
        <f t="shared" ref="CF190:CQ205" si="85">IF($I190&gt;CF$7-30,$E190,0)</f>
        <v>91.00800869573294</v>
      </c>
      <c r="CG190" s="339">
        <f t="shared" si="85"/>
        <v>91.00800869573294</v>
      </c>
      <c r="CH190" s="339">
        <f t="shared" si="85"/>
        <v>91.00800869573294</v>
      </c>
      <c r="CI190" s="339">
        <f t="shared" si="85"/>
        <v>91.00800869573294</v>
      </c>
      <c r="CJ190" s="339">
        <f t="shared" si="85"/>
        <v>91.00800869573294</v>
      </c>
      <c r="CK190" s="339">
        <f t="shared" si="85"/>
        <v>91.00800869573294</v>
      </c>
      <c r="CL190" s="339">
        <f t="shared" si="85"/>
        <v>91.00800869573294</v>
      </c>
      <c r="CM190" s="339">
        <f t="shared" si="85"/>
        <v>91.00800869573294</v>
      </c>
      <c r="CN190" s="339">
        <f t="shared" si="85"/>
        <v>91.00800869573294</v>
      </c>
      <c r="CO190" s="339">
        <f t="shared" si="85"/>
        <v>91.00800869573294</v>
      </c>
      <c r="CP190" s="339">
        <f t="shared" si="85"/>
        <v>91.00800869573294</v>
      </c>
      <c r="CQ190" s="339">
        <f t="shared" si="85"/>
        <v>91.00800869573294</v>
      </c>
    </row>
    <row r="191" spans="2:95" ht="15.4">
      <c r="E191" s="403">
        <f>D191/G191</f>
        <v>0</v>
      </c>
      <c r="F191" s="403">
        <f>G191/12</f>
        <v>10</v>
      </c>
      <c r="G191" s="403">
        <v>120</v>
      </c>
      <c r="H191" s="404">
        <v>45565</v>
      </c>
      <c r="I191" s="404">
        <f>H191+F191*365</f>
        <v>49215</v>
      </c>
      <c r="J191" s="459"/>
      <c r="CF191" s="339">
        <f t="shared" si="85"/>
        <v>0</v>
      </c>
      <c r="CG191" s="339">
        <f t="shared" si="85"/>
        <v>0</v>
      </c>
      <c r="CH191" s="339">
        <f t="shared" si="85"/>
        <v>0</v>
      </c>
      <c r="CI191" s="339">
        <f t="shared" si="85"/>
        <v>0</v>
      </c>
      <c r="CJ191" s="339">
        <f t="shared" si="85"/>
        <v>0</v>
      </c>
      <c r="CK191" s="339">
        <f t="shared" si="85"/>
        <v>0</v>
      </c>
      <c r="CL191" s="339">
        <f t="shared" si="85"/>
        <v>0</v>
      </c>
      <c r="CM191" s="339">
        <f t="shared" si="85"/>
        <v>0</v>
      </c>
      <c r="CN191" s="339">
        <f t="shared" si="85"/>
        <v>0</v>
      </c>
      <c r="CO191" s="339">
        <f t="shared" si="85"/>
        <v>0</v>
      </c>
      <c r="CP191" s="339">
        <f t="shared" si="85"/>
        <v>0</v>
      </c>
      <c r="CQ191" s="339">
        <f t="shared" si="85"/>
        <v>0</v>
      </c>
    </row>
    <row r="192" spans="2:95">
      <c r="J192" s="459"/>
      <c r="CF192" s="339">
        <f t="shared" si="85"/>
        <v>0</v>
      </c>
      <c r="CG192" s="339">
        <f t="shared" si="85"/>
        <v>0</v>
      </c>
      <c r="CH192" s="339">
        <f t="shared" si="85"/>
        <v>0</v>
      </c>
      <c r="CI192" s="339">
        <f t="shared" si="85"/>
        <v>0</v>
      </c>
      <c r="CJ192" s="339">
        <f t="shared" si="85"/>
        <v>0</v>
      </c>
      <c r="CK192" s="339">
        <f t="shared" si="85"/>
        <v>0</v>
      </c>
      <c r="CL192" s="339">
        <f t="shared" si="85"/>
        <v>0</v>
      </c>
      <c r="CM192" s="339">
        <f t="shared" si="85"/>
        <v>0</v>
      </c>
      <c r="CN192" s="339">
        <f t="shared" si="85"/>
        <v>0</v>
      </c>
      <c r="CO192" s="339">
        <f t="shared" si="85"/>
        <v>0</v>
      </c>
      <c r="CP192" s="339">
        <f t="shared" si="85"/>
        <v>0</v>
      </c>
      <c r="CQ192" s="339">
        <f t="shared" si="85"/>
        <v>0</v>
      </c>
    </row>
    <row r="193" spans="2:95" ht="15.4">
      <c r="E193" s="403">
        <f>D193/G193</f>
        <v>0</v>
      </c>
      <c r="F193" s="403">
        <f>G193/12</f>
        <v>5</v>
      </c>
      <c r="G193" s="403">
        <v>60</v>
      </c>
      <c r="H193" s="404">
        <v>45565</v>
      </c>
      <c r="I193" s="404">
        <f>H193+F193*365</f>
        <v>47390</v>
      </c>
      <c r="J193" s="459"/>
    </row>
    <row r="194" spans="2:95" ht="15.4">
      <c r="D194" s="403">
        <f>'DD forecasts'!G41*'DD forecasts'!G81*1000</f>
        <v>167688.93547560816</v>
      </c>
      <c r="E194" s="403">
        <f t="shared" ref="E194:E200" si="86">D194/G194</f>
        <v>2794.815591260136</v>
      </c>
      <c r="F194" s="403">
        <f t="shared" ref="F194:F200" si="87">G194/12</f>
        <v>5</v>
      </c>
      <c r="G194" s="403">
        <v>60</v>
      </c>
      <c r="H194" s="404">
        <v>45565</v>
      </c>
      <c r="I194" s="404">
        <f t="shared" ref="I194:I200" si="88">H194+F194*365</f>
        <v>47390</v>
      </c>
      <c r="J194" s="459"/>
      <c r="CF194" s="339">
        <f t="shared" si="85"/>
        <v>2794.815591260136</v>
      </c>
      <c r="CG194" s="339">
        <f t="shared" si="85"/>
        <v>2794.815591260136</v>
      </c>
      <c r="CH194" s="339">
        <f t="shared" si="85"/>
        <v>2794.815591260136</v>
      </c>
      <c r="CI194" s="339">
        <f t="shared" si="85"/>
        <v>2794.815591260136</v>
      </c>
      <c r="CJ194" s="339">
        <f t="shared" si="85"/>
        <v>2794.815591260136</v>
      </c>
      <c r="CK194" s="339">
        <f t="shared" si="85"/>
        <v>2794.815591260136</v>
      </c>
      <c r="CL194" s="339">
        <f t="shared" si="85"/>
        <v>2794.815591260136</v>
      </c>
      <c r="CM194" s="339">
        <f t="shared" si="85"/>
        <v>2794.815591260136</v>
      </c>
      <c r="CN194" s="339">
        <f t="shared" si="85"/>
        <v>2794.815591260136</v>
      </c>
      <c r="CO194" s="339">
        <f t="shared" si="85"/>
        <v>2794.815591260136</v>
      </c>
      <c r="CP194" s="339">
        <f t="shared" si="85"/>
        <v>2794.815591260136</v>
      </c>
      <c r="CQ194" s="339">
        <f t="shared" si="85"/>
        <v>2794.815591260136</v>
      </c>
    </row>
    <row r="195" spans="2:95" ht="15.4">
      <c r="D195" s="403">
        <f>'DD forecasts'!G13*'DD forecasts'!G81*1000</f>
        <v>2494586.0519043328</v>
      </c>
      <c r="E195" s="403">
        <f t="shared" si="86"/>
        <v>41576.43419840555</v>
      </c>
      <c r="F195" s="403">
        <f t="shared" si="87"/>
        <v>5</v>
      </c>
      <c r="G195" s="403">
        <v>60</v>
      </c>
      <c r="H195" s="404">
        <v>45565</v>
      </c>
      <c r="I195" s="404">
        <f t="shared" si="88"/>
        <v>47390</v>
      </c>
      <c r="J195" s="459"/>
      <c r="CF195" s="339">
        <f t="shared" si="85"/>
        <v>41576.43419840555</v>
      </c>
      <c r="CG195" s="339">
        <f t="shared" si="85"/>
        <v>41576.43419840555</v>
      </c>
      <c r="CH195" s="339">
        <f t="shared" si="85"/>
        <v>41576.43419840555</v>
      </c>
      <c r="CI195" s="339">
        <f t="shared" si="85"/>
        <v>41576.43419840555</v>
      </c>
      <c r="CJ195" s="339">
        <f t="shared" si="85"/>
        <v>41576.43419840555</v>
      </c>
      <c r="CK195" s="339">
        <f t="shared" si="85"/>
        <v>41576.43419840555</v>
      </c>
      <c r="CL195" s="339">
        <f t="shared" si="85"/>
        <v>41576.43419840555</v>
      </c>
      <c r="CM195" s="339">
        <f t="shared" si="85"/>
        <v>41576.43419840555</v>
      </c>
      <c r="CN195" s="339">
        <f t="shared" si="85"/>
        <v>41576.43419840555</v>
      </c>
      <c r="CO195" s="339">
        <f t="shared" si="85"/>
        <v>41576.43419840555</v>
      </c>
      <c r="CP195" s="339">
        <f t="shared" si="85"/>
        <v>41576.43419840555</v>
      </c>
      <c r="CQ195" s="339">
        <f t="shared" si="85"/>
        <v>41576.43419840555</v>
      </c>
    </row>
    <row r="196" spans="2:95" ht="15.4">
      <c r="E196" s="403">
        <f t="shared" si="86"/>
        <v>0</v>
      </c>
      <c r="F196" s="403">
        <f t="shared" si="87"/>
        <v>5</v>
      </c>
      <c r="G196" s="403">
        <v>60</v>
      </c>
      <c r="H196" s="404">
        <v>45565</v>
      </c>
      <c r="I196" s="404">
        <f t="shared" si="88"/>
        <v>47390</v>
      </c>
      <c r="J196" s="459"/>
      <c r="CF196" s="339">
        <f t="shared" si="85"/>
        <v>0</v>
      </c>
      <c r="CG196" s="339">
        <f t="shared" si="85"/>
        <v>0</v>
      </c>
      <c r="CH196" s="339">
        <f t="shared" si="85"/>
        <v>0</v>
      </c>
      <c r="CI196" s="339">
        <f t="shared" si="85"/>
        <v>0</v>
      </c>
      <c r="CJ196" s="339">
        <f t="shared" si="85"/>
        <v>0</v>
      </c>
      <c r="CK196" s="339">
        <f t="shared" si="85"/>
        <v>0</v>
      </c>
      <c r="CL196" s="339">
        <f t="shared" si="85"/>
        <v>0</v>
      </c>
      <c r="CM196" s="339">
        <f t="shared" si="85"/>
        <v>0</v>
      </c>
      <c r="CN196" s="339">
        <f t="shared" si="85"/>
        <v>0</v>
      </c>
      <c r="CO196" s="339">
        <f t="shared" si="85"/>
        <v>0</v>
      </c>
      <c r="CP196" s="339">
        <f t="shared" si="85"/>
        <v>0</v>
      </c>
      <c r="CQ196" s="339">
        <f t="shared" si="85"/>
        <v>0</v>
      </c>
    </row>
    <row r="197" spans="2:95" ht="15.4">
      <c r="E197" s="403">
        <f t="shared" si="86"/>
        <v>0</v>
      </c>
      <c r="F197" s="403">
        <f t="shared" si="87"/>
        <v>5</v>
      </c>
      <c r="G197" s="403">
        <v>60</v>
      </c>
      <c r="H197" s="404">
        <v>45565</v>
      </c>
      <c r="I197" s="404">
        <f t="shared" si="88"/>
        <v>47390</v>
      </c>
      <c r="J197" s="459"/>
      <c r="CF197" s="339">
        <f t="shared" si="85"/>
        <v>0</v>
      </c>
      <c r="CG197" s="339">
        <f t="shared" si="85"/>
        <v>0</v>
      </c>
      <c r="CH197" s="339">
        <f t="shared" si="85"/>
        <v>0</v>
      </c>
      <c r="CI197" s="339">
        <f t="shared" si="85"/>
        <v>0</v>
      </c>
      <c r="CJ197" s="339">
        <f t="shared" si="85"/>
        <v>0</v>
      </c>
      <c r="CK197" s="339">
        <f t="shared" si="85"/>
        <v>0</v>
      </c>
      <c r="CL197" s="339">
        <f t="shared" si="85"/>
        <v>0</v>
      </c>
      <c r="CM197" s="339">
        <f t="shared" si="85"/>
        <v>0</v>
      </c>
      <c r="CN197" s="339">
        <f t="shared" si="85"/>
        <v>0</v>
      </c>
      <c r="CO197" s="339">
        <f t="shared" si="85"/>
        <v>0</v>
      </c>
      <c r="CP197" s="339">
        <f t="shared" si="85"/>
        <v>0</v>
      </c>
      <c r="CQ197" s="339">
        <f t="shared" si="85"/>
        <v>0</v>
      </c>
    </row>
    <row r="198" spans="2:95" ht="15.4">
      <c r="E198" s="403">
        <f t="shared" si="86"/>
        <v>0</v>
      </c>
      <c r="F198" s="403">
        <f t="shared" si="87"/>
        <v>5</v>
      </c>
      <c r="G198" s="403">
        <v>60</v>
      </c>
      <c r="H198" s="404">
        <v>45565</v>
      </c>
      <c r="I198" s="404">
        <f t="shared" si="88"/>
        <v>47390</v>
      </c>
      <c r="J198" s="459"/>
      <c r="CF198" s="339">
        <f t="shared" si="85"/>
        <v>0</v>
      </c>
      <c r="CG198" s="339">
        <f t="shared" si="85"/>
        <v>0</v>
      </c>
      <c r="CH198" s="339">
        <f t="shared" si="85"/>
        <v>0</v>
      </c>
      <c r="CI198" s="339">
        <f t="shared" si="85"/>
        <v>0</v>
      </c>
      <c r="CJ198" s="339">
        <f t="shared" si="85"/>
        <v>0</v>
      </c>
      <c r="CK198" s="339">
        <f t="shared" si="85"/>
        <v>0</v>
      </c>
      <c r="CL198" s="339">
        <f t="shared" si="85"/>
        <v>0</v>
      </c>
      <c r="CM198" s="339">
        <f t="shared" si="85"/>
        <v>0</v>
      </c>
      <c r="CN198" s="339">
        <f t="shared" si="85"/>
        <v>0</v>
      </c>
      <c r="CO198" s="339">
        <f t="shared" si="85"/>
        <v>0</v>
      </c>
      <c r="CP198" s="339">
        <f t="shared" si="85"/>
        <v>0</v>
      </c>
      <c r="CQ198" s="339">
        <f t="shared" si="85"/>
        <v>0</v>
      </c>
    </row>
    <row r="199" spans="2:95" ht="15.4">
      <c r="E199" s="403">
        <f t="shared" si="86"/>
        <v>0</v>
      </c>
      <c r="F199" s="403">
        <f t="shared" si="87"/>
        <v>5</v>
      </c>
      <c r="G199" s="403">
        <v>60</v>
      </c>
      <c r="H199" s="404">
        <v>45565</v>
      </c>
      <c r="I199" s="404">
        <f t="shared" si="88"/>
        <v>47390</v>
      </c>
      <c r="J199" s="459"/>
      <c r="CF199" s="339">
        <f t="shared" si="85"/>
        <v>0</v>
      </c>
      <c r="CG199" s="339">
        <f t="shared" si="85"/>
        <v>0</v>
      </c>
      <c r="CH199" s="339">
        <f t="shared" si="85"/>
        <v>0</v>
      </c>
      <c r="CI199" s="339">
        <f t="shared" si="85"/>
        <v>0</v>
      </c>
      <c r="CJ199" s="339">
        <f t="shared" si="85"/>
        <v>0</v>
      </c>
      <c r="CK199" s="339">
        <f t="shared" si="85"/>
        <v>0</v>
      </c>
      <c r="CL199" s="339">
        <f t="shared" si="85"/>
        <v>0</v>
      </c>
      <c r="CM199" s="339">
        <f t="shared" si="85"/>
        <v>0</v>
      </c>
      <c r="CN199" s="339">
        <f t="shared" si="85"/>
        <v>0</v>
      </c>
      <c r="CO199" s="339">
        <f t="shared" si="85"/>
        <v>0</v>
      </c>
      <c r="CP199" s="339">
        <f t="shared" si="85"/>
        <v>0</v>
      </c>
      <c r="CQ199" s="339">
        <f t="shared" si="85"/>
        <v>0</v>
      </c>
    </row>
    <row r="200" spans="2:95" ht="15.4">
      <c r="E200" s="403">
        <f t="shared" si="86"/>
        <v>0</v>
      </c>
      <c r="F200" s="403">
        <f t="shared" si="87"/>
        <v>5</v>
      </c>
      <c r="G200" s="403">
        <v>60</v>
      </c>
      <c r="H200" s="404">
        <v>45565</v>
      </c>
      <c r="I200" s="404">
        <f t="shared" si="88"/>
        <v>47390</v>
      </c>
      <c r="J200" s="459"/>
      <c r="CF200" s="339">
        <f t="shared" si="85"/>
        <v>0</v>
      </c>
      <c r="CG200" s="339">
        <f t="shared" si="85"/>
        <v>0</v>
      </c>
      <c r="CH200" s="339">
        <f t="shared" si="85"/>
        <v>0</v>
      </c>
      <c r="CI200" s="339">
        <f t="shared" si="85"/>
        <v>0</v>
      </c>
      <c r="CJ200" s="339">
        <f t="shared" si="85"/>
        <v>0</v>
      </c>
      <c r="CK200" s="339">
        <f t="shared" si="85"/>
        <v>0</v>
      </c>
      <c r="CL200" s="339">
        <f t="shared" si="85"/>
        <v>0</v>
      </c>
      <c r="CM200" s="339">
        <f t="shared" si="85"/>
        <v>0</v>
      </c>
      <c r="CN200" s="339">
        <f t="shared" si="85"/>
        <v>0</v>
      </c>
      <c r="CO200" s="339">
        <f t="shared" si="85"/>
        <v>0</v>
      </c>
      <c r="CP200" s="339">
        <f t="shared" si="85"/>
        <v>0</v>
      </c>
      <c r="CQ200" s="339">
        <f t="shared" si="85"/>
        <v>0</v>
      </c>
    </row>
    <row r="201" spans="2:95" ht="15.4">
      <c r="E201" s="403">
        <f>D201/G201</f>
        <v>0</v>
      </c>
      <c r="F201" s="403">
        <f>G201/12</f>
        <v>5</v>
      </c>
      <c r="G201" s="403">
        <v>60</v>
      </c>
      <c r="H201" s="404">
        <v>45565</v>
      </c>
      <c r="I201" s="404">
        <f>H201+F201*365</f>
        <v>47390</v>
      </c>
      <c r="J201" s="459"/>
      <c r="CF201" s="339">
        <f t="shared" si="85"/>
        <v>0</v>
      </c>
      <c r="CG201" s="339">
        <f t="shared" si="85"/>
        <v>0</v>
      </c>
      <c r="CH201" s="339">
        <f t="shared" si="85"/>
        <v>0</v>
      </c>
      <c r="CI201" s="339">
        <f t="shared" si="85"/>
        <v>0</v>
      </c>
      <c r="CJ201" s="339">
        <f t="shared" si="85"/>
        <v>0</v>
      </c>
      <c r="CK201" s="339">
        <f t="shared" si="85"/>
        <v>0</v>
      </c>
      <c r="CL201" s="339">
        <f t="shared" si="85"/>
        <v>0</v>
      </c>
      <c r="CM201" s="339">
        <f t="shared" si="85"/>
        <v>0</v>
      </c>
      <c r="CN201" s="339">
        <f t="shared" si="85"/>
        <v>0</v>
      </c>
      <c r="CO201" s="339">
        <f t="shared" si="85"/>
        <v>0</v>
      </c>
      <c r="CP201" s="339">
        <f t="shared" si="85"/>
        <v>0</v>
      </c>
      <c r="CQ201" s="339">
        <f t="shared" si="85"/>
        <v>0</v>
      </c>
    </row>
    <row r="202" spans="2:95" ht="15.4">
      <c r="E202" s="403">
        <f>D202/G202</f>
        <v>0</v>
      </c>
      <c r="F202" s="403">
        <f>G202/12</f>
        <v>5</v>
      </c>
      <c r="G202" s="403">
        <v>60</v>
      </c>
      <c r="H202" s="404">
        <v>45565</v>
      </c>
      <c r="I202" s="404">
        <f>H202+F202*365</f>
        <v>47390</v>
      </c>
      <c r="J202" s="459"/>
      <c r="CF202" s="339">
        <f t="shared" si="85"/>
        <v>0</v>
      </c>
      <c r="CG202" s="339">
        <f t="shared" si="85"/>
        <v>0</v>
      </c>
      <c r="CH202" s="339">
        <f t="shared" si="85"/>
        <v>0</v>
      </c>
      <c r="CI202" s="339">
        <f t="shared" si="85"/>
        <v>0</v>
      </c>
      <c r="CJ202" s="339">
        <f t="shared" si="85"/>
        <v>0</v>
      </c>
      <c r="CK202" s="339">
        <f t="shared" si="85"/>
        <v>0</v>
      </c>
      <c r="CL202" s="339">
        <f t="shared" si="85"/>
        <v>0</v>
      </c>
      <c r="CM202" s="339">
        <f t="shared" si="85"/>
        <v>0</v>
      </c>
      <c r="CN202" s="339">
        <f t="shared" si="85"/>
        <v>0</v>
      </c>
      <c r="CO202" s="339">
        <f t="shared" si="85"/>
        <v>0</v>
      </c>
      <c r="CP202" s="339">
        <f t="shared" si="85"/>
        <v>0</v>
      </c>
      <c r="CQ202" s="339">
        <f t="shared" si="85"/>
        <v>0</v>
      </c>
    </row>
    <row r="203" spans="2:95" ht="15.4">
      <c r="E203" s="403">
        <f>D203/G203</f>
        <v>0</v>
      </c>
      <c r="F203" s="403">
        <f>G203/12</f>
        <v>5</v>
      </c>
      <c r="G203" s="403">
        <v>60</v>
      </c>
      <c r="H203" s="404">
        <v>45565</v>
      </c>
      <c r="I203" s="404">
        <f>H203+F203*365</f>
        <v>47390</v>
      </c>
      <c r="J203" s="459"/>
      <c r="CF203" s="339">
        <f t="shared" si="85"/>
        <v>0</v>
      </c>
      <c r="CG203" s="339">
        <f t="shared" si="85"/>
        <v>0</v>
      </c>
      <c r="CH203" s="339">
        <f t="shared" si="85"/>
        <v>0</v>
      </c>
      <c r="CI203" s="339">
        <f t="shared" si="85"/>
        <v>0</v>
      </c>
      <c r="CJ203" s="339">
        <f t="shared" si="85"/>
        <v>0</v>
      </c>
      <c r="CK203" s="339">
        <f t="shared" si="85"/>
        <v>0</v>
      </c>
      <c r="CL203" s="339">
        <f t="shared" si="85"/>
        <v>0</v>
      </c>
      <c r="CM203" s="339">
        <f t="shared" si="85"/>
        <v>0</v>
      </c>
      <c r="CN203" s="339">
        <f t="shared" si="85"/>
        <v>0</v>
      </c>
      <c r="CO203" s="339">
        <f t="shared" si="85"/>
        <v>0</v>
      </c>
      <c r="CP203" s="339">
        <f t="shared" si="85"/>
        <v>0</v>
      </c>
      <c r="CQ203" s="339">
        <f t="shared" si="85"/>
        <v>0</v>
      </c>
    </row>
    <row r="204" spans="2:95" ht="15.4">
      <c r="E204" s="403">
        <f>D204/G204</f>
        <v>0</v>
      </c>
      <c r="F204" s="403">
        <f>G204/12</f>
        <v>5</v>
      </c>
      <c r="G204" s="403">
        <v>60</v>
      </c>
      <c r="H204" s="404">
        <v>45565</v>
      </c>
      <c r="I204" s="404">
        <f>H204+F204*365</f>
        <v>47390</v>
      </c>
      <c r="J204" s="459"/>
      <c r="CF204" s="339">
        <f t="shared" si="85"/>
        <v>0</v>
      </c>
      <c r="CG204" s="339">
        <f t="shared" si="85"/>
        <v>0</v>
      </c>
      <c r="CH204" s="339">
        <f t="shared" si="85"/>
        <v>0</v>
      </c>
      <c r="CI204" s="339">
        <f t="shared" si="85"/>
        <v>0</v>
      </c>
      <c r="CJ204" s="339">
        <f t="shared" si="85"/>
        <v>0</v>
      </c>
      <c r="CK204" s="339">
        <f t="shared" si="85"/>
        <v>0</v>
      </c>
      <c r="CL204" s="339">
        <f t="shared" si="85"/>
        <v>0</v>
      </c>
      <c r="CM204" s="339">
        <f t="shared" si="85"/>
        <v>0</v>
      </c>
      <c r="CN204" s="339">
        <f t="shared" si="85"/>
        <v>0</v>
      </c>
      <c r="CO204" s="339">
        <f t="shared" si="85"/>
        <v>0</v>
      </c>
      <c r="CP204" s="339">
        <f t="shared" si="85"/>
        <v>0</v>
      </c>
      <c r="CQ204" s="339">
        <f t="shared" si="85"/>
        <v>0</v>
      </c>
    </row>
    <row r="205" spans="2:95" ht="15.4">
      <c r="E205" s="403">
        <f>D205/G205</f>
        <v>0</v>
      </c>
      <c r="F205" s="403">
        <f>G205/12</f>
        <v>5</v>
      </c>
      <c r="G205" s="403">
        <v>60</v>
      </c>
      <c r="H205" s="404">
        <v>45565</v>
      </c>
      <c r="I205" s="404">
        <f>H205+F205*365</f>
        <v>47390</v>
      </c>
      <c r="J205" s="459"/>
      <c r="CF205" s="339">
        <f t="shared" si="85"/>
        <v>0</v>
      </c>
      <c r="CG205" s="339">
        <f t="shared" si="85"/>
        <v>0</v>
      </c>
      <c r="CH205" s="339">
        <f t="shared" si="85"/>
        <v>0</v>
      </c>
      <c r="CI205" s="339">
        <f t="shared" si="85"/>
        <v>0</v>
      </c>
      <c r="CJ205" s="339">
        <f t="shared" si="85"/>
        <v>0</v>
      </c>
      <c r="CK205" s="339">
        <f t="shared" si="85"/>
        <v>0</v>
      </c>
      <c r="CL205" s="339">
        <f t="shared" si="85"/>
        <v>0</v>
      </c>
      <c r="CM205" s="339">
        <f t="shared" si="85"/>
        <v>0</v>
      </c>
      <c r="CN205" s="339">
        <f t="shared" si="85"/>
        <v>0</v>
      </c>
      <c r="CO205" s="339">
        <f t="shared" si="85"/>
        <v>0</v>
      </c>
      <c r="CP205" s="339">
        <f t="shared" si="85"/>
        <v>0</v>
      </c>
      <c r="CQ205" s="339">
        <f t="shared" si="85"/>
        <v>0</v>
      </c>
    </row>
    <row r="206" spans="2:95">
      <c r="J206" s="459"/>
    </row>
    <row r="207" spans="2:95" ht="15.4">
      <c r="B207" s="406" t="s">
        <v>555</v>
      </c>
      <c r="J207" s="459"/>
    </row>
    <row r="208" spans="2:95" ht="15.4">
      <c r="B208" s="402"/>
      <c r="D208" s="403">
        <f>'DD forecasts'!H14*'DD forecasts'!H81*1000</f>
        <v>11139.380264357711</v>
      </c>
      <c r="E208" s="403">
        <f>D208/G208</f>
        <v>92.828168869647598</v>
      </c>
      <c r="F208" s="403">
        <f>G208/12</f>
        <v>10</v>
      </c>
      <c r="G208" s="403">
        <v>120</v>
      </c>
      <c r="H208" s="404">
        <v>45930</v>
      </c>
      <c r="I208" s="404">
        <f>H208+F208*365</f>
        <v>49580</v>
      </c>
      <c r="J208" s="459"/>
    </row>
    <row r="209" spans="4:10" ht="15.4">
      <c r="E209" s="403">
        <f>D209/G209</f>
        <v>0</v>
      </c>
      <c r="F209" s="403">
        <f>G209/12</f>
        <v>10</v>
      </c>
      <c r="G209" s="403">
        <v>120</v>
      </c>
      <c r="H209" s="404">
        <v>45930</v>
      </c>
      <c r="I209" s="404">
        <f>H209+F209*365</f>
        <v>49580</v>
      </c>
      <c r="J209" s="459"/>
    </row>
    <row r="210" spans="4:10">
      <c r="J210" s="459"/>
    </row>
    <row r="211" spans="4:10" ht="15.4">
      <c r="E211" s="403">
        <f>D211/G211</f>
        <v>0</v>
      </c>
      <c r="F211" s="403">
        <f>G211/12</f>
        <v>5</v>
      </c>
      <c r="G211" s="403">
        <v>60</v>
      </c>
      <c r="H211" s="404">
        <v>45930</v>
      </c>
      <c r="I211" s="404">
        <f>H211+F211*365</f>
        <v>47755</v>
      </c>
      <c r="J211" s="459"/>
    </row>
    <row r="212" spans="4:10" ht="15.4">
      <c r="D212" s="403">
        <f>'DD forecasts'!H41*'DD forecasts'!H81*1000</f>
        <v>162933.2453526679</v>
      </c>
      <c r="E212" s="403">
        <f t="shared" ref="E212:E218" si="89">D212/G212</f>
        <v>2715.5540892111317</v>
      </c>
      <c r="F212" s="403">
        <f t="shared" ref="F212:F218" si="90">G212/12</f>
        <v>5</v>
      </c>
      <c r="G212" s="403">
        <v>60</v>
      </c>
      <c r="H212" s="404">
        <v>45930</v>
      </c>
      <c r="I212" s="404">
        <f t="shared" ref="I212:I218" si="91">H212+F212*365</f>
        <v>47755</v>
      </c>
      <c r="J212" s="459"/>
    </row>
    <row r="213" spans="4:10" ht="15.4">
      <c r="D213" s="403">
        <f>'DD forecasts'!H13*'DD forecasts'!H81*1000</f>
        <v>2386123.8186734645</v>
      </c>
      <c r="E213" s="403">
        <f t="shared" si="89"/>
        <v>39768.730311224404</v>
      </c>
      <c r="F213" s="403">
        <f t="shared" si="90"/>
        <v>5</v>
      </c>
      <c r="G213" s="403">
        <v>60</v>
      </c>
      <c r="H213" s="404">
        <v>45930</v>
      </c>
      <c r="I213" s="404">
        <f t="shared" si="91"/>
        <v>47755</v>
      </c>
      <c r="J213" s="459"/>
    </row>
    <row r="214" spans="4:10" ht="15.4">
      <c r="E214" s="403">
        <f t="shared" si="89"/>
        <v>0</v>
      </c>
      <c r="F214" s="403">
        <f t="shared" si="90"/>
        <v>5</v>
      </c>
      <c r="G214" s="403">
        <v>60</v>
      </c>
      <c r="H214" s="404">
        <v>45930</v>
      </c>
      <c r="I214" s="404">
        <f t="shared" si="91"/>
        <v>47755</v>
      </c>
      <c r="J214" s="459"/>
    </row>
    <row r="215" spans="4:10" ht="15.4">
      <c r="E215" s="403">
        <f t="shared" si="89"/>
        <v>0</v>
      </c>
      <c r="F215" s="403">
        <f t="shared" si="90"/>
        <v>5</v>
      </c>
      <c r="G215" s="403">
        <v>60</v>
      </c>
      <c r="H215" s="404">
        <v>45930</v>
      </c>
      <c r="I215" s="404">
        <f t="shared" si="91"/>
        <v>47755</v>
      </c>
      <c r="J215" s="459"/>
    </row>
    <row r="216" spans="4:10" ht="15.4">
      <c r="E216" s="403">
        <f t="shared" si="89"/>
        <v>0</v>
      </c>
      <c r="F216" s="403">
        <f t="shared" si="90"/>
        <v>5</v>
      </c>
      <c r="G216" s="403">
        <v>60</v>
      </c>
      <c r="H216" s="404">
        <v>45930</v>
      </c>
      <c r="I216" s="404">
        <f t="shared" si="91"/>
        <v>47755</v>
      </c>
      <c r="J216" s="459"/>
    </row>
    <row r="217" spans="4:10" ht="15.4">
      <c r="E217" s="403">
        <f t="shared" si="89"/>
        <v>0</v>
      </c>
      <c r="F217" s="403">
        <f t="shared" si="90"/>
        <v>5</v>
      </c>
      <c r="G217" s="403">
        <v>60</v>
      </c>
      <c r="H217" s="404">
        <v>45930</v>
      </c>
      <c r="I217" s="404">
        <f t="shared" si="91"/>
        <v>47755</v>
      </c>
      <c r="J217" s="459"/>
    </row>
    <row r="218" spans="4:10" ht="15.4">
      <c r="E218" s="403">
        <f t="shared" si="89"/>
        <v>0</v>
      </c>
      <c r="F218" s="403">
        <f t="shared" si="90"/>
        <v>5</v>
      </c>
      <c r="G218" s="403">
        <v>60</v>
      </c>
      <c r="H218" s="404">
        <v>45930</v>
      </c>
      <c r="I218" s="404">
        <f t="shared" si="91"/>
        <v>47755</v>
      </c>
      <c r="J218" s="459"/>
    </row>
    <row r="219" spans="4:10" ht="15.4">
      <c r="E219" s="403">
        <f>D219/G219</f>
        <v>0</v>
      </c>
      <c r="F219" s="403">
        <f>G219/12</f>
        <v>5</v>
      </c>
      <c r="G219" s="403">
        <v>60</v>
      </c>
      <c r="H219" s="404">
        <v>45930</v>
      </c>
      <c r="I219" s="404">
        <f>H219+F219*365</f>
        <v>47755</v>
      </c>
      <c r="J219" s="459"/>
    </row>
    <row r="220" spans="4:10" ht="15.4">
      <c r="E220" s="403">
        <f>D220/G220</f>
        <v>0</v>
      </c>
      <c r="F220" s="403">
        <f>G220/12</f>
        <v>5</v>
      </c>
      <c r="G220" s="403">
        <v>60</v>
      </c>
      <c r="H220" s="404">
        <v>45930</v>
      </c>
      <c r="I220" s="404">
        <f>H220+F220*365</f>
        <v>47755</v>
      </c>
      <c r="J220" s="459"/>
    </row>
    <row r="221" spans="4:10" ht="15.4">
      <c r="E221" s="403">
        <f>D221/G221</f>
        <v>0</v>
      </c>
      <c r="F221" s="403">
        <f>G221/12</f>
        <v>5</v>
      </c>
      <c r="G221" s="403">
        <v>60</v>
      </c>
      <c r="H221" s="404">
        <v>45930</v>
      </c>
      <c r="I221" s="404">
        <f>H221+F221*365</f>
        <v>47755</v>
      </c>
      <c r="J221" s="459"/>
    </row>
    <row r="222" spans="4:10" ht="15.4">
      <c r="E222" s="403">
        <f>D222/G222</f>
        <v>0</v>
      </c>
      <c r="F222" s="403">
        <f>G222/12</f>
        <v>5</v>
      </c>
      <c r="G222" s="403">
        <v>60</v>
      </c>
      <c r="H222" s="404">
        <v>45930</v>
      </c>
      <c r="I222" s="404">
        <f>H222+F222*365</f>
        <v>47755</v>
      </c>
      <c r="J222" s="459"/>
    </row>
    <row r="223" spans="4:10" ht="15.4">
      <c r="E223" s="403">
        <f>D223/G223</f>
        <v>0</v>
      </c>
      <c r="F223" s="403">
        <f>G223/12</f>
        <v>5</v>
      </c>
      <c r="G223" s="403">
        <v>60</v>
      </c>
      <c r="H223" s="404">
        <v>45930</v>
      </c>
      <c r="I223" s="404">
        <f>H223+F223*365</f>
        <v>47755</v>
      </c>
      <c r="J223" s="459"/>
    </row>
    <row r="226" spans="1:9" ht="15.4">
      <c r="A226" s="402"/>
      <c r="B226" s="402"/>
      <c r="C226" s="407" t="s">
        <v>556</v>
      </c>
      <c r="D226" s="407" t="s">
        <v>557</v>
      </c>
      <c r="E226" s="407" t="s">
        <v>558</v>
      </c>
      <c r="F226" s="407" t="s">
        <v>559</v>
      </c>
      <c r="G226" s="407" t="s">
        <v>560</v>
      </c>
      <c r="H226" s="407" t="s">
        <v>561</v>
      </c>
      <c r="I226" s="407" t="s">
        <v>562</v>
      </c>
    </row>
    <row r="227" spans="1:9" ht="15.4">
      <c r="A227" s="402"/>
      <c r="B227" s="402"/>
      <c r="C227" s="408" t="s">
        <v>563</v>
      </c>
      <c r="D227" s="408" t="s">
        <v>563</v>
      </c>
      <c r="E227" s="408" t="s">
        <v>563</v>
      </c>
      <c r="F227" s="408" t="s">
        <v>563</v>
      </c>
      <c r="G227" s="408" t="s">
        <v>563</v>
      </c>
      <c r="H227" s="408" t="s">
        <v>563</v>
      </c>
      <c r="I227" s="408" t="s">
        <v>563</v>
      </c>
    </row>
    <row r="228" spans="1:9" ht="15.4">
      <c r="A228" s="402" t="s">
        <v>564</v>
      </c>
      <c r="B228" s="402"/>
      <c r="C228" s="402">
        <f>SUM('Accounting depreciation'!K8:K51,'Accounting depreciation'!K55:K75,'Accounting depreciation'!K81:K83)/1000</f>
        <v>28354.990320000008</v>
      </c>
      <c r="D228" s="402">
        <f t="shared" ref="D228:I228" si="92">C234</f>
        <v>23787.191029400408</v>
      </c>
      <c r="E228" s="402">
        <f t="shared" si="92"/>
        <v>21049.677299749237</v>
      </c>
      <c r="F228" s="402">
        <f t="shared" si="92"/>
        <v>20041.299274447098</v>
      </c>
      <c r="G228" s="402">
        <f t="shared" si="92"/>
        <v>16934.824821270191</v>
      </c>
      <c r="H228" s="402">
        <f t="shared" si="92"/>
        <v>12961.747540774464</v>
      </c>
      <c r="I228" s="402">
        <f t="shared" si="92"/>
        <v>12636.301866341946</v>
      </c>
    </row>
    <row r="229" spans="1:9" ht="15.4">
      <c r="A229" s="402"/>
      <c r="B229" s="402"/>
      <c r="C229" s="402"/>
      <c r="D229" s="402"/>
      <c r="E229" s="402"/>
      <c r="F229" s="402"/>
      <c r="G229" s="402"/>
      <c r="H229" s="402"/>
      <c r="I229" s="402"/>
    </row>
    <row r="230" spans="1:9" ht="15.4">
      <c r="A230" s="402" t="s">
        <v>60</v>
      </c>
      <c r="B230" s="402"/>
      <c r="C230" s="402">
        <f>(SUM('Accounting depreciation'!K52:K54,'Accounting depreciation'!K76:K80,'Accounting depreciation'!D87:D113))/1000</f>
        <v>825.09882000000005</v>
      </c>
      <c r="D230" s="402">
        <f>(SUM('Accounting depreciation'!D116:D125))/1000</f>
        <v>2606.0504123199494</v>
      </c>
      <c r="E230" s="402">
        <f>(SUM('Accounting depreciation'!D129:D147))/1000</f>
        <v>4644.5997617495213</v>
      </c>
      <c r="F230" s="402">
        <f>(SUM('Accounting depreciation'!D150:D169))/1000</f>
        <v>3302.2737118315381</v>
      </c>
      <c r="G230" s="402">
        <f>(SUM('Accounting depreciation'!D172:D187))/1000</f>
        <v>2968.6427556969293</v>
      </c>
      <c r="H230" s="402">
        <f>(SUM('Accounting depreciation'!D190:D205))/1000</f>
        <v>2673.1959484234289</v>
      </c>
      <c r="I230" s="402">
        <f>(SUM('Accounting depreciation'!D208:D223))/1000</f>
        <v>2560.19644429049</v>
      </c>
    </row>
    <row r="231" spans="1:9" ht="15.4">
      <c r="A231" s="402"/>
      <c r="B231" s="402"/>
      <c r="C231" s="402"/>
      <c r="D231" s="402"/>
      <c r="E231" s="402"/>
      <c r="F231" s="402"/>
      <c r="G231" s="402"/>
      <c r="H231" s="402"/>
      <c r="I231" s="402"/>
    </row>
    <row r="232" spans="1:9" ht="15.4">
      <c r="A232" s="402" t="s">
        <v>61</v>
      </c>
      <c r="B232" s="402"/>
      <c r="C232" s="402">
        <f>(SUM('Accounting depreciation'!L8:W113))/1000</f>
        <v>5392.898110599599</v>
      </c>
      <c r="D232" s="402">
        <f>(SUM('Accounting depreciation'!X8:AI125))/1000</f>
        <v>5343.5641419711219</v>
      </c>
      <c r="E232" s="402">
        <f>(SUM('Accounting depreciation'!AJ8:AU147))/1000</f>
        <v>5652.9777870516646</v>
      </c>
      <c r="F232" s="402">
        <f>(SUM('Accounting depreciation'!AV8:BG147))/1000</f>
        <v>6408.7481650084437</v>
      </c>
      <c r="G232" s="402">
        <f>(SUM('Accounting depreciation'!BH8:BS170))/1000</f>
        <v>6941.7200361926543</v>
      </c>
      <c r="H232" s="402">
        <f>SUM('Accounting depreciation'!BT8:CE205)/1000</f>
        <v>2998.641622855946</v>
      </c>
      <c r="I232" s="402">
        <f>(SUM('Accounting depreciation'!CF8:CQ223))/1000</f>
        <v>3264.8239417904524</v>
      </c>
    </row>
    <row r="233" spans="1:9" ht="15.4">
      <c r="A233" s="402"/>
      <c r="B233" s="402"/>
      <c r="C233" s="402"/>
      <c r="D233" s="402"/>
      <c r="E233" s="402"/>
      <c r="F233" s="402"/>
      <c r="G233" s="402"/>
      <c r="H233" s="402"/>
      <c r="I233" s="402"/>
    </row>
    <row r="234" spans="1:9" ht="15.4">
      <c r="A234" s="402" t="s">
        <v>565</v>
      </c>
      <c r="B234" s="402"/>
      <c r="C234" s="402">
        <f t="shared" ref="C234:I234" si="93">C228+C230-C232</f>
        <v>23787.191029400408</v>
      </c>
      <c r="D234" s="402">
        <f t="shared" si="93"/>
        <v>21049.677299749237</v>
      </c>
      <c r="E234" s="402">
        <f t="shared" si="93"/>
        <v>20041.299274447098</v>
      </c>
      <c r="F234" s="402">
        <f t="shared" si="93"/>
        <v>16934.824821270191</v>
      </c>
      <c r="G234" s="402">
        <f t="shared" si="93"/>
        <v>12961.747540774464</v>
      </c>
      <c r="H234" s="402">
        <f t="shared" si="93"/>
        <v>12636.301866341946</v>
      </c>
      <c r="I234" s="402">
        <f t="shared" si="93"/>
        <v>11931.674368841985</v>
      </c>
    </row>
  </sheetData>
  <pageMargins left="0.7" right="0.7" top="0.75" bottom="0.75" header="0.3" footer="0.3"/>
  <pageSetup paperSize="8" scale="1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BB34-B3F3-4C10-B272-68C897761AEA}">
  <sheetPr>
    <tabColor rgb="FFFF0000"/>
  </sheetPr>
  <dimension ref="A1:AH57"/>
  <sheetViews>
    <sheetView showGridLines="0" zoomScale="80" zoomScaleNormal="80" workbookViewId="0">
      <selection activeCell="C10" sqref="C10"/>
    </sheetView>
  </sheetViews>
  <sheetFormatPr defaultColWidth="8.6640625" defaultRowHeight="14.25"/>
  <cols>
    <col min="1" max="1" width="12.6640625" style="299" customWidth="1"/>
    <col min="2" max="2" width="27" style="299" customWidth="1"/>
    <col min="3" max="3" width="154.33203125" style="299" customWidth="1"/>
    <col min="4" max="23" width="10.33203125" style="299" customWidth="1"/>
    <col min="24" max="16384" width="8.6640625" style="299"/>
  </cols>
  <sheetData>
    <row r="1" spans="1:9" ht="18">
      <c r="A1" s="267" t="s">
        <v>807</v>
      </c>
      <c r="B1" s="268"/>
      <c r="C1" s="268"/>
    </row>
    <row r="2" spans="1:9" ht="40.049999999999997" customHeight="1">
      <c r="A2" s="424" t="s">
        <v>723</v>
      </c>
      <c r="C2" s="232"/>
    </row>
    <row r="3" spans="1:9" ht="40.049999999999997" customHeight="1">
      <c r="A3" s="426" t="s">
        <v>727</v>
      </c>
      <c r="B3" s="426" t="s">
        <v>724</v>
      </c>
      <c r="C3" s="427" t="s">
        <v>725</v>
      </c>
      <c r="D3" s="253"/>
      <c r="E3" s="228"/>
      <c r="F3" s="228"/>
      <c r="G3" s="228"/>
      <c r="H3" s="228"/>
    </row>
    <row r="4" spans="1:9" ht="40.049999999999997" customHeight="1">
      <c r="A4" s="428" t="s">
        <v>726</v>
      </c>
      <c r="B4" s="429"/>
      <c r="C4" s="429"/>
      <c r="D4" s="261"/>
      <c r="E4" s="2"/>
      <c r="F4" s="2"/>
      <c r="G4" s="2"/>
      <c r="H4" s="4"/>
      <c r="I4" s="4"/>
    </row>
    <row r="5" spans="1:9" ht="40.049999999999997" customHeight="1">
      <c r="A5" s="430"/>
      <c r="B5" s="431" t="s">
        <v>728</v>
      </c>
      <c r="C5" s="430" t="s">
        <v>743</v>
      </c>
      <c r="D5" s="261"/>
      <c r="E5" s="2"/>
      <c r="F5" s="2"/>
      <c r="G5" s="2"/>
    </row>
    <row r="6" spans="1:9" ht="40.049999999999997" customHeight="1">
      <c r="A6" s="432"/>
      <c r="B6" s="431" t="s">
        <v>729</v>
      </c>
      <c r="C6" s="430" t="s">
        <v>742</v>
      </c>
      <c r="D6" s="261"/>
      <c r="E6" s="2"/>
      <c r="F6" s="2"/>
      <c r="G6" s="2"/>
    </row>
    <row r="7" spans="1:9" ht="40.049999999999997" customHeight="1">
      <c r="A7" s="430"/>
      <c r="B7" s="431" t="s">
        <v>242</v>
      </c>
      <c r="C7" s="430" t="s">
        <v>745</v>
      </c>
      <c r="D7" s="261"/>
      <c r="E7" s="2"/>
      <c r="F7" s="2"/>
      <c r="G7" s="2"/>
    </row>
    <row r="8" spans="1:9" ht="40.049999999999997" customHeight="1">
      <c r="A8" s="430"/>
      <c r="B8" s="431" t="s">
        <v>730</v>
      </c>
      <c r="C8" s="430" t="s">
        <v>746</v>
      </c>
      <c r="D8" s="261"/>
      <c r="E8" s="2"/>
      <c r="F8" s="2"/>
      <c r="G8" s="2"/>
      <c r="H8" s="2"/>
    </row>
    <row r="9" spans="1:9" ht="40.049999999999997" customHeight="1">
      <c r="A9" s="430"/>
      <c r="B9" s="431" t="s">
        <v>731</v>
      </c>
      <c r="C9" s="430" t="s">
        <v>744</v>
      </c>
      <c r="D9" s="230"/>
    </row>
    <row r="10" spans="1:9" ht="40.049999999999997" customHeight="1">
      <c r="A10" s="430"/>
      <c r="B10" s="431" t="s">
        <v>732</v>
      </c>
      <c r="C10" s="430" t="s">
        <v>747</v>
      </c>
      <c r="D10" s="253"/>
      <c r="E10" s="228"/>
      <c r="F10" s="228"/>
      <c r="G10" s="228"/>
    </row>
    <row r="11" spans="1:9" ht="40.049999999999997" customHeight="1">
      <c r="A11" s="430"/>
      <c r="B11" s="431" t="s">
        <v>568</v>
      </c>
      <c r="C11" s="430" t="s">
        <v>748</v>
      </c>
      <c r="D11" s="261"/>
      <c r="E11" s="2"/>
      <c r="F11" s="2"/>
      <c r="G11" s="2"/>
      <c r="H11" s="283"/>
    </row>
    <row r="12" spans="1:9" ht="40.049999999999997" customHeight="1">
      <c r="A12" s="433" t="s">
        <v>733</v>
      </c>
      <c r="B12" s="434"/>
      <c r="C12" s="434"/>
      <c r="D12" s="261"/>
      <c r="E12" s="2"/>
      <c r="F12" s="2"/>
      <c r="G12" s="2"/>
      <c r="H12" s="283"/>
    </row>
    <row r="13" spans="1:9" ht="40.049999999999997" customHeight="1">
      <c r="A13" s="435"/>
      <c r="B13" s="436" t="s">
        <v>734</v>
      </c>
      <c r="C13" s="437" t="s">
        <v>749</v>
      </c>
      <c r="D13" s="261"/>
      <c r="E13" s="2"/>
      <c r="F13" s="2"/>
      <c r="G13" s="2"/>
      <c r="H13" s="2"/>
    </row>
    <row r="14" spans="1:9" ht="40.049999999999997" customHeight="1">
      <c r="A14" s="437"/>
      <c r="B14" s="436" t="s">
        <v>735</v>
      </c>
      <c r="C14" s="437" t="s">
        <v>750</v>
      </c>
      <c r="D14" s="230"/>
    </row>
    <row r="15" spans="1:9" ht="40.049999999999997" customHeight="1">
      <c r="A15" s="437"/>
      <c r="B15" s="436" t="s">
        <v>751</v>
      </c>
      <c r="C15" s="437" t="s">
        <v>752</v>
      </c>
      <c r="D15" s="230"/>
    </row>
    <row r="16" spans="1:9" ht="40.049999999999997" customHeight="1">
      <c r="A16" s="437"/>
      <c r="B16" s="436" t="s">
        <v>736</v>
      </c>
      <c r="C16" s="437" t="s">
        <v>753</v>
      </c>
      <c r="D16" s="230"/>
    </row>
    <row r="17" spans="1:34" ht="40.049999999999997" customHeight="1">
      <c r="A17" s="437"/>
      <c r="B17" s="436" t="s">
        <v>72</v>
      </c>
      <c r="C17" s="437" t="s">
        <v>754</v>
      </c>
      <c r="D17" s="230"/>
    </row>
    <row r="18" spans="1:34" ht="40.049999999999997" customHeight="1">
      <c r="A18" s="438" t="s">
        <v>737</v>
      </c>
      <c r="B18" s="439"/>
      <c r="C18" s="439"/>
      <c r="D18" s="230"/>
    </row>
    <row r="19" spans="1:34" ht="40.049999999999997" customHeight="1">
      <c r="A19" s="440"/>
      <c r="B19" s="441" t="s">
        <v>738</v>
      </c>
      <c r="C19" s="440" t="s">
        <v>755</v>
      </c>
      <c r="D19" s="230"/>
    </row>
    <row r="20" spans="1:34" ht="40.049999999999997" customHeight="1">
      <c r="A20" s="440"/>
      <c r="B20" s="441" t="s">
        <v>739</v>
      </c>
      <c r="C20" s="440" t="s">
        <v>756</v>
      </c>
      <c r="D20" s="230"/>
    </row>
    <row r="21" spans="1:34" ht="40.049999999999997" customHeight="1">
      <c r="A21" s="440"/>
      <c r="B21" s="441" t="s">
        <v>740</v>
      </c>
      <c r="C21" s="440" t="s">
        <v>818</v>
      </c>
      <c r="D21" s="230"/>
    </row>
    <row r="22" spans="1:34" ht="40.049999999999997" customHeight="1">
      <c r="A22" s="440"/>
      <c r="B22" s="441" t="s">
        <v>719</v>
      </c>
      <c r="C22" s="440" t="s">
        <v>819</v>
      </c>
      <c r="D22" s="230"/>
    </row>
    <row r="23" spans="1:34" ht="40.049999999999997" customHeight="1">
      <c r="A23" s="442" t="s">
        <v>804</v>
      </c>
      <c r="B23" s="443"/>
      <c r="C23" s="444"/>
      <c r="D23" s="230"/>
    </row>
    <row r="24" spans="1:34" ht="40.049999999999997" customHeight="1">
      <c r="A24" s="445"/>
      <c r="B24" s="446" t="s">
        <v>805</v>
      </c>
      <c r="C24" s="445" t="s">
        <v>806</v>
      </c>
      <c r="D24" s="230"/>
    </row>
    <row r="25" spans="1:34" ht="40.049999999999997" customHeight="1">
      <c r="A25" s="445"/>
      <c r="B25" s="446" t="s">
        <v>418</v>
      </c>
      <c r="C25" s="445" t="s">
        <v>817</v>
      </c>
      <c r="D25" s="230"/>
    </row>
    <row r="26" spans="1:34" ht="40.049999999999997" customHeight="1">
      <c r="A26" s="447" t="s">
        <v>575</v>
      </c>
      <c r="B26" s="448"/>
      <c r="C26" s="448"/>
      <c r="D26" s="230"/>
    </row>
    <row r="27" spans="1:34" ht="40.049999999999997" customHeight="1">
      <c r="A27" s="449"/>
      <c r="B27" s="450" t="s">
        <v>741</v>
      </c>
      <c r="C27" s="449" t="s">
        <v>757</v>
      </c>
      <c r="D27" s="230"/>
    </row>
    <row r="28" spans="1:34" ht="40.049999999999997" customHeight="1">
      <c r="A28" s="451" t="s">
        <v>568</v>
      </c>
      <c r="B28" s="452"/>
      <c r="C28" s="452"/>
      <c r="D28" s="230"/>
    </row>
    <row r="29" spans="1:34" ht="40.049999999999997" customHeight="1">
      <c r="A29" s="453"/>
      <c r="B29" s="454" t="s">
        <v>189</v>
      </c>
      <c r="C29" s="453" t="s">
        <v>758</v>
      </c>
      <c r="D29" s="230"/>
      <c r="AA29" s="222"/>
      <c r="AB29" s="222"/>
      <c r="AC29" s="222"/>
      <c r="AD29" s="222"/>
      <c r="AE29" s="222"/>
      <c r="AF29" s="222"/>
      <c r="AG29" s="222"/>
      <c r="AH29" s="222"/>
    </row>
    <row r="30" spans="1:34" ht="40.049999999999997" customHeight="1">
      <c r="A30" s="453"/>
      <c r="B30" s="454" t="s">
        <v>759</v>
      </c>
      <c r="C30" s="453" t="s">
        <v>760</v>
      </c>
      <c r="D30" s="230"/>
    </row>
    <row r="31" spans="1:34" ht="40.049999999999997" customHeight="1">
      <c r="A31" s="453"/>
      <c r="B31" s="454" t="s">
        <v>761</v>
      </c>
      <c r="C31" s="453" t="s">
        <v>760</v>
      </c>
      <c r="D31" s="230"/>
    </row>
    <row r="32" spans="1:34" ht="40.049999999999997" customHeight="1">
      <c r="A32" s="453"/>
      <c r="B32" s="454" t="s">
        <v>762</v>
      </c>
      <c r="C32" s="453" t="s">
        <v>763</v>
      </c>
      <c r="D32" s="230"/>
    </row>
    <row r="33" spans="1:4" ht="40.049999999999997" customHeight="1">
      <c r="A33" s="453"/>
      <c r="B33" s="454" t="s">
        <v>764</v>
      </c>
      <c r="C33" s="453" t="s">
        <v>760</v>
      </c>
      <c r="D33" s="230"/>
    </row>
    <row r="34" spans="1:4" ht="40.049999999999997" customHeight="1">
      <c r="A34" s="453"/>
      <c r="B34" s="454" t="s">
        <v>765</v>
      </c>
      <c r="C34" s="453" t="s">
        <v>760</v>
      </c>
      <c r="D34" s="230"/>
    </row>
    <row r="35" spans="1:4" ht="40.049999999999997" customHeight="1">
      <c r="A35" s="453"/>
      <c r="B35" s="454" t="s">
        <v>766</v>
      </c>
      <c r="C35" s="453" t="s">
        <v>760</v>
      </c>
      <c r="D35" s="230"/>
    </row>
    <row r="36" spans="1:4" ht="40.049999999999997" customHeight="1">
      <c r="A36" s="230"/>
      <c r="B36" s="230"/>
      <c r="C36" s="230"/>
      <c r="D36" s="230"/>
    </row>
    <row r="37" spans="1:4" ht="40.049999999999997" customHeight="1">
      <c r="A37" s="230"/>
      <c r="B37" s="230"/>
      <c r="C37" s="230"/>
      <c r="D37" s="230"/>
    </row>
    <row r="38" spans="1:4" ht="40.049999999999997" customHeight="1">
      <c r="A38" s="230"/>
      <c r="B38" s="230"/>
      <c r="C38" s="230"/>
      <c r="D38" s="230"/>
    </row>
    <row r="39" spans="1:4" ht="40.049999999999997" customHeight="1">
      <c r="A39" s="230"/>
      <c r="B39" s="230"/>
      <c r="C39" s="230"/>
      <c r="D39" s="230"/>
    </row>
    <row r="40" spans="1:4" ht="40.049999999999997" customHeight="1">
      <c r="A40" s="230"/>
      <c r="B40" s="230"/>
      <c r="C40" s="230"/>
      <c r="D40" s="230"/>
    </row>
    <row r="41" spans="1:4" ht="40.049999999999997" customHeight="1">
      <c r="A41" s="230"/>
      <c r="B41" s="230"/>
      <c r="C41" s="230"/>
      <c r="D41" s="230"/>
    </row>
    <row r="42" spans="1:4" ht="40.049999999999997" customHeight="1">
      <c r="A42" s="230"/>
      <c r="B42" s="230"/>
      <c r="C42" s="230"/>
      <c r="D42" s="230"/>
    </row>
    <row r="43" spans="1:4" ht="40.049999999999997" customHeight="1">
      <c r="A43" s="230"/>
      <c r="B43" s="230"/>
      <c r="C43" s="230"/>
      <c r="D43" s="230"/>
    </row>
    <row r="44" spans="1:4" ht="40.049999999999997" customHeight="1">
      <c r="A44" s="230"/>
      <c r="B44" s="230"/>
      <c r="C44" s="230"/>
      <c r="D44" s="230"/>
    </row>
    <row r="45" spans="1:4" ht="40.049999999999997" customHeight="1">
      <c r="A45" s="230"/>
      <c r="B45" s="230"/>
      <c r="C45" s="230"/>
      <c r="D45" s="230"/>
    </row>
    <row r="46" spans="1:4" ht="40.049999999999997" customHeight="1">
      <c r="A46" s="230"/>
      <c r="B46" s="230"/>
      <c r="C46" s="230"/>
      <c r="D46" s="230"/>
    </row>
    <row r="47" spans="1:4" ht="40.049999999999997" customHeight="1">
      <c r="A47" s="230"/>
      <c r="B47" s="230"/>
      <c r="C47" s="230"/>
      <c r="D47" s="230"/>
    </row>
    <row r="48" spans="1:4" ht="40.049999999999997" customHeight="1">
      <c r="A48" s="230"/>
      <c r="B48" s="230"/>
      <c r="C48" s="230"/>
      <c r="D48" s="230"/>
    </row>
    <row r="49" spans="1:4" ht="40.049999999999997" customHeight="1">
      <c r="A49" s="230"/>
      <c r="B49" s="230"/>
      <c r="C49" s="230"/>
      <c r="D49" s="230"/>
    </row>
    <row r="50" spans="1:4" ht="40.049999999999997" customHeight="1">
      <c r="A50" s="230"/>
      <c r="B50" s="230"/>
      <c r="C50" s="230"/>
      <c r="D50" s="230"/>
    </row>
    <row r="51" spans="1:4" ht="40.049999999999997" customHeight="1"/>
    <row r="52" spans="1:4" ht="40.049999999999997" customHeight="1"/>
    <row r="53" spans="1:4" ht="40.049999999999997" customHeight="1"/>
    <row r="54" spans="1:4" ht="40.049999999999997" customHeight="1"/>
    <row r="55" spans="1:4" ht="40.049999999999997" customHeight="1"/>
    <row r="56" spans="1:4" ht="40.049999999999997" customHeight="1"/>
    <row r="57" spans="1:4" ht="40.049999999999997" customHeight="1"/>
  </sheetData>
  <hyperlinks>
    <hyperlink ref="B5" location="Inflation!A1" display="Inflation" xr:uid="{1DF791DB-73BC-4840-A140-53C20A4C58D2}"/>
    <hyperlink ref="B6" location="'RAB inputs'!A1" display="RAB inputs" xr:uid="{B90825A2-B8B4-D24A-AEA2-B5B135C48037}"/>
    <hyperlink ref="B7" location="'WACC parameters'!A1" display="WACC parameters" xr:uid="{2BC1020A-683C-264B-9073-68FF56A89903}"/>
    <hyperlink ref="B8" location="'DD allowances'!A1" display="DD allowances" xr:uid="{2B939148-ED67-7C43-9712-5C7C85674AC5}"/>
    <hyperlink ref="B9" location="'DD forecasts'!A1" display="DD forecasts" xr:uid="{883C893D-9E4A-FB42-B86F-05EF48666559}"/>
    <hyperlink ref="B10" location="'RoRE inputs'!A1" display="RoRE inputs" xr:uid="{5796E12E-2C25-D849-8087-6E126D143429}"/>
    <hyperlink ref="B11" location="'Other inputs'!A1" display="Other inputs" xr:uid="{76422207-8BC0-6144-AF6F-5C726D589D48}"/>
    <hyperlink ref="B13" location="WACC!A1" display="WACC" xr:uid="{D6326A47-0671-D445-9BBD-E51D6323AF04}"/>
    <hyperlink ref="B14" location="CCS!A1" display="CCS" xr:uid="{2412E672-8F3C-1848-AE66-646D1AA5A91E}"/>
    <hyperlink ref="B15" location="RAB!A1" display="RAB" xr:uid="{14D5D73A-305B-2042-88B3-99D260E27434}"/>
    <hyperlink ref="B16" location="Return!A1" display="Return" xr:uid="{4212ED9F-9000-1F4F-ADE0-D3FCF0D25F48}"/>
    <hyperlink ref="B17" location="'Asset beta'!A1" display="Asset beta" xr:uid="{B0FB0AF5-78BB-6043-8578-9B804EC42FFD}"/>
    <hyperlink ref="B19" location="'Regulated revenue'!A1" display="Regulated revenue" xr:uid="{26DAEFA6-DB66-8B4E-AD0A-A59D5C96D4DF}"/>
    <hyperlink ref="B20" location="Earnings!A1" display="Earnings" xr:uid="{36DD32E7-E453-1C4D-9374-5E48E03E1209}"/>
    <hyperlink ref="B21" location="'RAB summary'!A1" display="RAB summary" xr:uid="{BB50AEE8-45C1-2442-9E9C-2D50EF3D916B}"/>
    <hyperlink ref="B22" location="RoRE!A1" display="RoRE" xr:uid="{B22CCE19-9072-D446-9865-80554F82AA9C}"/>
    <hyperlink ref="B27" location="Scenarios!A1" display="Scenarios" xr:uid="{2BEF9A34-AB94-D14F-995C-F02407328BF5}"/>
    <hyperlink ref="B29" location="'Accounting depreciation'!A1" display="Accounting depreciation" xr:uid="{142A2C6D-CA71-F04D-99B4-06FA06782BE5}"/>
    <hyperlink ref="B30" location="'5B Revenues &amp; Costs (notional)'!A1" display="5B Revenues &amp; Costs (notional)" xr:uid="{3DE2B3BF-EBC1-6D4C-9601-A9EFBADB7CE8}"/>
    <hyperlink ref="B31" location="'5A Revenues &amp; Costs (actual)'!A1" display="5A Revenues &amp; Costs (Actual)" xr:uid="{D41103EC-14E5-7842-AE62-ADDE836AA562}"/>
    <hyperlink ref="B32" location="'SONI BPDT RAB'!A1" display="SONI BPDT RAB" xr:uid="{4B273EFB-AF68-944C-AC86-B8617EA867C4}"/>
    <hyperlink ref="B33" location="'1 Price control buildup'!A1" display="1 Price control buildup" xr:uid="{E337D874-5CC8-EB48-93E3-F52F9FD3881E}"/>
    <hyperlink ref="B34" location="'3 Finance'!A1" display="3 Finance" xr:uid="{2205DFDE-E7FD-9746-808F-AAEC54929ABB}"/>
    <hyperlink ref="B35" location="'4 RAB Overview'!A1" display="4 RAB Overview" xr:uid="{CDDDAC84-B675-E64C-9C47-95F19425EB71}"/>
    <hyperlink ref="B24" location="'RoRE charts'!A1" display="RoRE charts" xr:uid="{5EA1B37A-28FA-2646-B667-3653044B73B8}"/>
    <hyperlink ref="B25" location="'RAB charts'!A1" display="RAB charts" xr:uid="{2A053A50-AC91-9543-B4CF-AC4EAA70F6BA}"/>
  </hyperlinks>
  <pageMargins left="0.7" right="0.7" top="0.75" bottom="0.75" header="0.3" footer="0.3"/>
  <pageSetup paperSize="9" orientation="portrait"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pageSetUpPr fitToPage="1"/>
  </sheetPr>
  <dimension ref="B1:O76"/>
  <sheetViews>
    <sheetView topLeftCell="B5" zoomScaleNormal="100" workbookViewId="0">
      <pane xSplit="4" ySplit="8" topLeftCell="F68" activePane="bottomRight" state="frozen"/>
      <selection activeCell="I15" sqref="I15"/>
      <selection pane="topRight" activeCell="I15" sqref="I15"/>
      <selection pane="bottomLeft" activeCell="I15" sqref="I15"/>
      <selection pane="bottomRight" activeCell="B11" sqref="B11"/>
    </sheetView>
  </sheetViews>
  <sheetFormatPr defaultColWidth="9" defaultRowHeight="14.25"/>
  <cols>
    <col min="1" max="1" width="0" style="8" hidden="1" customWidth="1"/>
    <col min="2" max="2" width="46.1328125" style="8" customWidth="1"/>
    <col min="3" max="5" width="10.46484375" style="8" customWidth="1"/>
    <col min="6" max="7" width="9" style="8"/>
    <col min="8" max="12" width="9.46484375" style="8" bestFit="1" customWidth="1"/>
    <col min="13" max="15" width="10.1328125" style="8" bestFit="1" customWidth="1"/>
    <col min="16" max="16384" width="9" style="8"/>
  </cols>
  <sheetData>
    <row r="1" spans="2:15" hidden="1"/>
    <row r="2" spans="2:15" hidden="1"/>
    <row r="3" spans="2:15" hidden="1"/>
    <row r="4" spans="2:15" hidden="1"/>
    <row r="5" spans="2:15">
      <c r="I5" s="7"/>
      <c r="J5" s="7"/>
      <c r="K5" s="7"/>
      <c r="L5" s="7"/>
      <c r="M5" s="7"/>
      <c r="N5" s="7"/>
      <c r="O5" s="7"/>
    </row>
    <row r="9" spans="2:15" ht="23.65" thickBot="1">
      <c r="B9" s="11" t="s">
        <v>508</v>
      </c>
    </row>
    <row r="10" spans="2:15" ht="14.65" hidden="1" thickBot="1"/>
    <row r="11" spans="2:15" ht="15" customHeight="1">
      <c r="B11" s="319" t="s">
        <v>509</v>
      </c>
      <c r="C11" s="464" t="s">
        <v>163</v>
      </c>
      <c r="D11" s="464" t="s">
        <v>10</v>
      </c>
      <c r="E11" s="464" t="s">
        <v>11</v>
      </c>
      <c r="F11" s="461" t="s">
        <v>128</v>
      </c>
      <c r="G11" s="462"/>
      <c r="H11" s="466"/>
      <c r="I11" s="461" t="s">
        <v>129</v>
      </c>
      <c r="J11" s="466"/>
      <c r="K11" s="461" t="s">
        <v>130</v>
      </c>
      <c r="L11" s="462"/>
      <c r="M11" s="462"/>
      <c r="N11" s="462"/>
      <c r="O11" s="463"/>
    </row>
    <row r="12" spans="2:15">
      <c r="B12" s="320"/>
      <c r="C12" s="465"/>
      <c r="D12" s="465"/>
      <c r="E12" s="465"/>
      <c r="F12" s="313" t="s">
        <v>0</v>
      </c>
      <c r="G12" s="313" t="s">
        <v>1</v>
      </c>
      <c r="H12" s="313" t="s">
        <v>2</v>
      </c>
      <c r="I12" s="141" t="s">
        <v>3</v>
      </c>
      <c r="J12" s="321" t="s">
        <v>4</v>
      </c>
      <c r="K12" s="321" t="s">
        <v>5</v>
      </c>
      <c r="L12" s="321" t="s">
        <v>6</v>
      </c>
      <c r="M12" s="321" t="s">
        <v>7</v>
      </c>
      <c r="N12" s="321" t="s">
        <v>8</v>
      </c>
      <c r="O12" s="322" t="s">
        <v>9</v>
      </c>
    </row>
    <row r="13" spans="2:15">
      <c r="B13" s="323"/>
      <c r="C13" s="324"/>
      <c r="D13" s="324"/>
      <c r="E13" s="324"/>
      <c r="F13" s="325"/>
      <c r="G13" s="325"/>
      <c r="H13" s="325"/>
      <c r="I13" s="325"/>
      <c r="J13" s="325"/>
      <c r="K13" s="325"/>
      <c r="L13" s="325"/>
      <c r="M13" s="325"/>
      <c r="N13" s="325"/>
      <c r="O13" s="326"/>
    </row>
    <row r="14" spans="2:15">
      <c r="B14" s="148"/>
      <c r="C14" s="94"/>
      <c r="D14" s="94"/>
      <c r="E14" s="94"/>
      <c r="O14" s="150"/>
    </row>
    <row r="15" spans="2:15">
      <c r="B15" s="151" t="s">
        <v>165</v>
      </c>
      <c r="C15" s="94"/>
      <c r="D15" s="94" t="s">
        <v>40</v>
      </c>
      <c r="E15" s="94" t="s">
        <v>52</v>
      </c>
      <c r="F15" s="327">
        <v>33217.811909999997</v>
      </c>
      <c r="G15" s="327">
        <v>46852.205969999995</v>
      </c>
      <c r="H15" s="327">
        <v>53640.225017857578</v>
      </c>
      <c r="I15" s="328">
        <v>81839.251774077187</v>
      </c>
      <c r="J15" s="328">
        <v>54277.263442778545</v>
      </c>
      <c r="K15" s="328">
        <v>54448.662197759397</v>
      </c>
      <c r="L15" s="328">
        <v>84149.962789759127</v>
      </c>
      <c r="M15" s="328">
        <v>88298.942041649396</v>
      </c>
      <c r="N15" s="328">
        <v>91141.496498772147</v>
      </c>
      <c r="O15" s="329">
        <v>86594.214430549153</v>
      </c>
    </row>
    <row r="16" spans="2:15">
      <c r="B16" s="151" t="s">
        <v>166</v>
      </c>
      <c r="C16" s="94"/>
      <c r="D16" s="94" t="s">
        <v>40</v>
      </c>
      <c r="E16" s="94" t="s">
        <v>52</v>
      </c>
      <c r="F16" s="327">
        <v>33794.973969999999</v>
      </c>
      <c r="G16" s="327">
        <v>32922.405579999999</v>
      </c>
      <c r="H16" s="327">
        <v>43209.344809999995</v>
      </c>
      <c r="I16" s="328">
        <v>47753</v>
      </c>
      <c r="J16" s="328">
        <v>52438.619738453686</v>
      </c>
      <c r="K16" s="328">
        <v>46684.82880000001</v>
      </c>
      <c r="L16" s="328">
        <v>48149.129376000004</v>
      </c>
      <c r="M16" s="328">
        <v>49328.598395520006</v>
      </c>
      <c r="N16" s="328">
        <v>50370.374403590409</v>
      </c>
      <c r="O16" s="329">
        <v>51377.78189166222</v>
      </c>
    </row>
    <row r="17" spans="2:15">
      <c r="B17" s="151" t="s">
        <v>167</v>
      </c>
      <c r="C17" s="94"/>
      <c r="D17" s="94" t="s">
        <v>40</v>
      </c>
      <c r="E17" s="94" t="s">
        <v>52</v>
      </c>
      <c r="F17" s="327">
        <v>23244.420739999998</v>
      </c>
      <c r="G17" s="327">
        <v>12018.10216</v>
      </c>
      <c r="H17" s="327">
        <v>12467.697769999999</v>
      </c>
      <c r="I17" s="328">
        <v>18</v>
      </c>
      <c r="J17" s="328">
        <v>0</v>
      </c>
      <c r="K17" s="328">
        <v>0</v>
      </c>
      <c r="L17" s="328">
        <v>0</v>
      </c>
      <c r="M17" s="328">
        <v>0</v>
      </c>
      <c r="N17" s="328">
        <v>0</v>
      </c>
      <c r="O17" s="329">
        <v>0</v>
      </c>
    </row>
    <row r="18" spans="2:15">
      <c r="B18" s="151" t="s">
        <v>168</v>
      </c>
      <c r="C18" s="94"/>
      <c r="D18" s="94" t="s">
        <v>40</v>
      </c>
      <c r="E18" s="94" t="s">
        <v>52</v>
      </c>
      <c r="F18" s="327"/>
      <c r="G18" s="327"/>
      <c r="H18" s="327"/>
      <c r="I18" s="328"/>
      <c r="J18" s="328"/>
      <c r="K18" s="328"/>
      <c r="L18" s="328"/>
      <c r="M18" s="328"/>
      <c r="N18" s="328"/>
      <c r="O18" s="329"/>
    </row>
    <row r="19" spans="2:15">
      <c r="B19" s="151" t="s">
        <v>169</v>
      </c>
      <c r="C19" s="94"/>
      <c r="D19" s="94" t="s">
        <v>40</v>
      </c>
      <c r="E19" s="94" t="s">
        <v>52</v>
      </c>
      <c r="F19" s="327">
        <v>917.4185500000001</v>
      </c>
      <c r="G19" s="327">
        <v>1688.452</v>
      </c>
      <c r="H19" s="327">
        <v>909.32249999999999</v>
      </c>
      <c r="I19" s="328">
        <v>572</v>
      </c>
      <c r="J19" s="328">
        <v>828.65966994099654</v>
      </c>
      <c r="K19" s="328">
        <v>832.32000000000016</v>
      </c>
      <c r="L19" s="328">
        <v>848.96640000000014</v>
      </c>
      <c r="M19" s="328">
        <v>865.94572800000014</v>
      </c>
      <c r="N19" s="328">
        <v>883.2646425600002</v>
      </c>
      <c r="O19" s="329">
        <v>900.92993541120018</v>
      </c>
    </row>
    <row r="20" spans="2:15">
      <c r="B20" s="151" t="s">
        <v>510</v>
      </c>
      <c r="C20" s="94"/>
      <c r="D20" s="94" t="s">
        <v>40</v>
      </c>
      <c r="E20" s="94" t="s">
        <v>52</v>
      </c>
      <c r="F20" s="327"/>
      <c r="G20" s="327"/>
      <c r="H20" s="327"/>
      <c r="I20" s="328"/>
      <c r="J20" s="328"/>
      <c r="K20" s="328"/>
      <c r="L20" s="328"/>
      <c r="M20" s="328"/>
      <c r="N20" s="328"/>
      <c r="O20" s="329"/>
    </row>
    <row r="21" spans="2:15">
      <c r="B21" s="201" t="s">
        <v>171</v>
      </c>
      <c r="C21" s="94"/>
      <c r="D21" s="94" t="s">
        <v>40</v>
      </c>
      <c r="E21" s="94" t="s">
        <v>52</v>
      </c>
      <c r="F21" s="327">
        <v>31.671680000000002</v>
      </c>
      <c r="G21" s="327">
        <v>29.414400000000001</v>
      </c>
      <c r="H21" s="327">
        <v>31.786909999999999</v>
      </c>
      <c r="I21" s="328">
        <v>30</v>
      </c>
      <c r="J21" s="328">
        <v>31.074737622787371</v>
      </c>
      <c r="K21" s="328">
        <v>31.212000000000007</v>
      </c>
      <c r="L21" s="328">
        <v>31.836240000000004</v>
      </c>
      <c r="M21" s="328">
        <v>32.472964800000007</v>
      </c>
      <c r="N21" s="328">
        <v>33.12242409600001</v>
      </c>
      <c r="O21" s="329">
        <v>33.784872577920012</v>
      </c>
    </row>
    <row r="22" spans="2:15">
      <c r="B22" s="201" t="s">
        <v>172</v>
      </c>
      <c r="C22" s="94"/>
      <c r="D22" s="94" t="s">
        <v>40</v>
      </c>
      <c r="E22" s="94" t="s">
        <v>52</v>
      </c>
      <c r="F22" s="202">
        <v>1805.8933100000002</v>
      </c>
      <c r="G22" s="327"/>
      <c r="H22" s="327"/>
      <c r="I22" s="328"/>
      <c r="J22" s="328"/>
      <c r="K22" s="328"/>
      <c r="L22" s="328"/>
      <c r="M22" s="328"/>
      <c r="N22" s="328"/>
      <c r="O22" s="329"/>
    </row>
    <row r="23" spans="2:15">
      <c r="B23" s="205" t="s">
        <v>173</v>
      </c>
      <c r="C23" s="94"/>
      <c r="D23" s="94" t="s">
        <v>40</v>
      </c>
      <c r="E23" s="94" t="s">
        <v>52</v>
      </c>
      <c r="F23" s="327">
        <v>2060.8345199999994</v>
      </c>
      <c r="G23" s="327">
        <v>4714.6364999999996</v>
      </c>
      <c r="H23" s="327">
        <v>3044.3442300000002</v>
      </c>
      <c r="I23" s="328">
        <v>0</v>
      </c>
      <c r="J23" s="328">
        <v>0</v>
      </c>
      <c r="K23" s="328">
        <v>0</v>
      </c>
      <c r="L23" s="328">
        <v>0</v>
      </c>
      <c r="M23" s="328">
        <v>0</v>
      </c>
      <c r="N23" s="328">
        <v>0</v>
      </c>
      <c r="O23" s="329">
        <v>0</v>
      </c>
    </row>
    <row r="24" spans="2:15">
      <c r="B24" s="151" t="s">
        <v>174</v>
      </c>
      <c r="C24" s="94"/>
      <c r="D24" s="94" t="s">
        <v>40</v>
      </c>
      <c r="E24" s="94" t="s">
        <v>52</v>
      </c>
      <c r="F24" s="327"/>
      <c r="G24" s="327"/>
      <c r="H24" s="327"/>
      <c r="I24" s="328"/>
      <c r="J24" s="328"/>
      <c r="K24" s="328"/>
      <c r="L24" s="328"/>
      <c r="M24" s="328"/>
      <c r="N24" s="328"/>
      <c r="O24" s="329"/>
    </row>
    <row r="25" spans="2:15">
      <c r="B25" s="151"/>
      <c r="C25" s="94"/>
      <c r="D25" s="94"/>
      <c r="E25" s="94"/>
      <c r="F25" s="330"/>
      <c r="G25" s="330"/>
      <c r="H25" s="330"/>
      <c r="I25" s="330"/>
      <c r="J25" s="330"/>
      <c r="K25" s="330"/>
      <c r="L25" s="330"/>
      <c r="M25" s="330"/>
      <c r="N25" s="330"/>
      <c r="O25" s="331"/>
    </row>
    <row r="26" spans="2:15">
      <c r="B26" s="148" t="s">
        <v>175</v>
      </c>
      <c r="C26" s="94"/>
      <c r="D26" s="94"/>
      <c r="E26" s="94"/>
      <c r="F26" s="332">
        <f t="shared" ref="F26:O26" si="0">SUM(F15:F25)</f>
        <v>95073.024680000002</v>
      </c>
      <c r="G26" s="332">
        <f t="shared" si="0"/>
        <v>98225.216609999989</v>
      </c>
      <c r="H26" s="332">
        <f t="shared" si="0"/>
        <v>113302.72123785756</v>
      </c>
      <c r="I26" s="332">
        <f t="shared" si="0"/>
        <v>130212.25177407719</v>
      </c>
      <c r="J26" s="332">
        <f t="shared" si="0"/>
        <v>107575.61758879601</v>
      </c>
      <c r="K26" s="332">
        <f t="shared" si="0"/>
        <v>101997.02299775941</v>
      </c>
      <c r="L26" s="332">
        <f t="shared" si="0"/>
        <v>133179.89480575913</v>
      </c>
      <c r="M26" s="332">
        <f t="shared" si="0"/>
        <v>138525.95912996939</v>
      </c>
      <c r="N26" s="332">
        <f t="shared" si="0"/>
        <v>142428.25796901857</v>
      </c>
      <c r="O26" s="333">
        <f t="shared" si="0"/>
        <v>138906.71113020051</v>
      </c>
    </row>
    <row r="27" spans="2:15">
      <c r="B27" s="151"/>
      <c r="C27" s="94"/>
      <c r="D27" s="94"/>
      <c r="E27" s="94"/>
      <c r="F27" s="330"/>
      <c r="G27" s="330"/>
      <c r="H27" s="330"/>
      <c r="I27" s="330"/>
      <c r="J27" s="330"/>
      <c r="K27" s="330"/>
      <c r="L27" s="330"/>
      <c r="M27" s="330"/>
      <c r="N27" s="330"/>
      <c r="O27" s="331"/>
    </row>
    <row r="28" spans="2:15">
      <c r="B28" s="148" t="s">
        <v>176</v>
      </c>
      <c r="C28" s="94"/>
      <c r="D28" s="94"/>
      <c r="E28" s="94"/>
      <c r="F28" s="330"/>
      <c r="G28" s="330"/>
      <c r="H28" s="330"/>
      <c r="I28" s="330"/>
      <c r="J28" s="330"/>
      <c r="K28" s="330"/>
      <c r="L28" s="330"/>
      <c r="M28" s="330"/>
      <c r="N28" s="330"/>
      <c r="O28" s="331"/>
    </row>
    <row r="29" spans="2:15">
      <c r="B29" s="151" t="s">
        <v>177</v>
      </c>
      <c r="C29" s="94"/>
      <c r="D29" s="94" t="s">
        <v>40</v>
      </c>
      <c r="E29" s="94" t="s">
        <v>52</v>
      </c>
      <c r="F29" s="327">
        <v>-18952.01713</v>
      </c>
      <c r="G29" s="327">
        <v>-26342.658079999997</v>
      </c>
      <c r="H29" s="327">
        <v>-27618.650170000001</v>
      </c>
      <c r="I29" s="328">
        <v>-44489.900858394423</v>
      </c>
      <c r="J29" s="328">
        <v>-33107.242986481026</v>
      </c>
      <c r="K29" s="328">
        <v>-40279.562399160008</v>
      </c>
      <c r="L29" s="328">
        <v>-51439.338242258404</v>
      </c>
      <c r="M29" s="328">
        <v>-53821.603827721621</v>
      </c>
      <c r="N29" s="328">
        <v>-55218.935987001787</v>
      </c>
      <c r="O29" s="329">
        <v>-56641.9800792604</v>
      </c>
    </row>
    <row r="30" spans="2:15">
      <c r="B30" s="151" t="s">
        <v>166</v>
      </c>
      <c r="C30" s="94"/>
      <c r="D30" s="94" t="s">
        <v>40</v>
      </c>
      <c r="E30" s="94" t="s">
        <v>52</v>
      </c>
      <c r="F30" s="327">
        <v>-36500.000039999999</v>
      </c>
      <c r="G30" s="327">
        <v>-30108.383999999998</v>
      </c>
      <c r="H30" s="327">
        <v>-36901.847999999998</v>
      </c>
      <c r="I30" s="328">
        <v>-43979.16</v>
      </c>
      <c r="J30" s="328">
        <v>-46925.961284171208</v>
      </c>
      <c r="K30" s="328">
        <v>-41147.820000000007</v>
      </c>
      <c r="L30" s="328">
        <v>-42501.380400000009</v>
      </c>
      <c r="M30" s="328">
        <v>-43567.894440000011</v>
      </c>
      <c r="N30" s="328">
        <v>-44494.456368960011</v>
      </c>
      <c r="O30" s="329">
        <v>-45384.345496339214</v>
      </c>
    </row>
    <row r="31" spans="2:15">
      <c r="B31" s="151" t="s">
        <v>167</v>
      </c>
      <c r="C31" s="94"/>
      <c r="D31" s="94" t="s">
        <v>40</v>
      </c>
      <c r="E31" s="94" t="s">
        <v>52</v>
      </c>
      <c r="F31" s="327">
        <v>-23244.440739999998</v>
      </c>
      <c r="G31" s="327">
        <v>-12018.10216</v>
      </c>
      <c r="H31" s="327">
        <v>-12467.697769999999</v>
      </c>
      <c r="I31" s="328">
        <v>-18</v>
      </c>
      <c r="J31" s="328">
        <v>0</v>
      </c>
      <c r="K31" s="328">
        <v>0</v>
      </c>
      <c r="L31" s="328">
        <v>0</v>
      </c>
      <c r="M31" s="328">
        <v>0</v>
      </c>
      <c r="N31" s="328">
        <v>0</v>
      </c>
      <c r="O31" s="329">
        <v>0</v>
      </c>
    </row>
    <row r="32" spans="2:15">
      <c r="B32" s="151" t="s">
        <v>169</v>
      </c>
      <c r="C32" s="94"/>
      <c r="D32" s="94" t="s">
        <v>40</v>
      </c>
      <c r="E32" s="94" t="s">
        <v>52</v>
      </c>
      <c r="F32" s="327">
        <v>-339.58678999999995</v>
      </c>
      <c r="G32" s="327">
        <v>-1043.8497600000001</v>
      </c>
      <c r="H32" s="327">
        <v>-109.49776</v>
      </c>
      <c r="I32" s="328">
        <v>-150</v>
      </c>
      <c r="J32" s="328">
        <v>-155.37368811393685</v>
      </c>
      <c r="K32" s="328">
        <v>-156.06000000000003</v>
      </c>
      <c r="L32" s="328">
        <v>-159.18120000000002</v>
      </c>
      <c r="M32" s="328">
        <v>-162.36482400000003</v>
      </c>
      <c r="N32" s="328">
        <v>-165.61212048000004</v>
      </c>
      <c r="O32" s="329">
        <v>-168.92436288960005</v>
      </c>
    </row>
    <row r="33" spans="2:15">
      <c r="B33" s="201" t="s">
        <v>178</v>
      </c>
      <c r="C33" s="94"/>
      <c r="D33" s="94" t="s">
        <v>40</v>
      </c>
      <c r="E33" s="94" t="s">
        <v>52</v>
      </c>
      <c r="F33" s="327">
        <v>0</v>
      </c>
      <c r="G33" s="327">
        <v>-2296.40859</v>
      </c>
      <c r="H33" s="327">
        <v>-5766.5837000000001</v>
      </c>
      <c r="I33" s="328">
        <v>-5250</v>
      </c>
      <c r="J33" s="328">
        <v>-5512.6584542824794</v>
      </c>
      <c r="K33" s="328">
        <v>-5537.0088000000014</v>
      </c>
      <c r="L33" s="328">
        <v>-5647.7489760000008</v>
      </c>
      <c r="M33" s="328">
        <v>-5760.7039555200008</v>
      </c>
      <c r="N33" s="328">
        <v>-5875.9180346304011</v>
      </c>
      <c r="O33" s="329">
        <v>-5993.4363953230095</v>
      </c>
    </row>
    <row r="34" spans="2:15">
      <c r="B34" s="205" t="s">
        <v>179</v>
      </c>
      <c r="C34" s="94"/>
      <c r="D34" s="94" t="s">
        <v>40</v>
      </c>
      <c r="E34" s="94" t="s">
        <v>52</v>
      </c>
      <c r="F34" s="327">
        <v>-1927.3554299999998</v>
      </c>
      <c r="G34" s="327">
        <v>-4434.54324</v>
      </c>
      <c r="H34" s="327">
        <v>-3011.96515</v>
      </c>
      <c r="I34" s="328">
        <v>416</v>
      </c>
      <c r="J34" s="328">
        <v>296.41754125737543</v>
      </c>
      <c r="K34" s="328">
        <v>295.95999999999998</v>
      </c>
      <c r="L34" s="328">
        <v>293.87919999999997</v>
      </c>
      <c r="M34" s="328">
        <v>291.75678399999998</v>
      </c>
      <c r="N34" s="328">
        <v>289.59191967999999</v>
      </c>
      <c r="O34" s="329">
        <v>287.38375807360001</v>
      </c>
    </row>
    <row r="35" spans="2:15">
      <c r="B35" s="205" t="s">
        <v>180</v>
      </c>
      <c r="C35" s="94"/>
      <c r="D35" s="94" t="s">
        <v>40</v>
      </c>
      <c r="E35" s="94" t="s">
        <v>52</v>
      </c>
      <c r="F35" s="327">
        <v>-472.69722999999999</v>
      </c>
      <c r="G35" s="327">
        <v>-427.54716999999999</v>
      </c>
      <c r="H35" s="327">
        <v>-738.52643999999998</v>
      </c>
      <c r="I35" s="328">
        <v>-124</v>
      </c>
      <c r="J35" s="328">
        <v>-400</v>
      </c>
      <c r="K35" s="328">
        <v>-400</v>
      </c>
      <c r="L35" s="328">
        <v>-400</v>
      </c>
      <c r="M35" s="328">
        <v>-400</v>
      </c>
      <c r="N35" s="328">
        <v>-400</v>
      </c>
      <c r="O35" s="329">
        <v>-400</v>
      </c>
    </row>
    <row r="36" spans="2:15">
      <c r="B36" s="151"/>
      <c r="C36" s="94"/>
      <c r="D36" s="94"/>
      <c r="E36" s="94"/>
      <c r="F36" s="330"/>
      <c r="G36" s="330"/>
      <c r="H36" s="330"/>
      <c r="I36" s="330"/>
      <c r="J36" s="330"/>
      <c r="K36" s="330"/>
      <c r="L36" s="330"/>
      <c r="M36" s="330"/>
      <c r="N36" s="330"/>
      <c r="O36" s="331"/>
    </row>
    <row r="37" spans="2:15">
      <c r="B37" s="148" t="s">
        <v>181</v>
      </c>
      <c r="C37" s="94"/>
      <c r="D37" s="94"/>
      <c r="E37" s="94"/>
      <c r="F37" s="332">
        <f t="shared" ref="F37:O37" si="1">SUM(F29:F36)</f>
        <v>-81436.09736</v>
      </c>
      <c r="G37" s="332">
        <f t="shared" si="1"/>
        <v>-76671.493000000002</v>
      </c>
      <c r="H37" s="332">
        <f t="shared" si="1"/>
        <v>-86614.768990000011</v>
      </c>
      <c r="I37" s="332">
        <f t="shared" si="1"/>
        <v>-93595.060858394427</v>
      </c>
      <c r="J37" s="332">
        <f t="shared" si="1"/>
        <v>-85804.818871791271</v>
      </c>
      <c r="K37" s="332">
        <f t="shared" si="1"/>
        <v>-87224.491199159995</v>
      </c>
      <c r="L37" s="332">
        <f t="shared" si="1"/>
        <v>-99853.769618258419</v>
      </c>
      <c r="M37" s="332">
        <f t="shared" si="1"/>
        <v>-103420.81026324164</v>
      </c>
      <c r="N37" s="332">
        <f t="shared" si="1"/>
        <v>-105865.33059139221</v>
      </c>
      <c r="O37" s="333">
        <f t="shared" si="1"/>
        <v>-108301.30257573862</v>
      </c>
    </row>
    <row r="38" spans="2:15">
      <c r="B38" s="151"/>
      <c r="C38" s="94"/>
      <c r="D38" s="94"/>
      <c r="E38" s="94"/>
      <c r="F38" s="330"/>
      <c r="G38" s="330"/>
      <c r="H38" s="330"/>
      <c r="I38" s="330"/>
      <c r="J38" s="330"/>
      <c r="K38" s="330"/>
      <c r="L38" s="330"/>
      <c r="M38" s="330"/>
      <c r="N38" s="330"/>
      <c r="O38" s="331"/>
    </row>
    <row r="39" spans="2:15">
      <c r="B39" s="148" t="s">
        <v>182</v>
      </c>
      <c r="C39" s="94"/>
      <c r="D39" s="94"/>
      <c r="E39" s="94"/>
      <c r="F39" s="332">
        <f t="shared" ref="F39:O39" si="2">F26+F37</f>
        <v>13636.927320000003</v>
      </c>
      <c r="G39" s="332">
        <f t="shared" si="2"/>
        <v>21553.723609999986</v>
      </c>
      <c r="H39" s="332">
        <f t="shared" si="2"/>
        <v>26687.952247857553</v>
      </c>
      <c r="I39" s="332">
        <f t="shared" si="2"/>
        <v>36617.190915682761</v>
      </c>
      <c r="J39" s="332">
        <f t="shared" si="2"/>
        <v>21770.798717004742</v>
      </c>
      <c r="K39" s="332">
        <f t="shared" si="2"/>
        <v>14772.531798599419</v>
      </c>
      <c r="L39" s="332">
        <f t="shared" si="2"/>
        <v>33326.125187500715</v>
      </c>
      <c r="M39" s="332">
        <f t="shared" si="2"/>
        <v>35105.148866727744</v>
      </c>
      <c r="N39" s="332">
        <f t="shared" si="2"/>
        <v>36562.927377626358</v>
      </c>
      <c r="O39" s="333">
        <f t="shared" si="2"/>
        <v>30605.408554461887</v>
      </c>
    </row>
    <row r="40" spans="2:15">
      <c r="B40" s="151"/>
      <c r="C40" s="94"/>
      <c r="D40" s="94"/>
      <c r="E40" s="94"/>
      <c r="F40" s="330"/>
      <c r="G40" s="330"/>
      <c r="H40" s="330"/>
      <c r="I40" s="330"/>
      <c r="J40" s="330"/>
      <c r="K40" s="330"/>
      <c r="L40" s="330"/>
      <c r="M40" s="330"/>
      <c r="N40" s="330"/>
      <c r="O40" s="331"/>
    </row>
    <row r="41" spans="2:15">
      <c r="B41" s="148" t="s">
        <v>183</v>
      </c>
      <c r="C41" s="94"/>
      <c r="D41" s="94"/>
      <c r="E41" s="94"/>
      <c r="F41" s="330"/>
      <c r="G41" s="330"/>
      <c r="H41" s="330"/>
      <c r="I41" s="330"/>
      <c r="J41" s="330"/>
      <c r="K41" s="330"/>
      <c r="L41" s="330"/>
      <c r="M41" s="330"/>
      <c r="N41" s="330"/>
      <c r="O41" s="331"/>
    </row>
    <row r="42" spans="2:15">
      <c r="B42" s="151" t="s">
        <v>184</v>
      </c>
      <c r="C42" s="94"/>
      <c r="D42" s="94" t="s">
        <v>40</v>
      </c>
      <c r="E42" s="94" t="s">
        <v>52</v>
      </c>
      <c r="F42" s="327">
        <v>-8051.584223043963</v>
      </c>
      <c r="G42" s="327">
        <v>-8343.5367939994594</v>
      </c>
      <c r="H42" s="327">
        <v>-8694.0716634034088</v>
      </c>
      <c r="I42" s="328">
        <v>-9013.3924413686382</v>
      </c>
      <c r="J42" s="328">
        <v>-8689.3743106294987</v>
      </c>
      <c r="K42" s="328">
        <v>-10928.666319354999</v>
      </c>
      <c r="L42" s="328">
        <v>-11130.922371337911</v>
      </c>
      <c r="M42" s="328">
        <v>-11412.438067354216</v>
      </c>
      <c r="N42" s="328">
        <v>-11529.069466379007</v>
      </c>
      <c r="O42" s="329">
        <v>-11767.191434109216</v>
      </c>
    </row>
    <row r="43" spans="2:15">
      <c r="B43" s="151" t="s">
        <v>185</v>
      </c>
      <c r="C43" s="94"/>
      <c r="D43" s="94" t="s">
        <v>40</v>
      </c>
      <c r="E43" s="94" t="s">
        <v>52</v>
      </c>
      <c r="F43" s="327">
        <v>-1920.2023399999996</v>
      </c>
      <c r="G43" s="327">
        <v>-2275.5032500000002</v>
      </c>
      <c r="H43" s="327">
        <v>-2303.1195599999996</v>
      </c>
      <c r="I43" s="328">
        <v>-2713.8687999999997</v>
      </c>
      <c r="J43" s="328">
        <v>-2979.6644327999998</v>
      </c>
      <c r="K43" s="328">
        <v>-3870.7255194120003</v>
      </c>
      <c r="L43" s="328">
        <v>-4325.2270285614477</v>
      </c>
      <c r="M43" s="328">
        <v>-4845.0120538579558</v>
      </c>
      <c r="N43" s="328">
        <v>-5306.5814553692471</v>
      </c>
      <c r="O43" s="329">
        <v>-5397.103565658721</v>
      </c>
    </row>
    <row r="44" spans="2:15">
      <c r="B44" s="151" t="s">
        <v>19</v>
      </c>
      <c r="C44" s="94"/>
      <c r="D44" s="94" t="s">
        <v>40</v>
      </c>
      <c r="E44" s="94" t="s">
        <v>52</v>
      </c>
      <c r="F44" s="327">
        <v>-1729.8302799999999</v>
      </c>
      <c r="G44" s="327">
        <v>-877.59519000000034</v>
      </c>
      <c r="H44" s="327">
        <v>-1025.9778499999998</v>
      </c>
      <c r="I44" s="328">
        <v>-766.25711480979544</v>
      </c>
      <c r="J44" s="328">
        <v>-771.4246331999999</v>
      </c>
      <c r="K44" s="328">
        <v>-622.83220354800005</v>
      </c>
      <c r="L44" s="328">
        <v>-585.40862269296019</v>
      </c>
      <c r="M44" s="328">
        <v>-577.73476488985932</v>
      </c>
      <c r="N44" s="328">
        <v>-1030.9217814676565</v>
      </c>
      <c r="O44" s="329">
        <v>-713.69149131780966</v>
      </c>
    </row>
    <row r="45" spans="2:15">
      <c r="B45" s="151" t="s">
        <v>186</v>
      </c>
      <c r="C45" s="94"/>
      <c r="D45" s="94" t="s">
        <v>40</v>
      </c>
      <c r="E45" s="94" t="s">
        <v>52</v>
      </c>
      <c r="F45" s="327">
        <v>-410.92299000000014</v>
      </c>
      <c r="G45" s="327">
        <v>-512.83535000000006</v>
      </c>
      <c r="H45" s="327">
        <v>-541.19416999999999</v>
      </c>
      <c r="I45" s="328">
        <v>-644.17241999999999</v>
      </c>
      <c r="J45" s="328">
        <v>-722.306719524409</v>
      </c>
      <c r="K45" s="328">
        <v>-1060.7998260103866</v>
      </c>
      <c r="L45" s="328">
        <v>-1119.1871698497014</v>
      </c>
      <c r="M45" s="328">
        <v>-1170.7297297362702</v>
      </c>
      <c r="N45" s="328">
        <v>-1237.1434810885021</v>
      </c>
      <c r="O45" s="329">
        <v>-1286.6316087646615</v>
      </c>
    </row>
    <row r="46" spans="2:15" s="7" customFormat="1">
      <c r="B46" s="201" t="s">
        <v>24</v>
      </c>
      <c r="C46" s="199"/>
      <c r="D46" s="199" t="s">
        <v>40</v>
      </c>
      <c r="E46" s="199" t="s">
        <v>52</v>
      </c>
      <c r="F46" s="202">
        <v>898.58104000000014</v>
      </c>
      <c r="G46" s="202">
        <v>227.32916</v>
      </c>
      <c r="H46" s="202">
        <v>231.04359999999997</v>
      </c>
      <c r="I46" s="203">
        <v>191.88140070314014</v>
      </c>
      <c r="J46" s="203">
        <v>195.71902871720295</v>
      </c>
      <c r="K46" s="203">
        <v>199.63340929154705</v>
      </c>
      <c r="L46" s="203">
        <v>203.62607747737798</v>
      </c>
      <c r="M46" s="203">
        <v>207.69859902692554</v>
      </c>
      <c r="N46" s="203">
        <v>211.85257100746406</v>
      </c>
      <c r="O46" s="204">
        <v>216.08962242761336</v>
      </c>
    </row>
    <row r="47" spans="2:15" s="7" customFormat="1">
      <c r="B47" s="201" t="s">
        <v>25</v>
      </c>
      <c r="C47" s="199"/>
      <c r="D47" s="199" t="s">
        <v>40</v>
      </c>
      <c r="E47" s="199" t="s">
        <v>52</v>
      </c>
      <c r="F47" s="202">
        <v>-1159.113339</v>
      </c>
      <c r="G47" s="202">
        <v>-434.20782500000001</v>
      </c>
      <c r="H47" s="202">
        <v>-272.34709399999997</v>
      </c>
      <c r="I47" s="203">
        <v>-267.2952627286603</v>
      </c>
      <c r="J47" s="203">
        <v>-272.64116798323352</v>
      </c>
      <c r="K47" s="203">
        <v>-278.09399134289822</v>
      </c>
      <c r="L47" s="203">
        <v>-283.65587116975621</v>
      </c>
      <c r="M47" s="203">
        <v>-289.32898859315134</v>
      </c>
      <c r="N47" s="203">
        <v>-295.11556836501438</v>
      </c>
      <c r="O47" s="204">
        <v>-301.01787973231467</v>
      </c>
    </row>
    <row r="48" spans="2:15">
      <c r="B48" s="151" t="s">
        <v>187</v>
      </c>
      <c r="C48" s="94"/>
      <c r="D48" s="94" t="s">
        <v>40</v>
      </c>
      <c r="E48" s="94" t="s">
        <v>52</v>
      </c>
      <c r="F48" s="327"/>
      <c r="G48" s="327"/>
      <c r="H48" s="327"/>
      <c r="I48" s="328"/>
      <c r="J48" s="328"/>
      <c r="K48" s="328"/>
      <c r="L48" s="328"/>
      <c r="M48" s="328"/>
      <c r="N48" s="328"/>
      <c r="O48" s="329"/>
    </row>
    <row r="49" spans="2:15">
      <c r="B49" s="151" t="s">
        <v>188</v>
      </c>
      <c r="C49" s="94"/>
      <c r="D49" s="94" t="s">
        <v>40</v>
      </c>
      <c r="E49" s="94" t="s">
        <v>52</v>
      </c>
      <c r="F49" s="327">
        <v>-317.07953999999995</v>
      </c>
      <c r="G49" s="327">
        <v>-894.31104000000005</v>
      </c>
      <c r="H49" s="327">
        <v>-388.13506000000007</v>
      </c>
      <c r="I49" s="328">
        <v>-120.70231333333342</v>
      </c>
      <c r="J49" s="328">
        <v>-307.18666976800006</v>
      </c>
      <c r="K49" s="328">
        <v>-1103.7024410041347</v>
      </c>
      <c r="L49" s="328">
        <v>-1141.4853887081172</v>
      </c>
      <c r="M49" s="328">
        <v>-1002.2911954455204</v>
      </c>
      <c r="N49" s="328">
        <v>-912.29059011383697</v>
      </c>
      <c r="O49" s="329">
        <v>-818.30379945474772</v>
      </c>
    </row>
    <row r="50" spans="2:15">
      <c r="B50" s="151" t="s">
        <v>17</v>
      </c>
      <c r="C50" s="94"/>
      <c r="D50" s="94" t="s">
        <v>40</v>
      </c>
      <c r="E50" s="94" t="s">
        <v>52</v>
      </c>
      <c r="F50" s="327">
        <v>-268</v>
      </c>
      <c r="G50" s="327">
        <v>-75</v>
      </c>
      <c r="H50" s="327">
        <v>-75</v>
      </c>
      <c r="I50" s="328">
        <v>-75</v>
      </c>
      <c r="J50" s="328">
        <v>-76.5</v>
      </c>
      <c r="K50" s="328">
        <v>-973.81440000000021</v>
      </c>
      <c r="L50" s="328">
        <v>-993.29068800000016</v>
      </c>
      <c r="M50" s="328">
        <v>-1013.1565017600002</v>
      </c>
      <c r="N50" s="328">
        <v>-1033.4196317952003</v>
      </c>
      <c r="O50" s="329">
        <v>-1054.0880244311043</v>
      </c>
    </row>
    <row r="51" spans="2:15">
      <c r="B51" s="151" t="s">
        <v>189</v>
      </c>
      <c r="C51" s="94"/>
      <c r="D51" s="94" t="s">
        <v>40</v>
      </c>
      <c r="E51" s="94" t="s">
        <v>52</v>
      </c>
      <c r="F51" s="327">
        <v>-2027.8785699999999</v>
      </c>
      <c r="G51" s="327">
        <v>-2080.43687</v>
      </c>
      <c r="H51" s="327">
        <v>-1236.34437</v>
      </c>
      <c r="I51" s="328">
        <v>-5392.898110599599</v>
      </c>
      <c r="J51" s="328">
        <v>-5534.9951227429183</v>
      </c>
      <c r="K51" s="328">
        <v>-5881.3580896485528</v>
      </c>
      <c r="L51" s="328">
        <v>-7415.3495073180839</v>
      </c>
      <c r="M51" s="328">
        <v>-8913.3793657623955</v>
      </c>
      <c r="N51" s="328">
        <v>-4913.2797893184788</v>
      </c>
      <c r="O51" s="329">
        <v>-5441.7844292897807</v>
      </c>
    </row>
    <row r="52" spans="2:15">
      <c r="B52" s="205" t="s">
        <v>190</v>
      </c>
      <c r="C52" s="199"/>
      <c r="D52" s="199" t="s">
        <v>40</v>
      </c>
      <c r="E52" s="199" t="s">
        <v>52</v>
      </c>
      <c r="F52" s="327">
        <v>-160.48913999999999</v>
      </c>
      <c r="G52" s="327">
        <v>-280.57574</v>
      </c>
      <c r="H52" s="327">
        <v>-287.89359999999999</v>
      </c>
      <c r="I52" s="328">
        <v>-325.25968435003045</v>
      </c>
      <c r="J52" s="328">
        <v>-336.91197834826119</v>
      </c>
      <c r="K52" s="328">
        <v>-338.40017559777175</v>
      </c>
      <c r="L52" s="328">
        <v>-345.16817910972719</v>
      </c>
      <c r="M52" s="328">
        <v>-352.07154269192171</v>
      </c>
      <c r="N52" s="328">
        <v>-359.11297354576016</v>
      </c>
      <c r="O52" s="329">
        <v>-366.29523301667541</v>
      </c>
    </row>
    <row r="53" spans="2:15">
      <c r="B53" s="205" t="s">
        <v>191</v>
      </c>
      <c r="C53" s="199"/>
      <c r="D53" s="199" t="s">
        <v>40</v>
      </c>
      <c r="E53" s="199" t="s">
        <v>52</v>
      </c>
      <c r="F53" s="327">
        <v>-412.73894999999999</v>
      </c>
      <c r="G53" s="327">
        <v>-2137.97417</v>
      </c>
      <c r="H53" s="327">
        <v>-75.616799999999998</v>
      </c>
      <c r="I53" s="328">
        <v>0</v>
      </c>
      <c r="J53" s="328">
        <v>0</v>
      </c>
      <c r="K53" s="328">
        <v>0</v>
      </c>
      <c r="L53" s="328">
        <v>0</v>
      </c>
      <c r="M53" s="328">
        <v>0</v>
      </c>
      <c r="N53" s="328">
        <v>0</v>
      </c>
      <c r="O53" s="329">
        <v>0</v>
      </c>
    </row>
    <row r="54" spans="2:15">
      <c r="B54" s="205" t="s">
        <v>192</v>
      </c>
      <c r="C54" s="199"/>
      <c r="D54" s="199" t="s">
        <v>40</v>
      </c>
      <c r="E54" s="199" t="s">
        <v>52</v>
      </c>
      <c r="F54" s="327">
        <v>-43</v>
      </c>
      <c r="G54" s="327">
        <v>-50.187829999999998</v>
      </c>
      <c r="H54" s="327">
        <v>-72.651420000000002</v>
      </c>
      <c r="I54" s="328">
        <v>-75</v>
      </c>
      <c r="J54" s="328">
        <v>-77.686844056968425</v>
      </c>
      <c r="K54" s="328">
        <v>-78.030000000000015</v>
      </c>
      <c r="L54" s="328">
        <v>-79.590600000000009</v>
      </c>
      <c r="M54" s="328">
        <v>-81.182412000000014</v>
      </c>
      <c r="N54" s="328">
        <v>-82.806060240000022</v>
      </c>
      <c r="O54" s="329">
        <v>-84.462181444800024</v>
      </c>
    </row>
    <row r="55" spans="2:15">
      <c r="B55" s="205" t="s">
        <v>193</v>
      </c>
      <c r="C55" s="199"/>
      <c r="D55" s="199" t="s">
        <v>40</v>
      </c>
      <c r="E55" s="199" t="s">
        <v>52</v>
      </c>
      <c r="F55" s="327">
        <v>0</v>
      </c>
      <c r="G55" s="327">
        <v>0</v>
      </c>
      <c r="H55" s="327">
        <v>-80.864829999999998</v>
      </c>
      <c r="I55" s="328">
        <v>-135</v>
      </c>
      <c r="J55" s="328">
        <v>-139.83631930254316</v>
      </c>
      <c r="K55" s="328">
        <v>-140.45400000000004</v>
      </c>
      <c r="L55" s="328">
        <v>-143.26308000000003</v>
      </c>
      <c r="M55" s="328">
        <v>-146.12834160000003</v>
      </c>
      <c r="N55" s="328">
        <v>-149.05090843200003</v>
      </c>
      <c r="O55" s="329">
        <v>-152.03192660064005</v>
      </c>
    </row>
    <row r="56" spans="2:15">
      <c r="B56" s="205" t="s">
        <v>194</v>
      </c>
      <c r="C56" s="199"/>
      <c r="D56" s="199" t="s">
        <v>40</v>
      </c>
      <c r="E56" s="199" t="s">
        <v>52</v>
      </c>
      <c r="F56" s="327">
        <v>-1.6452400000000003</v>
      </c>
      <c r="G56" s="327">
        <v>-1.68529</v>
      </c>
      <c r="H56" s="327">
        <v>-1.716</v>
      </c>
      <c r="I56" s="328">
        <v>-1452.2439999999999</v>
      </c>
      <c r="J56" s="328">
        <v>-1.8763371969657774</v>
      </c>
      <c r="K56" s="328">
        <v>-1.8846252960395133</v>
      </c>
      <c r="L56" s="328">
        <v>-1.9223178019603036</v>
      </c>
      <c r="M56" s="328">
        <v>-1.9607641579995096</v>
      </c>
      <c r="N56" s="328">
        <v>-1.9999794411595</v>
      </c>
      <c r="O56" s="329">
        <v>-2.0399790299826899</v>
      </c>
    </row>
    <row r="57" spans="2:15">
      <c r="B57" s="205" t="s">
        <v>195</v>
      </c>
      <c r="C57" s="199"/>
      <c r="D57" s="199" t="s">
        <v>40</v>
      </c>
      <c r="E57" s="199" t="s">
        <v>52</v>
      </c>
      <c r="F57" s="327">
        <v>0</v>
      </c>
      <c r="G57" s="327">
        <v>0</v>
      </c>
      <c r="H57" s="327">
        <v>0</v>
      </c>
      <c r="I57" s="328">
        <v>-113.789</v>
      </c>
      <c r="J57" s="328">
        <v>-156.02203247673853</v>
      </c>
      <c r="K57" s="328">
        <v>0</v>
      </c>
      <c r="L57" s="328">
        <v>0</v>
      </c>
      <c r="M57" s="328">
        <v>0</v>
      </c>
      <c r="N57" s="328">
        <v>0</v>
      </c>
      <c r="O57" s="329">
        <v>0</v>
      </c>
    </row>
    <row r="58" spans="2:15">
      <c r="B58" s="205" t="s">
        <v>196</v>
      </c>
      <c r="C58" s="199"/>
      <c r="D58" s="199" t="s">
        <v>40</v>
      </c>
      <c r="E58" s="199" t="s">
        <v>52</v>
      </c>
      <c r="F58" s="327">
        <v>0</v>
      </c>
      <c r="G58" s="327">
        <v>0</v>
      </c>
      <c r="H58" s="327">
        <v>0</v>
      </c>
      <c r="I58" s="328">
        <v>0</v>
      </c>
      <c r="J58" s="328">
        <v>-188.80686228949853</v>
      </c>
      <c r="K58" s="328">
        <v>0</v>
      </c>
      <c r="L58" s="328">
        <v>0</v>
      </c>
      <c r="M58" s="328">
        <v>0</v>
      </c>
      <c r="N58" s="328">
        <v>0</v>
      </c>
      <c r="O58" s="329">
        <v>0</v>
      </c>
    </row>
    <row r="59" spans="2:15">
      <c r="B59" s="205" t="s">
        <v>197</v>
      </c>
      <c r="C59" s="199"/>
      <c r="D59" s="199" t="s">
        <v>40</v>
      </c>
      <c r="E59" s="199" t="s">
        <v>52</v>
      </c>
      <c r="F59" s="327">
        <v>0</v>
      </c>
      <c r="G59" s="327">
        <v>0</v>
      </c>
      <c r="H59" s="327">
        <v>0</v>
      </c>
      <c r="I59" s="328">
        <v>-33.133690000000001</v>
      </c>
      <c r="J59" s="328">
        <v>-300.04237014757416</v>
      </c>
      <c r="K59" s="328">
        <v>0</v>
      </c>
      <c r="L59" s="328">
        <v>0</v>
      </c>
      <c r="M59" s="328">
        <v>0</v>
      </c>
      <c r="N59" s="328">
        <v>0</v>
      </c>
      <c r="O59" s="329">
        <v>0</v>
      </c>
    </row>
    <row r="60" spans="2:15">
      <c r="B60" s="205" t="s">
        <v>198</v>
      </c>
      <c r="C60" s="199"/>
      <c r="D60" s="199" t="s">
        <v>40</v>
      </c>
      <c r="E60" s="199" t="s">
        <v>52</v>
      </c>
      <c r="F60" s="327">
        <v>0</v>
      </c>
      <c r="G60" s="327">
        <v>0</v>
      </c>
      <c r="H60" s="327">
        <v>0</v>
      </c>
      <c r="I60" s="328">
        <v>-1100</v>
      </c>
      <c r="J60" s="328">
        <v>-1304.0033433730466</v>
      </c>
      <c r="K60" s="328">
        <v>0</v>
      </c>
      <c r="L60" s="328">
        <v>0</v>
      </c>
      <c r="M60" s="328">
        <v>0</v>
      </c>
      <c r="N60" s="328">
        <v>0</v>
      </c>
      <c r="O60" s="329">
        <v>0</v>
      </c>
    </row>
    <row r="61" spans="2:15" s="7" customFormat="1">
      <c r="B61" s="205" t="s">
        <v>199</v>
      </c>
      <c r="C61" s="199"/>
      <c r="D61" s="199" t="s">
        <v>40</v>
      </c>
      <c r="E61" s="199" t="s">
        <v>52</v>
      </c>
      <c r="F61" s="202">
        <v>-169</v>
      </c>
      <c r="G61" s="202">
        <v>-173</v>
      </c>
      <c r="H61" s="202">
        <v>-179</v>
      </c>
      <c r="I61" s="203">
        <v>-134</v>
      </c>
      <c r="J61" s="203">
        <v>-148.12291600195314</v>
      </c>
      <c r="K61" s="203">
        <v>-148.77720000000002</v>
      </c>
      <c r="L61" s="203">
        <v>-151.75274400000004</v>
      </c>
      <c r="M61" s="203">
        <v>-154.78779888000003</v>
      </c>
      <c r="N61" s="203">
        <v>-157.88355485760005</v>
      </c>
      <c r="O61" s="204">
        <v>0</v>
      </c>
    </row>
    <row r="62" spans="2:15">
      <c r="B62" s="151"/>
      <c r="C62" s="94"/>
      <c r="D62" s="94"/>
      <c r="E62" s="94"/>
      <c r="F62" s="330"/>
      <c r="G62" s="330"/>
      <c r="H62" s="330"/>
      <c r="I62" s="330"/>
      <c r="J62" s="330"/>
      <c r="K62" s="330"/>
      <c r="L62" s="330"/>
      <c r="M62" s="330"/>
      <c r="N62" s="330"/>
      <c r="O62" s="331"/>
    </row>
    <row r="63" spans="2:15">
      <c r="B63" s="148" t="s">
        <v>200</v>
      </c>
      <c r="C63" s="94"/>
      <c r="D63" s="94" t="s">
        <v>40</v>
      </c>
      <c r="E63" s="94" t="s">
        <v>52</v>
      </c>
      <c r="F63" s="332">
        <f t="shared" ref="F63:O63" si="3">SUM(F42:F62)</f>
        <v>-15772.903572043962</v>
      </c>
      <c r="G63" s="332">
        <f t="shared" si="3"/>
        <v>-17909.520188999461</v>
      </c>
      <c r="H63" s="332">
        <f t="shared" si="3"/>
        <v>-15002.888817403409</v>
      </c>
      <c r="I63" s="332">
        <f t="shared" si="3"/>
        <v>-22170.131436486914</v>
      </c>
      <c r="J63" s="332">
        <f t="shared" si="3"/>
        <v>-21811.683031124401</v>
      </c>
      <c r="K63" s="332">
        <f t="shared" si="3"/>
        <v>-25227.905381923232</v>
      </c>
      <c r="L63" s="332">
        <f t="shared" si="3"/>
        <v>-27512.597491072291</v>
      </c>
      <c r="M63" s="332">
        <f t="shared" si="3"/>
        <v>-29752.502927702368</v>
      </c>
      <c r="N63" s="332">
        <f t="shared" si="3"/>
        <v>-26796.822669405996</v>
      </c>
      <c r="O63" s="333">
        <f t="shared" si="3"/>
        <v>-27168.551930422836</v>
      </c>
    </row>
    <row r="64" spans="2:15">
      <c r="B64" s="151"/>
      <c r="C64" s="94"/>
      <c r="D64" s="94"/>
      <c r="E64" s="94"/>
      <c r="F64" s="330"/>
      <c r="G64" s="330"/>
      <c r="H64" s="330"/>
      <c r="I64" s="330"/>
      <c r="J64" s="330"/>
      <c r="K64" s="330"/>
      <c r="L64" s="330"/>
      <c r="M64" s="330"/>
      <c r="N64" s="330"/>
      <c r="O64" s="331"/>
    </row>
    <row r="65" spans="2:15">
      <c r="B65" s="148" t="s">
        <v>201</v>
      </c>
      <c r="C65" s="94"/>
      <c r="D65" s="94" t="s">
        <v>40</v>
      </c>
      <c r="E65" s="94" t="s">
        <v>52</v>
      </c>
      <c r="F65" s="332">
        <f t="shared" ref="F65:N65" si="4">F39+F63</f>
        <v>-2135.9762520439599</v>
      </c>
      <c r="G65" s="332">
        <f t="shared" si="4"/>
        <v>3644.2034210005259</v>
      </c>
      <c r="H65" s="332">
        <f t="shared" si="4"/>
        <v>11685.063430454144</v>
      </c>
      <c r="I65" s="332">
        <f t="shared" si="4"/>
        <v>14447.059479195847</v>
      </c>
      <c r="J65" s="332">
        <f t="shared" si="4"/>
        <v>-40.884314119659393</v>
      </c>
      <c r="K65" s="332">
        <f t="shared" si="4"/>
        <v>-10455.373583323813</v>
      </c>
      <c r="L65" s="332">
        <f t="shared" si="4"/>
        <v>5813.527696428424</v>
      </c>
      <c r="M65" s="332">
        <f t="shared" si="4"/>
        <v>5352.6459390253767</v>
      </c>
      <c r="N65" s="332">
        <f t="shared" si="4"/>
        <v>9766.1047082203622</v>
      </c>
      <c r="O65" s="333">
        <f>O39+O63</f>
        <v>3436.8566240390501</v>
      </c>
    </row>
    <row r="66" spans="2:15">
      <c r="B66" s="151"/>
      <c r="C66" s="94"/>
      <c r="D66" s="94"/>
      <c r="E66" s="94"/>
      <c r="F66" s="330"/>
      <c r="G66" s="330"/>
      <c r="H66" s="330"/>
      <c r="I66" s="330"/>
      <c r="J66" s="330"/>
      <c r="K66" s="330"/>
      <c r="L66" s="330"/>
      <c r="M66" s="330"/>
      <c r="N66" s="330"/>
      <c r="O66" s="331"/>
    </row>
    <row r="67" spans="2:15">
      <c r="B67" s="151" t="s">
        <v>202</v>
      </c>
      <c r="C67" s="94"/>
      <c r="D67" s="94" t="s">
        <v>40</v>
      </c>
      <c r="E67" s="94" t="s">
        <v>52</v>
      </c>
      <c r="F67" s="327">
        <v>329.08461999999997</v>
      </c>
      <c r="G67" s="327">
        <v>9.0581800000000001</v>
      </c>
      <c r="H67" s="327">
        <v>20.000299999999999</v>
      </c>
      <c r="I67" s="328">
        <v>25.046920344635712</v>
      </c>
      <c r="J67" s="328">
        <v>60.576350949510143</v>
      </c>
      <c r="K67" s="328">
        <v>2.0808312120000006E-17</v>
      </c>
      <c r="L67" s="328">
        <v>2.12244783624E-23</v>
      </c>
      <c r="M67" s="328">
        <v>8.8735074724349108</v>
      </c>
      <c r="N67" s="328">
        <v>25.424289396859304</v>
      </c>
      <c r="O67" s="329">
        <v>30.516865630045743</v>
      </c>
    </row>
    <row r="68" spans="2:15">
      <c r="B68" s="151" t="s">
        <v>203</v>
      </c>
      <c r="C68" s="94"/>
      <c r="D68" s="94" t="s">
        <v>40</v>
      </c>
      <c r="E68" s="94" t="s">
        <v>52</v>
      </c>
      <c r="F68" s="327">
        <v>-388.32173</v>
      </c>
      <c r="G68" s="327">
        <v>-482.1388</v>
      </c>
      <c r="H68" s="327">
        <v>-647.52929999999992</v>
      </c>
      <c r="I68" s="328">
        <v>-804.31372021415086</v>
      </c>
      <c r="J68" s="328">
        <v>-1651.795045087671</v>
      </c>
      <c r="K68" s="328">
        <v>-1295.1347802681366</v>
      </c>
      <c r="L68" s="328">
        <v>-1347.8009019423923</v>
      </c>
      <c r="M68" s="328">
        <v>-1277.8524332813497</v>
      </c>
      <c r="N68" s="328">
        <v>-990.5504770566007</v>
      </c>
      <c r="O68" s="329">
        <v>-781.21205862579041</v>
      </c>
    </row>
    <row r="69" spans="2:15">
      <c r="B69" s="151" t="s">
        <v>511</v>
      </c>
      <c r="C69" s="94"/>
      <c r="D69" s="94" t="s">
        <v>40</v>
      </c>
      <c r="E69" s="94" t="s">
        <v>52</v>
      </c>
      <c r="F69" s="327">
        <v>0</v>
      </c>
      <c r="G69" s="327">
        <v>0</v>
      </c>
      <c r="H69" s="327">
        <v>-93.007720000000006</v>
      </c>
      <c r="I69" s="328">
        <v>-150</v>
      </c>
      <c r="J69" s="328">
        <v>0</v>
      </c>
      <c r="K69" s="328">
        <v>0</v>
      </c>
      <c r="L69" s="328">
        <v>0</v>
      </c>
      <c r="M69" s="328">
        <v>0</v>
      </c>
      <c r="N69" s="328">
        <v>0</v>
      </c>
      <c r="O69" s="329">
        <v>0</v>
      </c>
    </row>
    <row r="70" spans="2:15">
      <c r="B70" s="151"/>
      <c r="C70" s="94"/>
      <c r="D70" s="94"/>
      <c r="E70" s="94"/>
      <c r="F70" s="330"/>
      <c r="G70" s="330"/>
      <c r="H70" s="330"/>
      <c r="I70" s="330"/>
      <c r="J70" s="330"/>
      <c r="K70" s="330"/>
      <c r="L70" s="330"/>
      <c r="M70" s="330"/>
      <c r="N70" s="330"/>
      <c r="O70" s="331"/>
    </row>
    <row r="71" spans="2:15">
      <c r="B71" s="151" t="s">
        <v>205</v>
      </c>
      <c r="C71" s="94"/>
      <c r="D71" s="94" t="s">
        <v>40</v>
      </c>
      <c r="E71" s="94" t="s">
        <v>52</v>
      </c>
      <c r="F71" s="332">
        <f t="shared" ref="F71:O71" si="5">SUM(F67:F69)</f>
        <v>-59.23711000000003</v>
      </c>
      <c r="G71" s="332">
        <f t="shared" si="5"/>
        <v>-473.08062000000001</v>
      </c>
      <c r="H71" s="332">
        <f t="shared" si="5"/>
        <v>-720.53671999999983</v>
      </c>
      <c r="I71" s="332">
        <f t="shared" si="5"/>
        <v>-929.26679986951513</v>
      </c>
      <c r="J71" s="332">
        <f t="shared" si="5"/>
        <v>-1591.2186941381608</v>
      </c>
      <c r="K71" s="332">
        <f t="shared" si="5"/>
        <v>-1295.1347802681366</v>
      </c>
      <c r="L71" s="332">
        <f t="shared" si="5"/>
        <v>-1347.8009019423923</v>
      </c>
      <c r="M71" s="332">
        <f t="shared" si="5"/>
        <v>-1268.9789258089147</v>
      </c>
      <c r="N71" s="332">
        <f t="shared" si="5"/>
        <v>-965.12618765974139</v>
      </c>
      <c r="O71" s="333">
        <f t="shared" si="5"/>
        <v>-750.69519299574472</v>
      </c>
    </row>
    <row r="72" spans="2:15">
      <c r="B72" s="151"/>
      <c r="C72" s="94"/>
      <c r="D72" s="94"/>
      <c r="E72" s="94"/>
      <c r="F72" s="330"/>
      <c r="G72" s="330"/>
      <c r="H72" s="330"/>
      <c r="I72" s="330"/>
      <c r="J72" s="330"/>
      <c r="K72" s="330"/>
      <c r="L72" s="330"/>
      <c r="M72" s="330"/>
      <c r="N72" s="330"/>
      <c r="O72" s="331"/>
    </row>
    <row r="73" spans="2:15">
      <c r="B73" s="148" t="s">
        <v>206</v>
      </c>
      <c r="C73" s="94"/>
      <c r="D73" s="94" t="s">
        <v>40</v>
      </c>
      <c r="E73" s="94" t="s">
        <v>52</v>
      </c>
      <c r="F73" s="332">
        <f t="shared" ref="F73:O73" si="6">F65+F71</f>
        <v>-2195.2133620439599</v>
      </c>
      <c r="G73" s="332">
        <f t="shared" si="6"/>
        <v>3171.1228010005257</v>
      </c>
      <c r="H73" s="332">
        <f t="shared" si="6"/>
        <v>10964.526710454144</v>
      </c>
      <c r="I73" s="332">
        <f t="shared" si="6"/>
        <v>13517.792679326332</v>
      </c>
      <c r="J73" s="332">
        <f t="shared" si="6"/>
        <v>-1632.1030082578202</v>
      </c>
      <c r="K73" s="332">
        <f t="shared" si="6"/>
        <v>-11750.508363591951</v>
      </c>
      <c r="L73" s="332">
        <f t="shared" si="6"/>
        <v>4465.7267944860314</v>
      </c>
      <c r="M73" s="332">
        <f t="shared" si="6"/>
        <v>4083.6670132164618</v>
      </c>
      <c r="N73" s="332">
        <f t="shared" si="6"/>
        <v>8800.9785205606204</v>
      </c>
      <c r="O73" s="333">
        <f t="shared" si="6"/>
        <v>2686.1614310433051</v>
      </c>
    </row>
    <row r="74" spans="2:15">
      <c r="B74" s="148"/>
      <c r="C74" s="94"/>
      <c r="D74" s="94"/>
      <c r="E74" s="94"/>
      <c r="F74" s="330"/>
      <c r="G74" s="330"/>
      <c r="H74" s="330"/>
      <c r="I74" s="330"/>
      <c r="J74" s="330"/>
      <c r="K74" s="330"/>
      <c r="L74" s="330"/>
      <c r="M74" s="330"/>
      <c r="N74" s="330"/>
      <c r="O74" s="331"/>
    </row>
    <row r="75" spans="2:15">
      <c r="B75" s="148" t="s">
        <v>207</v>
      </c>
      <c r="C75" s="94"/>
      <c r="D75" s="94" t="s">
        <v>40</v>
      </c>
      <c r="E75" s="94" t="s">
        <v>52</v>
      </c>
      <c r="F75" s="327">
        <v>146.86099999999999</v>
      </c>
      <c r="G75" s="327">
        <v>-947.16096000000005</v>
      </c>
      <c r="H75" s="327">
        <v>-1088.3150000000001</v>
      </c>
      <c r="I75" s="328">
        <v>-2720.064071217178</v>
      </c>
      <c r="J75" s="328">
        <v>513.60697822173097</v>
      </c>
      <c r="K75" s="328">
        <v>2086.8588319590158</v>
      </c>
      <c r="L75" s="328">
        <v>-668.11569671128461</v>
      </c>
      <c r="M75" s="328">
        <v>-601.34437672843205</v>
      </c>
      <c r="N75" s="328">
        <v>-1401.4297526665632</v>
      </c>
      <c r="O75" s="329">
        <v>-360.01611553203867</v>
      </c>
    </row>
    <row r="76" spans="2:15" ht="14.65" thickBot="1">
      <c r="B76" s="165"/>
      <c r="C76" s="334"/>
      <c r="D76" s="334"/>
      <c r="E76" s="334"/>
      <c r="F76" s="335"/>
      <c r="G76" s="335"/>
      <c r="H76" s="335"/>
      <c r="I76" s="335"/>
      <c r="J76" s="335"/>
      <c r="K76" s="335"/>
      <c r="L76" s="335"/>
      <c r="M76" s="335"/>
      <c r="N76" s="335"/>
      <c r="O76" s="336"/>
    </row>
  </sheetData>
  <mergeCells count="6">
    <mergeCell ref="K11:O11"/>
    <mergeCell ref="C11:C12"/>
    <mergeCell ref="D11:D12"/>
    <mergeCell ref="E11:E12"/>
    <mergeCell ref="F11:H11"/>
    <mergeCell ref="I11:J11"/>
  </mergeCells>
  <pageMargins left="0.70866141732283472" right="0.70866141732283472" top="0.74803149606299213" bottom="0.74803149606299213" header="0.31496062992125984" footer="0.31496062992125984"/>
  <pageSetup paperSize="9" scale="75" fitToHeight="2" orientation="landscape" r:id="rId1"/>
  <rowBreaks count="1" manualBreakCount="1">
    <brk id="40" min="1" max="14"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pageSetUpPr fitToPage="1"/>
  </sheetPr>
  <dimension ref="B9:R92"/>
  <sheetViews>
    <sheetView showGridLines="0" topLeftCell="A7" zoomScaleNormal="100" workbookViewId="0">
      <pane xSplit="5" ySplit="8" topLeftCell="F71" activePane="bottomRight" state="frozen"/>
      <selection activeCell="I15" sqref="I15"/>
      <selection pane="topRight" activeCell="I15" sqref="I15"/>
      <selection pane="bottomLeft" activeCell="I15" sqref="I15"/>
      <selection pane="bottomRight" activeCell="B11" sqref="B11"/>
    </sheetView>
  </sheetViews>
  <sheetFormatPr defaultColWidth="9" defaultRowHeight="14.25"/>
  <cols>
    <col min="1" max="1" width="0" style="7" hidden="1" customWidth="1"/>
    <col min="2" max="2" width="48.1328125" style="7" customWidth="1"/>
    <col min="3" max="5" width="10.46484375" style="7" customWidth="1"/>
    <col min="6" max="6" width="9.46484375" style="7" bestFit="1" customWidth="1"/>
    <col min="7" max="7" width="9" style="7"/>
    <col min="8" max="8" width="9.46484375" style="7" bestFit="1" customWidth="1"/>
    <col min="9" max="15" width="10.1328125" style="7" bestFit="1" customWidth="1"/>
    <col min="16" max="16384" width="9" style="7"/>
  </cols>
  <sheetData>
    <row r="9" spans="2:15" ht="23.25">
      <c r="B9" s="6" t="s">
        <v>161</v>
      </c>
    </row>
    <row r="10" spans="2:15" ht="14.65" thickBot="1"/>
    <row r="11" spans="2:15" ht="15" customHeight="1">
      <c r="B11" s="188" t="s">
        <v>162</v>
      </c>
      <c r="C11" s="470" t="s">
        <v>163</v>
      </c>
      <c r="D11" s="470" t="s">
        <v>10</v>
      </c>
      <c r="E11" s="470" t="s">
        <v>11</v>
      </c>
      <c r="F11" s="467" t="s">
        <v>128</v>
      </c>
      <c r="G11" s="468"/>
      <c r="H11" s="472"/>
      <c r="I11" s="467" t="s">
        <v>129</v>
      </c>
      <c r="J11" s="472"/>
      <c r="K11" s="467" t="s">
        <v>130</v>
      </c>
      <c r="L11" s="468"/>
      <c r="M11" s="468"/>
      <c r="N11" s="468"/>
      <c r="O11" s="469"/>
    </row>
    <row r="12" spans="2:15">
      <c r="B12" s="189"/>
      <c r="C12" s="471"/>
      <c r="D12" s="471"/>
      <c r="E12" s="471"/>
      <c r="F12" s="190" t="s">
        <v>0</v>
      </c>
      <c r="G12" s="190" t="s">
        <v>1</v>
      </c>
      <c r="H12" s="190" t="s">
        <v>2</v>
      </c>
      <c r="I12" s="191" t="s">
        <v>3</v>
      </c>
      <c r="J12" s="192" t="s">
        <v>4</v>
      </c>
      <c r="K12" s="192" t="s">
        <v>5</v>
      </c>
      <c r="L12" s="192" t="s">
        <v>6</v>
      </c>
      <c r="M12" s="192" t="s">
        <v>7</v>
      </c>
      <c r="N12" s="192" t="s">
        <v>8</v>
      </c>
      <c r="O12" s="193" t="s">
        <v>9</v>
      </c>
    </row>
    <row r="13" spans="2:15">
      <c r="B13" s="194"/>
      <c r="C13" s="195"/>
      <c r="D13" s="195"/>
      <c r="E13" s="195"/>
      <c r="F13" s="196"/>
      <c r="G13" s="196"/>
      <c r="H13" s="196"/>
      <c r="I13" s="196"/>
      <c r="J13" s="196"/>
      <c r="K13" s="196"/>
      <c r="L13" s="196"/>
      <c r="M13" s="196"/>
      <c r="N13" s="196"/>
      <c r="O13" s="197"/>
    </row>
    <row r="14" spans="2:15">
      <c r="B14" s="198" t="s">
        <v>164</v>
      </c>
      <c r="C14" s="199"/>
      <c r="D14" s="199"/>
      <c r="E14" s="199"/>
      <c r="O14" s="200"/>
    </row>
    <row r="15" spans="2:15">
      <c r="B15" s="201" t="s">
        <v>165</v>
      </c>
      <c r="C15" s="199"/>
      <c r="D15" s="199" t="s">
        <v>40</v>
      </c>
      <c r="E15" s="199" t="s">
        <v>52</v>
      </c>
      <c r="F15" s="202">
        <v>33217.811909999997</v>
      </c>
      <c r="G15" s="202">
        <v>46852.205969999995</v>
      </c>
      <c r="H15" s="202">
        <v>53640.225017857578</v>
      </c>
      <c r="I15" s="203">
        <v>82060.495860711919</v>
      </c>
      <c r="J15" s="203">
        <v>54505.144852012323</v>
      </c>
      <c r="K15" s="203">
        <v>54677.55019775941</v>
      </c>
      <c r="L15" s="203">
        <v>84383.428549759119</v>
      </c>
      <c r="M15" s="203">
        <v>88537.077116849396</v>
      </c>
      <c r="N15" s="203">
        <v>91384.394275476137</v>
      </c>
      <c r="O15" s="204">
        <v>86841.970162787242</v>
      </c>
    </row>
    <row r="16" spans="2:15">
      <c r="B16" s="201" t="s">
        <v>166</v>
      </c>
      <c r="C16" s="199"/>
      <c r="D16" s="199" t="s">
        <v>40</v>
      </c>
      <c r="E16" s="199" t="s">
        <v>52</v>
      </c>
      <c r="F16" s="202">
        <v>33794.973969999999</v>
      </c>
      <c r="G16" s="202">
        <v>32922.405579999999</v>
      </c>
      <c r="H16" s="202">
        <v>43209.344809999995</v>
      </c>
      <c r="I16" s="203">
        <v>47753</v>
      </c>
      <c r="J16" s="203">
        <v>52438.619738453686</v>
      </c>
      <c r="K16" s="203">
        <v>46684.82880000001</v>
      </c>
      <c r="L16" s="203">
        <v>48149.129376000004</v>
      </c>
      <c r="M16" s="203">
        <v>49328.598395520006</v>
      </c>
      <c r="N16" s="203">
        <v>50370.374403590409</v>
      </c>
      <c r="O16" s="204">
        <v>51377.78189166222</v>
      </c>
    </row>
    <row r="17" spans="2:15">
      <c r="B17" s="201" t="s">
        <v>167</v>
      </c>
      <c r="C17" s="199"/>
      <c r="D17" s="199" t="s">
        <v>40</v>
      </c>
      <c r="E17" s="199" t="s">
        <v>52</v>
      </c>
      <c r="F17" s="202">
        <v>23244.420739999998</v>
      </c>
      <c r="G17" s="202">
        <v>12018.10216</v>
      </c>
      <c r="H17" s="202">
        <v>12467.697769999999</v>
      </c>
      <c r="I17" s="203">
        <v>18</v>
      </c>
      <c r="J17" s="203">
        <v>0</v>
      </c>
      <c r="K17" s="203">
        <v>0</v>
      </c>
      <c r="L17" s="203">
        <v>0</v>
      </c>
      <c r="M17" s="203">
        <v>0</v>
      </c>
      <c r="N17" s="203">
        <v>0</v>
      </c>
      <c r="O17" s="204">
        <v>0</v>
      </c>
    </row>
    <row r="18" spans="2:15" ht="16.25" customHeight="1">
      <c r="B18" s="201" t="s">
        <v>168</v>
      </c>
      <c r="C18" s="199"/>
      <c r="D18" s="199" t="s">
        <v>40</v>
      </c>
      <c r="E18" s="199" t="s">
        <v>52</v>
      </c>
      <c r="F18" s="202"/>
      <c r="G18" s="202"/>
      <c r="H18" s="202"/>
      <c r="I18" s="203"/>
      <c r="J18" s="203"/>
      <c r="K18" s="203"/>
      <c r="L18" s="203"/>
      <c r="M18" s="203"/>
      <c r="N18" s="203"/>
      <c r="O18" s="204"/>
    </row>
    <row r="19" spans="2:15" ht="15.75" customHeight="1">
      <c r="B19" s="201" t="s">
        <v>169</v>
      </c>
      <c r="C19" s="199"/>
      <c r="D19" s="199" t="s">
        <v>40</v>
      </c>
      <c r="E19" s="199" t="s">
        <v>52</v>
      </c>
      <c r="F19" s="202">
        <v>917.4185500000001</v>
      </c>
      <c r="G19" s="202">
        <v>1688.452</v>
      </c>
      <c r="H19" s="202">
        <v>909.32249999999999</v>
      </c>
      <c r="I19" s="203">
        <v>572</v>
      </c>
      <c r="J19" s="203">
        <v>828.65966994099654</v>
      </c>
      <c r="K19" s="203">
        <v>832.32000000000016</v>
      </c>
      <c r="L19" s="203">
        <v>848.96640000000014</v>
      </c>
      <c r="M19" s="203">
        <v>865.94572800000014</v>
      </c>
      <c r="N19" s="203">
        <v>883.2646425600002</v>
      </c>
      <c r="O19" s="204">
        <v>900.92993541120018</v>
      </c>
    </row>
    <row r="20" spans="2:15" ht="14" customHeight="1">
      <c r="B20" s="201" t="s">
        <v>170</v>
      </c>
      <c r="C20" s="199"/>
      <c r="D20" s="199" t="s">
        <v>40</v>
      </c>
      <c r="E20" s="199" t="s">
        <v>52</v>
      </c>
      <c r="F20" s="202"/>
      <c r="G20" s="202"/>
      <c r="H20" s="202"/>
      <c r="I20" s="203"/>
      <c r="J20" s="203"/>
      <c r="K20" s="203"/>
      <c r="L20" s="203"/>
      <c r="M20" s="203"/>
      <c r="N20" s="203"/>
      <c r="O20" s="204"/>
    </row>
    <row r="21" spans="2:15">
      <c r="B21" s="201" t="s">
        <v>171</v>
      </c>
      <c r="C21" s="199"/>
      <c r="D21" s="199" t="s">
        <v>40</v>
      </c>
      <c r="E21" s="199" t="s">
        <v>52</v>
      </c>
      <c r="F21" s="202">
        <v>31.671680000000002</v>
      </c>
      <c r="G21" s="202">
        <v>29.414400000000001</v>
      </c>
      <c r="H21" s="202">
        <v>31.786909999999999</v>
      </c>
      <c r="I21" s="203">
        <v>30</v>
      </c>
      <c r="J21" s="203">
        <v>31.074737622787371</v>
      </c>
      <c r="K21" s="203">
        <v>31.212000000000007</v>
      </c>
      <c r="L21" s="203">
        <v>31.836240000000004</v>
      </c>
      <c r="M21" s="203">
        <v>32.472964800000007</v>
      </c>
      <c r="N21" s="203">
        <v>33.12242409600001</v>
      </c>
      <c r="O21" s="204">
        <v>33.784872577920012</v>
      </c>
    </row>
    <row r="22" spans="2:15">
      <c r="B22" s="201" t="s">
        <v>172</v>
      </c>
      <c r="C22" s="199"/>
      <c r="D22" s="199" t="s">
        <v>40</v>
      </c>
      <c r="E22" s="199" t="s">
        <v>52</v>
      </c>
      <c r="F22" s="202">
        <v>1805.8933100000002</v>
      </c>
      <c r="G22" s="202"/>
      <c r="H22" s="202"/>
      <c r="I22" s="203"/>
      <c r="J22" s="203"/>
      <c r="K22" s="203"/>
      <c r="L22" s="203"/>
      <c r="M22" s="203"/>
      <c r="N22" s="203"/>
      <c r="O22" s="204"/>
    </row>
    <row r="23" spans="2:15">
      <c r="B23" s="205" t="s">
        <v>173</v>
      </c>
      <c r="C23" s="199"/>
      <c r="D23" s="199" t="s">
        <v>40</v>
      </c>
      <c r="E23" s="199" t="s">
        <v>52</v>
      </c>
      <c r="F23" s="202">
        <v>2060.8345199999999</v>
      </c>
      <c r="G23" s="202">
        <v>4714.6364999999996</v>
      </c>
      <c r="H23" s="202">
        <v>3044.3442300000002</v>
      </c>
      <c r="I23" s="203">
        <v>0</v>
      </c>
      <c r="J23" s="203">
        <v>0</v>
      </c>
      <c r="K23" s="203">
        <v>0</v>
      </c>
      <c r="L23" s="203">
        <v>0</v>
      </c>
      <c r="M23" s="203">
        <v>0</v>
      </c>
      <c r="N23" s="203">
        <v>0</v>
      </c>
      <c r="O23" s="204">
        <v>0</v>
      </c>
    </row>
    <row r="24" spans="2:15">
      <c r="B24" s="201" t="s">
        <v>174</v>
      </c>
      <c r="C24" s="199"/>
      <c r="D24" s="199" t="s">
        <v>40</v>
      </c>
      <c r="E24" s="199" t="s">
        <v>52</v>
      </c>
      <c r="F24" s="202"/>
      <c r="G24" s="202"/>
      <c r="H24" s="202"/>
      <c r="I24" s="203"/>
      <c r="J24" s="203"/>
      <c r="K24" s="203"/>
      <c r="L24" s="203"/>
      <c r="M24" s="203"/>
      <c r="N24" s="203"/>
      <c r="O24" s="204"/>
    </row>
    <row r="25" spans="2:15">
      <c r="B25" s="201"/>
      <c r="C25" s="199"/>
      <c r="D25" s="199"/>
      <c r="E25" s="199"/>
      <c r="F25" s="206"/>
      <c r="G25" s="206"/>
      <c r="H25" s="206"/>
      <c r="I25" s="207"/>
      <c r="J25" s="207"/>
      <c r="K25" s="207"/>
      <c r="L25" s="207"/>
      <c r="M25" s="207"/>
      <c r="N25" s="207"/>
      <c r="O25" s="208"/>
    </row>
    <row r="26" spans="2:15">
      <c r="B26" s="198" t="s">
        <v>175</v>
      </c>
      <c r="C26" s="199"/>
      <c r="D26" s="199"/>
      <c r="E26" s="199"/>
      <c r="F26" s="209">
        <f t="shared" ref="F26:O26" si="0">SUM(F15:F25)</f>
        <v>95073.024680000002</v>
      </c>
      <c r="G26" s="209">
        <f t="shared" si="0"/>
        <v>98225.216609999989</v>
      </c>
      <c r="H26" s="209">
        <f t="shared" si="0"/>
        <v>113302.72123785756</v>
      </c>
      <c r="I26" s="210">
        <f t="shared" si="0"/>
        <v>130433.49586071192</v>
      </c>
      <c r="J26" s="210">
        <f t="shared" si="0"/>
        <v>107803.4989980298</v>
      </c>
      <c r="K26" s="210">
        <f t="shared" si="0"/>
        <v>102225.91099775943</v>
      </c>
      <c r="L26" s="210">
        <f t="shared" si="0"/>
        <v>133413.36056575913</v>
      </c>
      <c r="M26" s="210">
        <f t="shared" si="0"/>
        <v>138764.09420516939</v>
      </c>
      <c r="N26" s="210">
        <f t="shared" si="0"/>
        <v>142671.15574572256</v>
      </c>
      <c r="O26" s="211">
        <f t="shared" si="0"/>
        <v>139154.4668624386</v>
      </c>
    </row>
    <row r="27" spans="2:15">
      <c r="B27" s="201"/>
      <c r="C27" s="199"/>
      <c r="D27" s="199"/>
      <c r="E27" s="199"/>
      <c r="F27" s="206"/>
      <c r="G27" s="206"/>
      <c r="H27" s="206"/>
      <c r="I27" s="207"/>
      <c r="J27" s="207"/>
      <c r="K27" s="207"/>
      <c r="L27" s="207"/>
      <c r="M27" s="207"/>
      <c r="N27" s="207"/>
      <c r="O27" s="207"/>
    </row>
    <row r="28" spans="2:15">
      <c r="B28" s="198" t="s">
        <v>176</v>
      </c>
      <c r="C28" s="199"/>
      <c r="D28" s="199"/>
      <c r="E28" s="199"/>
      <c r="F28" s="206"/>
      <c r="G28" s="206"/>
      <c r="H28" s="206"/>
      <c r="I28" s="207"/>
      <c r="J28" s="207"/>
      <c r="K28" s="423"/>
      <c r="L28" s="423"/>
      <c r="M28" s="423"/>
      <c r="N28" s="423"/>
      <c r="O28" s="423"/>
    </row>
    <row r="29" spans="2:15">
      <c r="B29" s="201" t="s">
        <v>177</v>
      </c>
      <c r="C29" s="199"/>
      <c r="D29" s="199" t="s">
        <v>40</v>
      </c>
      <c r="E29" s="199" t="s">
        <v>52</v>
      </c>
      <c r="F29" s="202">
        <v>-18952.01713</v>
      </c>
      <c r="G29" s="202">
        <v>-26342.658079999997</v>
      </c>
      <c r="H29" s="202">
        <v>-27618.650170000001</v>
      </c>
      <c r="I29" s="203">
        <v>-44489.900858394423</v>
      </c>
      <c r="J29" s="203">
        <v>-33107.242986481026</v>
      </c>
      <c r="K29" s="203">
        <v>-40279.562399160008</v>
      </c>
      <c r="L29" s="203">
        <v>-51439.338242258404</v>
      </c>
      <c r="M29" s="203">
        <v>-53821.603827721621</v>
      </c>
      <c r="N29" s="203">
        <v>-55218.935987001787</v>
      </c>
      <c r="O29" s="204">
        <v>-56641.9800792604</v>
      </c>
    </row>
    <row r="30" spans="2:15">
      <c r="B30" s="201" t="s">
        <v>166</v>
      </c>
      <c r="C30" s="199"/>
      <c r="D30" s="199" t="s">
        <v>40</v>
      </c>
      <c r="E30" s="199" t="s">
        <v>52</v>
      </c>
      <c r="F30" s="202">
        <v>-36500.000039999999</v>
      </c>
      <c r="G30" s="202">
        <v>-30108.383999999998</v>
      </c>
      <c r="H30" s="202">
        <v>-36901.847999999998</v>
      </c>
      <c r="I30" s="203">
        <v>-43979.16</v>
      </c>
      <c r="J30" s="203">
        <v>-46925.961284171208</v>
      </c>
      <c r="K30" s="203">
        <v>-41147.820000000007</v>
      </c>
      <c r="L30" s="203">
        <v>-42501.380400000009</v>
      </c>
      <c r="M30" s="203">
        <v>-43567.894440000011</v>
      </c>
      <c r="N30" s="203">
        <v>-44494.456368960011</v>
      </c>
      <c r="O30" s="204">
        <v>-45384.345496339214</v>
      </c>
    </row>
    <row r="31" spans="2:15">
      <c r="B31" s="201" t="s">
        <v>167</v>
      </c>
      <c r="C31" s="199"/>
      <c r="D31" s="199" t="s">
        <v>40</v>
      </c>
      <c r="E31" s="199" t="s">
        <v>52</v>
      </c>
      <c r="F31" s="202">
        <v>-23244.440739999998</v>
      </c>
      <c r="G31" s="202">
        <v>-12018.10216</v>
      </c>
      <c r="H31" s="202">
        <v>-12467.697769999999</v>
      </c>
      <c r="I31" s="203">
        <v>-18</v>
      </c>
      <c r="J31" s="203">
        <v>0</v>
      </c>
      <c r="K31" s="203">
        <v>0</v>
      </c>
      <c r="L31" s="203">
        <v>0</v>
      </c>
      <c r="M31" s="203">
        <v>0</v>
      </c>
      <c r="N31" s="203">
        <v>0</v>
      </c>
      <c r="O31" s="204">
        <v>0</v>
      </c>
    </row>
    <row r="32" spans="2:15">
      <c r="B32" s="201" t="s">
        <v>169</v>
      </c>
      <c r="C32" s="199"/>
      <c r="D32" s="199" t="s">
        <v>40</v>
      </c>
      <c r="E32" s="199" t="s">
        <v>52</v>
      </c>
      <c r="F32" s="202">
        <v>-339.58678999999995</v>
      </c>
      <c r="G32" s="202">
        <v>-1043.8497600000001</v>
      </c>
      <c r="H32" s="202">
        <v>-109.49776</v>
      </c>
      <c r="I32" s="203">
        <v>-150</v>
      </c>
      <c r="J32" s="203">
        <v>-155.37368811393685</v>
      </c>
      <c r="K32" s="203">
        <v>-156.06000000000003</v>
      </c>
      <c r="L32" s="203">
        <v>-159.18120000000002</v>
      </c>
      <c r="M32" s="203">
        <v>-162.36482400000003</v>
      </c>
      <c r="N32" s="203">
        <v>-165.61212048000004</v>
      </c>
      <c r="O32" s="204">
        <v>-168.92436288960005</v>
      </c>
    </row>
    <row r="33" spans="2:15">
      <c r="B33" s="201" t="s">
        <v>178</v>
      </c>
      <c r="C33" s="199"/>
      <c r="D33" s="199" t="s">
        <v>40</v>
      </c>
      <c r="E33" s="199" t="s">
        <v>52</v>
      </c>
      <c r="F33" s="202">
        <v>0</v>
      </c>
      <c r="G33" s="202">
        <v>-2296.40859</v>
      </c>
      <c r="H33" s="202">
        <v>-5766.5837000000001</v>
      </c>
      <c r="I33" s="203">
        <v>-5250</v>
      </c>
      <c r="J33" s="203">
        <v>-5512.6584542824794</v>
      </c>
      <c r="K33" s="203">
        <v>-5537.0088000000014</v>
      </c>
      <c r="L33" s="203">
        <v>-5647.7489760000008</v>
      </c>
      <c r="M33" s="203">
        <v>-5760.7039555200008</v>
      </c>
      <c r="N33" s="203">
        <v>-5875.9180346304011</v>
      </c>
      <c r="O33" s="204">
        <v>-5993.4363953230095</v>
      </c>
    </row>
    <row r="34" spans="2:15">
      <c r="B34" s="205" t="s">
        <v>179</v>
      </c>
      <c r="C34" s="199"/>
      <c r="D34" s="199" t="s">
        <v>40</v>
      </c>
      <c r="E34" s="199" t="s">
        <v>52</v>
      </c>
      <c r="F34" s="202">
        <v>-1927.3554299999998</v>
      </c>
      <c r="G34" s="202">
        <v>-4434.54324</v>
      </c>
      <c r="H34" s="202">
        <v>-3011.96515</v>
      </c>
      <c r="I34" s="203">
        <v>416</v>
      </c>
      <c r="J34" s="203">
        <v>296.41754125737543</v>
      </c>
      <c r="K34" s="203">
        <v>295.95999999999998</v>
      </c>
      <c r="L34" s="203">
        <v>293.87919999999997</v>
      </c>
      <c r="M34" s="203">
        <v>291.75678399999998</v>
      </c>
      <c r="N34" s="203">
        <v>289.59191967999999</v>
      </c>
      <c r="O34" s="204">
        <v>287.38375807360001</v>
      </c>
    </row>
    <row r="35" spans="2:15">
      <c r="B35" s="205" t="s">
        <v>180</v>
      </c>
      <c r="C35" s="199"/>
      <c r="D35" s="199" t="s">
        <v>40</v>
      </c>
      <c r="E35" s="199" t="s">
        <v>52</v>
      </c>
      <c r="F35" s="202">
        <v>-472.69722999999999</v>
      </c>
      <c r="G35" s="202">
        <v>-427.54716999999999</v>
      </c>
      <c r="H35" s="202">
        <v>-738.52643999999998</v>
      </c>
      <c r="I35" s="203">
        <v>-124</v>
      </c>
      <c r="J35" s="203">
        <v>-400</v>
      </c>
      <c r="K35" s="203">
        <v>-400</v>
      </c>
      <c r="L35" s="203">
        <v>-400</v>
      </c>
      <c r="M35" s="203">
        <v>-400</v>
      </c>
      <c r="N35" s="203">
        <v>-400</v>
      </c>
      <c r="O35" s="204">
        <v>-400</v>
      </c>
    </row>
    <row r="36" spans="2:15">
      <c r="B36" s="201"/>
      <c r="C36" s="199"/>
      <c r="D36" s="199"/>
      <c r="E36" s="199"/>
      <c r="F36" s="206"/>
      <c r="G36" s="206"/>
      <c r="H36" s="206"/>
      <c r="I36" s="207"/>
      <c r="J36" s="207"/>
      <c r="K36" s="207"/>
      <c r="L36" s="207"/>
      <c r="M36" s="207"/>
      <c r="N36" s="207"/>
      <c r="O36" s="208"/>
    </row>
    <row r="37" spans="2:15">
      <c r="B37" s="198" t="s">
        <v>181</v>
      </c>
      <c r="C37" s="199"/>
      <c r="D37" s="199"/>
      <c r="E37" s="199"/>
      <c r="F37" s="209">
        <f t="shared" ref="F37:O37" si="1">SUM(F29:F36)</f>
        <v>-81436.09736</v>
      </c>
      <c r="G37" s="209">
        <f t="shared" si="1"/>
        <v>-76671.493000000002</v>
      </c>
      <c r="H37" s="209">
        <f t="shared" si="1"/>
        <v>-86614.768990000011</v>
      </c>
      <c r="I37" s="210">
        <f t="shared" si="1"/>
        <v>-93595.060858394427</v>
      </c>
      <c r="J37" s="210">
        <f t="shared" si="1"/>
        <v>-85804.818871791271</v>
      </c>
      <c r="K37" s="210">
        <f t="shared" si="1"/>
        <v>-87224.491199159995</v>
      </c>
      <c r="L37" s="210">
        <f t="shared" si="1"/>
        <v>-99853.769618258419</v>
      </c>
      <c r="M37" s="210">
        <f t="shared" si="1"/>
        <v>-103420.81026324164</v>
      </c>
      <c r="N37" s="210">
        <f t="shared" si="1"/>
        <v>-105865.33059139221</v>
      </c>
      <c r="O37" s="211">
        <f t="shared" si="1"/>
        <v>-108301.30257573862</v>
      </c>
    </row>
    <row r="38" spans="2:15">
      <c r="B38" s="201"/>
      <c r="C38" s="199"/>
      <c r="D38" s="199"/>
      <c r="E38" s="199"/>
      <c r="F38" s="206"/>
      <c r="G38" s="206"/>
      <c r="H38" s="206"/>
      <c r="I38" s="207"/>
      <c r="J38" s="207"/>
      <c r="K38" s="207"/>
      <c r="L38" s="207"/>
      <c r="M38" s="207"/>
      <c r="N38" s="207"/>
      <c r="O38" s="208"/>
    </row>
    <row r="39" spans="2:15">
      <c r="B39" s="198" t="s">
        <v>182</v>
      </c>
      <c r="C39" s="199"/>
      <c r="D39" s="199"/>
      <c r="E39" s="199"/>
      <c r="F39" s="209">
        <f>F26+F37</f>
        <v>13636.927320000003</v>
      </c>
      <c r="G39" s="209">
        <f t="shared" ref="G39:O39" si="2">G26+G37</f>
        <v>21553.723609999986</v>
      </c>
      <c r="H39" s="209">
        <f t="shared" si="2"/>
        <v>26687.952247857553</v>
      </c>
      <c r="I39" s="210">
        <f t="shared" si="2"/>
        <v>36838.435002317492</v>
      </c>
      <c r="J39" s="210">
        <f t="shared" si="2"/>
        <v>21998.680126238527</v>
      </c>
      <c r="K39" s="210">
        <f t="shared" si="2"/>
        <v>15001.41979859944</v>
      </c>
      <c r="L39" s="210">
        <f t="shared" si="2"/>
        <v>33559.590947500707</v>
      </c>
      <c r="M39" s="210">
        <f t="shared" si="2"/>
        <v>35343.283941927744</v>
      </c>
      <c r="N39" s="210">
        <f t="shared" si="2"/>
        <v>36805.825154330349</v>
      </c>
      <c r="O39" s="211">
        <f t="shared" si="2"/>
        <v>30853.164286699975</v>
      </c>
    </row>
    <row r="40" spans="2:15">
      <c r="B40" s="201"/>
      <c r="C40" s="199"/>
      <c r="D40" s="199"/>
      <c r="E40" s="199"/>
      <c r="F40" s="206"/>
      <c r="G40" s="206"/>
      <c r="H40" s="206"/>
      <c r="I40" s="207"/>
      <c r="J40" s="207"/>
      <c r="K40" s="207"/>
      <c r="L40" s="207"/>
      <c r="M40" s="207"/>
      <c r="N40" s="207"/>
      <c r="O40" s="208"/>
    </row>
    <row r="41" spans="2:15">
      <c r="B41" s="198" t="s">
        <v>183</v>
      </c>
      <c r="C41" s="199"/>
      <c r="D41" s="199"/>
      <c r="E41" s="199"/>
      <c r="F41" s="206"/>
      <c r="G41" s="206"/>
      <c r="H41" s="206"/>
      <c r="I41" s="207"/>
      <c r="J41" s="207"/>
      <c r="K41" s="207"/>
      <c r="L41" s="207"/>
      <c r="M41" s="207"/>
      <c r="N41" s="207"/>
      <c r="O41" s="208"/>
    </row>
    <row r="42" spans="2:15">
      <c r="B42" s="201" t="s">
        <v>184</v>
      </c>
      <c r="C42" s="199"/>
      <c r="D42" s="199" t="s">
        <v>40</v>
      </c>
      <c r="E42" s="199" t="s">
        <v>52</v>
      </c>
      <c r="F42" s="202">
        <v>-8051.584223043963</v>
      </c>
      <c r="G42" s="202">
        <v>-8343.5367939994594</v>
      </c>
      <c r="H42" s="202">
        <v>-8694.0716634034088</v>
      </c>
      <c r="I42" s="203">
        <v>-9013.3924413686382</v>
      </c>
      <c r="J42" s="203">
        <v>-8689.3743106294987</v>
      </c>
      <c r="K42" s="203">
        <v>-10928.666319354999</v>
      </c>
      <c r="L42" s="203">
        <v>-11130.922371337911</v>
      </c>
      <c r="M42" s="203">
        <v>-11412.438067354216</v>
      </c>
      <c r="N42" s="203">
        <v>-11529.069466379007</v>
      </c>
      <c r="O42" s="204">
        <v>-11767.191434109216</v>
      </c>
    </row>
    <row r="43" spans="2:15">
      <c r="B43" s="201" t="s">
        <v>185</v>
      </c>
      <c r="C43" s="199"/>
      <c r="D43" s="199" t="s">
        <v>40</v>
      </c>
      <c r="E43" s="199" t="s">
        <v>52</v>
      </c>
      <c r="F43" s="202">
        <v>-1920.2023399999996</v>
      </c>
      <c r="G43" s="202">
        <v>-2275.5032500000002</v>
      </c>
      <c r="H43" s="202">
        <v>-2303.1195599999996</v>
      </c>
      <c r="I43" s="203">
        <v>-2713.8687999999997</v>
      </c>
      <c r="J43" s="203">
        <v>-2979.6644327999998</v>
      </c>
      <c r="K43" s="203">
        <v>-3870.7255194120003</v>
      </c>
      <c r="L43" s="203">
        <v>-4325.2270285614477</v>
      </c>
      <c r="M43" s="203">
        <v>-4845.0120538579558</v>
      </c>
      <c r="N43" s="203">
        <v>-5306.5814553692471</v>
      </c>
      <c r="O43" s="204">
        <v>-5397.103565658721</v>
      </c>
    </row>
    <row r="44" spans="2:15">
      <c r="B44" s="201" t="s">
        <v>19</v>
      </c>
      <c r="C44" s="199"/>
      <c r="D44" s="199" t="s">
        <v>40</v>
      </c>
      <c r="E44" s="199" t="s">
        <v>52</v>
      </c>
      <c r="F44" s="202">
        <v>-1729.8302799999999</v>
      </c>
      <c r="G44" s="202">
        <v>-877.59519000000034</v>
      </c>
      <c r="H44" s="202">
        <v>-1025.9778499999998</v>
      </c>
      <c r="I44" s="203">
        <v>-766.25711480979544</v>
      </c>
      <c r="J44" s="203">
        <v>-771.4246331999999</v>
      </c>
      <c r="K44" s="203">
        <v>-622.83220354800005</v>
      </c>
      <c r="L44" s="203">
        <v>-585.40862269296019</v>
      </c>
      <c r="M44" s="203">
        <v>-577.73476488985932</v>
      </c>
      <c r="N44" s="203">
        <v>-1030.9217814676565</v>
      </c>
      <c r="O44" s="204">
        <v>-713.69149131780966</v>
      </c>
    </row>
    <row r="45" spans="2:15">
      <c r="B45" s="201" t="s">
        <v>186</v>
      </c>
      <c r="C45" s="199"/>
      <c r="D45" s="199" t="s">
        <v>40</v>
      </c>
      <c r="E45" s="199" t="s">
        <v>52</v>
      </c>
      <c r="F45" s="202">
        <v>-410.92299000000014</v>
      </c>
      <c r="G45" s="202">
        <v>-512.83535000000006</v>
      </c>
      <c r="H45" s="202">
        <v>-541.19416999999999</v>
      </c>
      <c r="I45" s="203">
        <v>-644.17241999999999</v>
      </c>
      <c r="J45" s="203">
        <v>-722.306719524409</v>
      </c>
      <c r="K45" s="203">
        <v>-1060.7998260103866</v>
      </c>
      <c r="L45" s="203">
        <v>-1119.1871698497014</v>
      </c>
      <c r="M45" s="203">
        <v>-1170.7297297362702</v>
      </c>
      <c r="N45" s="203">
        <v>-1237.1434810885021</v>
      </c>
      <c r="O45" s="204">
        <v>-1286.6316087646615</v>
      </c>
    </row>
    <row r="46" spans="2:15">
      <c r="B46" s="201" t="s">
        <v>24</v>
      </c>
      <c r="C46" s="199"/>
      <c r="D46" s="199" t="s">
        <v>40</v>
      </c>
      <c r="E46" s="199" t="s">
        <v>52</v>
      </c>
      <c r="F46" s="202">
        <v>898.58104000000014</v>
      </c>
      <c r="G46" s="202">
        <v>227.32916</v>
      </c>
      <c r="H46" s="202">
        <v>231.04359999999997</v>
      </c>
      <c r="I46" s="203">
        <v>191.88140070314014</v>
      </c>
      <c r="J46" s="203">
        <v>195.71902871720295</v>
      </c>
      <c r="K46" s="203">
        <v>199.63340929154705</v>
      </c>
      <c r="L46" s="203">
        <v>203.62607747737798</v>
      </c>
      <c r="M46" s="203">
        <v>207.69859902692554</v>
      </c>
      <c r="N46" s="203">
        <v>211.85257100746406</v>
      </c>
      <c r="O46" s="204">
        <v>216.08962242761336</v>
      </c>
    </row>
    <row r="47" spans="2:15">
      <c r="B47" s="201" t="s">
        <v>25</v>
      </c>
      <c r="C47" s="199"/>
      <c r="D47" s="199" t="s">
        <v>40</v>
      </c>
      <c r="E47" s="199" t="s">
        <v>52</v>
      </c>
      <c r="F47" s="202">
        <v>-1159.113339</v>
      </c>
      <c r="G47" s="202">
        <v>-434.20782500000001</v>
      </c>
      <c r="H47" s="202">
        <v>-272.34709399999997</v>
      </c>
      <c r="I47" s="203">
        <v>-267.2952627286603</v>
      </c>
      <c r="J47" s="203">
        <v>-272.64116798323352</v>
      </c>
      <c r="K47" s="203">
        <v>-278.09399134289822</v>
      </c>
      <c r="L47" s="203">
        <v>-283.65587116975621</v>
      </c>
      <c r="M47" s="203">
        <v>-289.32898859315134</v>
      </c>
      <c r="N47" s="203">
        <v>-295.11556836501438</v>
      </c>
      <c r="O47" s="204">
        <v>-301.01787973231467</v>
      </c>
    </row>
    <row r="48" spans="2:15">
      <c r="B48" s="201" t="s">
        <v>187</v>
      </c>
      <c r="C48" s="199"/>
      <c r="D48" s="199" t="s">
        <v>40</v>
      </c>
      <c r="E48" s="199" t="s">
        <v>52</v>
      </c>
      <c r="F48" s="202"/>
      <c r="G48" s="202"/>
      <c r="H48" s="202"/>
      <c r="I48" s="203"/>
      <c r="J48" s="203"/>
      <c r="K48" s="203"/>
      <c r="L48" s="203"/>
      <c r="M48" s="203"/>
      <c r="N48" s="203"/>
      <c r="O48" s="204"/>
    </row>
    <row r="49" spans="2:18">
      <c r="B49" s="201" t="s">
        <v>188</v>
      </c>
      <c r="C49" s="199"/>
      <c r="D49" s="199" t="s">
        <v>40</v>
      </c>
      <c r="E49" s="199" t="s">
        <v>52</v>
      </c>
      <c r="F49" s="202">
        <v>-317.07953999999995</v>
      </c>
      <c r="G49" s="202">
        <v>-894.31104000000005</v>
      </c>
      <c r="H49" s="202">
        <v>-388.13506000000007</v>
      </c>
      <c r="I49" s="203">
        <v>-120.70231333333342</v>
      </c>
      <c r="J49" s="203">
        <v>-307.18666976800006</v>
      </c>
      <c r="K49" s="203">
        <v>-1103.7024410041347</v>
      </c>
      <c r="L49" s="203">
        <v>-1141.4853887081172</v>
      </c>
      <c r="M49" s="203">
        <v>-1002.2911954455204</v>
      </c>
      <c r="N49" s="203">
        <v>-912.29059011383697</v>
      </c>
      <c r="O49" s="204">
        <v>-818.30379945474772</v>
      </c>
    </row>
    <row r="50" spans="2:18">
      <c r="B50" s="201" t="s">
        <v>17</v>
      </c>
      <c r="C50" s="199"/>
      <c r="D50" s="199" t="s">
        <v>40</v>
      </c>
      <c r="E50" s="199" t="s">
        <v>52</v>
      </c>
      <c r="F50" s="202">
        <v>-268</v>
      </c>
      <c r="G50" s="202">
        <v>-75</v>
      </c>
      <c r="H50" s="202">
        <v>-75</v>
      </c>
      <c r="I50" s="203">
        <v>-75</v>
      </c>
      <c r="J50" s="203">
        <v>-76.5</v>
      </c>
      <c r="K50" s="203">
        <v>-973.81440000000021</v>
      </c>
      <c r="L50" s="203">
        <v>-993.29068800000016</v>
      </c>
      <c r="M50" s="203">
        <v>-1013.1565017600002</v>
      </c>
      <c r="N50" s="203">
        <v>-1033.4196317952003</v>
      </c>
      <c r="O50" s="204">
        <v>-1054.0880244311043</v>
      </c>
    </row>
    <row r="51" spans="2:18">
      <c r="B51" s="201" t="s">
        <v>189</v>
      </c>
      <c r="C51" s="199"/>
      <c r="D51" s="199" t="s">
        <v>40</v>
      </c>
      <c r="E51" s="199" t="s">
        <v>52</v>
      </c>
      <c r="F51" s="202">
        <v>-2027.8785699999999</v>
      </c>
      <c r="G51" s="202">
        <v>-2080.43687</v>
      </c>
      <c r="H51" s="202">
        <v>-1236.34437</v>
      </c>
      <c r="I51" s="203">
        <v>-5392.898110599599</v>
      </c>
      <c r="J51" s="203">
        <v>-5534.9951227429183</v>
      </c>
      <c r="K51" s="203">
        <v>-5881.3580896485528</v>
      </c>
      <c r="L51" s="203">
        <v>-7415.3495073180839</v>
      </c>
      <c r="M51" s="203">
        <v>-8913.3793657623955</v>
      </c>
      <c r="N51" s="203">
        <v>-4913.2797893184788</v>
      </c>
      <c r="O51" s="204">
        <v>-5441.7844292897807</v>
      </c>
    </row>
    <row r="52" spans="2:18">
      <c r="B52" s="205" t="s">
        <v>190</v>
      </c>
      <c r="C52" s="199"/>
      <c r="D52" s="199" t="s">
        <v>40</v>
      </c>
      <c r="E52" s="199" t="s">
        <v>52</v>
      </c>
      <c r="F52" s="202">
        <v>-160.48913999999999</v>
      </c>
      <c r="G52" s="202">
        <v>-280.57574</v>
      </c>
      <c r="H52" s="202">
        <v>-287.89359999999999</v>
      </c>
      <c r="I52" s="203">
        <v>-325.25968435003045</v>
      </c>
      <c r="J52" s="203">
        <v>-336.91197834826119</v>
      </c>
      <c r="K52" s="203">
        <v>-338.40017559777175</v>
      </c>
      <c r="L52" s="203">
        <v>-345.16817910972719</v>
      </c>
      <c r="M52" s="203">
        <v>-352.07154269192171</v>
      </c>
      <c r="N52" s="203">
        <v>-359.11297354576016</v>
      </c>
      <c r="O52" s="204">
        <v>-366.29523301667541</v>
      </c>
    </row>
    <row r="53" spans="2:18">
      <c r="B53" s="205" t="s">
        <v>191</v>
      </c>
      <c r="C53" s="199"/>
      <c r="D53" s="199" t="s">
        <v>40</v>
      </c>
      <c r="E53" s="199" t="s">
        <v>52</v>
      </c>
      <c r="F53" s="202">
        <v>-412.73894999999999</v>
      </c>
      <c r="G53" s="202">
        <v>-2137.97417</v>
      </c>
      <c r="H53" s="202">
        <v>-75.616799999999998</v>
      </c>
      <c r="I53" s="203">
        <v>0</v>
      </c>
      <c r="J53" s="203">
        <v>0</v>
      </c>
      <c r="K53" s="203">
        <v>0</v>
      </c>
      <c r="L53" s="203">
        <v>0</v>
      </c>
      <c r="M53" s="203">
        <v>0</v>
      </c>
      <c r="N53" s="203">
        <v>0</v>
      </c>
      <c r="O53" s="204">
        <v>0</v>
      </c>
    </row>
    <row r="54" spans="2:18">
      <c r="B54" s="205" t="s">
        <v>192</v>
      </c>
      <c r="C54" s="199"/>
      <c r="D54" s="199" t="s">
        <v>40</v>
      </c>
      <c r="E54" s="199" t="s">
        <v>52</v>
      </c>
      <c r="F54" s="202">
        <v>-43</v>
      </c>
      <c r="G54" s="202">
        <v>-50.187829999999998</v>
      </c>
      <c r="H54" s="202">
        <v>-72.651420000000002</v>
      </c>
      <c r="I54" s="203">
        <v>-75</v>
      </c>
      <c r="J54" s="203">
        <v>-77.686844056968425</v>
      </c>
      <c r="K54" s="203">
        <v>-78.030000000000015</v>
      </c>
      <c r="L54" s="203">
        <v>-79.590600000000009</v>
      </c>
      <c r="M54" s="203">
        <v>-81.182412000000014</v>
      </c>
      <c r="N54" s="203">
        <v>-82.806060240000022</v>
      </c>
      <c r="O54" s="204">
        <v>-84.462181444800024</v>
      </c>
    </row>
    <row r="55" spans="2:18">
      <c r="B55" s="205" t="s">
        <v>193</v>
      </c>
      <c r="C55" s="199"/>
      <c r="D55" s="199" t="s">
        <v>40</v>
      </c>
      <c r="E55" s="199" t="s">
        <v>52</v>
      </c>
      <c r="F55" s="202">
        <v>0</v>
      </c>
      <c r="G55" s="202">
        <v>0</v>
      </c>
      <c r="H55" s="202">
        <v>-80.864829999999998</v>
      </c>
      <c r="I55" s="203">
        <v>-135</v>
      </c>
      <c r="J55" s="203">
        <v>-139.83631930254316</v>
      </c>
      <c r="K55" s="203">
        <v>-140.45400000000004</v>
      </c>
      <c r="L55" s="203">
        <v>-143.26308000000003</v>
      </c>
      <c r="M55" s="203">
        <v>-146.12834160000003</v>
      </c>
      <c r="N55" s="203">
        <v>-149.05090843200003</v>
      </c>
      <c r="O55" s="204">
        <v>-152.03192660064005</v>
      </c>
    </row>
    <row r="56" spans="2:18">
      <c r="B56" s="205" t="s">
        <v>194</v>
      </c>
      <c r="C56" s="199"/>
      <c r="D56" s="199" t="s">
        <v>40</v>
      </c>
      <c r="E56" s="199" t="s">
        <v>52</v>
      </c>
      <c r="F56" s="202">
        <v>-1.6452400000000003</v>
      </c>
      <c r="G56" s="202">
        <v>-1.68529</v>
      </c>
      <c r="H56" s="202">
        <v>-1.716</v>
      </c>
      <c r="I56" s="203">
        <v>-1452.2439999999999</v>
      </c>
      <c r="J56" s="203">
        <v>-1.8763371969657774</v>
      </c>
      <c r="K56" s="203">
        <v>-1.8846252960395133</v>
      </c>
      <c r="L56" s="203">
        <v>-1.9223178019603036</v>
      </c>
      <c r="M56" s="203">
        <v>-1.9607641579995096</v>
      </c>
      <c r="N56" s="203">
        <v>-1.9999794411595</v>
      </c>
      <c r="O56" s="204">
        <v>-2.0399790299826899</v>
      </c>
    </row>
    <row r="57" spans="2:18">
      <c r="B57" s="205" t="s">
        <v>195</v>
      </c>
      <c r="C57" s="199"/>
      <c r="D57" s="199" t="s">
        <v>40</v>
      </c>
      <c r="E57" s="199" t="s">
        <v>52</v>
      </c>
      <c r="F57" s="202">
        <v>0</v>
      </c>
      <c r="G57" s="202">
        <v>0</v>
      </c>
      <c r="H57" s="202">
        <v>0</v>
      </c>
      <c r="I57" s="203">
        <v>-113.789</v>
      </c>
      <c r="J57" s="203">
        <v>-156.02203247673853</v>
      </c>
      <c r="K57" s="203">
        <v>0</v>
      </c>
      <c r="L57" s="203">
        <v>0</v>
      </c>
      <c r="M57" s="203">
        <v>0</v>
      </c>
      <c r="N57" s="203">
        <v>0</v>
      </c>
      <c r="O57" s="204">
        <v>0</v>
      </c>
    </row>
    <row r="58" spans="2:18">
      <c r="B58" s="205" t="s">
        <v>196</v>
      </c>
      <c r="C58" s="199"/>
      <c r="D58" s="199" t="s">
        <v>40</v>
      </c>
      <c r="E58" s="199" t="s">
        <v>52</v>
      </c>
      <c r="F58" s="202">
        <v>0</v>
      </c>
      <c r="G58" s="202">
        <v>0</v>
      </c>
      <c r="H58" s="202">
        <v>0</v>
      </c>
      <c r="I58" s="203">
        <v>0</v>
      </c>
      <c r="J58" s="203">
        <v>-188.80686228949853</v>
      </c>
      <c r="K58" s="203">
        <v>0</v>
      </c>
      <c r="L58" s="203">
        <v>0</v>
      </c>
      <c r="M58" s="203">
        <v>0</v>
      </c>
      <c r="N58" s="203">
        <v>0</v>
      </c>
      <c r="O58" s="204">
        <v>0</v>
      </c>
    </row>
    <row r="59" spans="2:18">
      <c r="B59" s="205" t="s">
        <v>197</v>
      </c>
      <c r="C59" s="199"/>
      <c r="D59" s="199" t="s">
        <v>40</v>
      </c>
      <c r="E59" s="199" t="s">
        <v>52</v>
      </c>
      <c r="F59" s="202">
        <v>0</v>
      </c>
      <c r="G59" s="202">
        <v>0</v>
      </c>
      <c r="H59" s="202">
        <v>0</v>
      </c>
      <c r="I59" s="203">
        <v>-33.133690000000001</v>
      </c>
      <c r="J59" s="203">
        <v>-300.04237014757416</v>
      </c>
      <c r="K59" s="203">
        <v>0</v>
      </c>
      <c r="L59" s="203">
        <v>0</v>
      </c>
      <c r="M59" s="203">
        <v>0</v>
      </c>
      <c r="N59" s="203">
        <v>0</v>
      </c>
      <c r="O59" s="204">
        <v>0</v>
      </c>
    </row>
    <row r="60" spans="2:18">
      <c r="B60" s="205" t="s">
        <v>198</v>
      </c>
      <c r="C60" s="199"/>
      <c r="D60" s="199" t="s">
        <v>40</v>
      </c>
      <c r="E60" s="199" t="s">
        <v>52</v>
      </c>
      <c r="F60" s="202">
        <v>0</v>
      </c>
      <c r="G60" s="202">
        <v>0</v>
      </c>
      <c r="H60" s="202">
        <v>0</v>
      </c>
      <c r="I60" s="203">
        <v>-1100</v>
      </c>
      <c r="J60" s="203">
        <v>-1304.0033433730466</v>
      </c>
      <c r="K60" s="203">
        <v>0</v>
      </c>
      <c r="L60" s="203">
        <v>0</v>
      </c>
      <c r="M60" s="203">
        <v>0</v>
      </c>
      <c r="N60" s="203">
        <v>0</v>
      </c>
      <c r="O60" s="204">
        <v>0</v>
      </c>
    </row>
    <row r="61" spans="2:18">
      <c r="B61" s="205" t="s">
        <v>199</v>
      </c>
      <c r="C61" s="199"/>
      <c r="D61" s="199" t="s">
        <v>40</v>
      </c>
      <c r="E61" s="199" t="s">
        <v>52</v>
      </c>
      <c r="F61" s="202">
        <v>-169</v>
      </c>
      <c r="G61" s="202">
        <v>-173</v>
      </c>
      <c r="H61" s="202">
        <v>-179</v>
      </c>
      <c r="I61" s="203">
        <v>-134</v>
      </c>
      <c r="J61" s="203">
        <v>-148.12291600195314</v>
      </c>
      <c r="K61" s="203">
        <v>-148.77720000000002</v>
      </c>
      <c r="L61" s="203">
        <v>-151.75274400000004</v>
      </c>
      <c r="M61" s="203">
        <v>-154.78779888000003</v>
      </c>
      <c r="N61" s="203">
        <v>-157.88355485760005</v>
      </c>
      <c r="O61" s="204">
        <v>0</v>
      </c>
    </row>
    <row r="62" spans="2:18">
      <c r="B62" s="201"/>
      <c r="C62" s="199"/>
      <c r="D62" s="199"/>
      <c r="E62" s="199"/>
      <c r="F62" s="206"/>
      <c r="G62" s="206"/>
      <c r="H62" s="206"/>
      <c r="I62" s="207"/>
      <c r="J62" s="207"/>
      <c r="K62" s="207"/>
      <c r="L62" s="207"/>
      <c r="M62" s="207"/>
      <c r="N62" s="207"/>
      <c r="O62" s="208"/>
    </row>
    <row r="63" spans="2:18">
      <c r="B63" s="198" t="s">
        <v>200</v>
      </c>
      <c r="C63" s="199"/>
      <c r="D63" s="199" t="s">
        <v>40</v>
      </c>
      <c r="E63" s="199" t="s">
        <v>52</v>
      </c>
      <c r="F63" s="209">
        <f t="shared" ref="F63:J63" si="3">SUM(F42:F61)</f>
        <v>-15772.903572043962</v>
      </c>
      <c r="G63" s="209">
        <f t="shared" si="3"/>
        <v>-17909.520188999461</v>
      </c>
      <c r="H63" s="209">
        <f t="shared" si="3"/>
        <v>-15002.888817403409</v>
      </c>
      <c r="I63" s="210">
        <f t="shared" si="3"/>
        <v>-22170.131436486914</v>
      </c>
      <c r="J63" s="210">
        <f t="shared" si="3"/>
        <v>-21811.683031124401</v>
      </c>
      <c r="K63" s="210">
        <f>SUM(K42:K61)</f>
        <v>-25227.905381923232</v>
      </c>
      <c r="L63" s="210">
        <f t="shared" ref="L63:O63" si="4">SUM(L42:L61)</f>
        <v>-27512.597491072291</v>
      </c>
      <c r="M63" s="210">
        <f t="shared" si="4"/>
        <v>-29752.502927702368</v>
      </c>
      <c r="N63" s="210">
        <f t="shared" si="4"/>
        <v>-26796.822669405996</v>
      </c>
      <c r="O63" s="211">
        <f t="shared" si="4"/>
        <v>-27168.551930422836</v>
      </c>
      <c r="R63" s="212"/>
    </row>
    <row r="64" spans="2:18">
      <c r="B64" s="201"/>
      <c r="C64" s="199"/>
      <c r="D64" s="199"/>
      <c r="E64" s="199"/>
      <c r="F64" s="206"/>
      <c r="G64" s="206"/>
      <c r="H64" s="206"/>
      <c r="I64" s="207"/>
      <c r="J64" s="207"/>
      <c r="K64" s="207"/>
      <c r="L64" s="207"/>
      <c r="M64" s="207"/>
      <c r="N64" s="207"/>
      <c r="O64" s="208"/>
    </row>
    <row r="65" spans="2:18">
      <c r="B65" s="198" t="s">
        <v>201</v>
      </c>
      <c r="C65" s="199"/>
      <c r="D65" s="199" t="s">
        <v>40</v>
      </c>
      <c r="E65" s="199" t="s">
        <v>52</v>
      </c>
      <c r="F65" s="209">
        <f t="shared" ref="F65:O65" si="5">F39+F63</f>
        <v>-2135.9762520439599</v>
      </c>
      <c r="G65" s="209">
        <f t="shared" si="5"/>
        <v>3644.2034210005259</v>
      </c>
      <c r="H65" s="209">
        <f t="shared" si="5"/>
        <v>11685.063430454144</v>
      </c>
      <c r="I65" s="210">
        <f t="shared" si="5"/>
        <v>14668.303565830578</v>
      </c>
      <c r="J65" s="210">
        <f t="shared" si="5"/>
        <v>186.99709511412584</v>
      </c>
      <c r="K65" s="210">
        <f t="shared" si="5"/>
        <v>-10226.485583323793</v>
      </c>
      <c r="L65" s="210">
        <f t="shared" si="5"/>
        <v>6046.9934564284158</v>
      </c>
      <c r="M65" s="210">
        <f t="shared" si="5"/>
        <v>5590.7810142253766</v>
      </c>
      <c r="N65" s="210">
        <f t="shared" si="5"/>
        <v>10009.002484924353</v>
      </c>
      <c r="O65" s="211">
        <f t="shared" si="5"/>
        <v>3684.612356277139</v>
      </c>
    </row>
    <row r="66" spans="2:18">
      <c r="B66" s="201"/>
      <c r="C66" s="199"/>
      <c r="D66" s="199"/>
      <c r="E66" s="199"/>
      <c r="F66" s="206"/>
      <c r="G66" s="206"/>
      <c r="H66" s="206"/>
      <c r="I66" s="207"/>
      <c r="J66" s="207"/>
      <c r="K66" s="207"/>
      <c r="L66" s="207"/>
      <c r="M66" s="207"/>
      <c r="N66" s="207"/>
      <c r="O66" s="208"/>
      <c r="R66" s="212"/>
    </row>
    <row r="67" spans="2:18">
      <c r="B67" s="201" t="s">
        <v>202</v>
      </c>
      <c r="C67" s="199"/>
      <c r="D67" s="199" t="s">
        <v>40</v>
      </c>
      <c r="E67" s="199" t="s">
        <v>52</v>
      </c>
      <c r="F67" s="202">
        <v>329.08461999999997</v>
      </c>
      <c r="G67" s="202">
        <v>9.0581800000000001</v>
      </c>
      <c r="H67" s="202">
        <v>20.000299999999999</v>
      </c>
      <c r="I67" s="203">
        <v>31.628848193324256</v>
      </c>
      <c r="J67" s="203">
        <v>61.150433121146072</v>
      </c>
      <c r="K67" s="203">
        <v>2.5577195788291669E-2</v>
      </c>
      <c r="L67" s="203">
        <v>2.12244783624E-23</v>
      </c>
      <c r="M67" s="203">
        <v>11.951938637327382</v>
      </c>
      <c r="N67" s="203">
        <v>36.773962775031805</v>
      </c>
      <c r="O67" s="204">
        <v>46.576664681143768</v>
      </c>
    </row>
    <row r="68" spans="2:18">
      <c r="B68" s="201" t="s">
        <v>203</v>
      </c>
      <c r="C68" s="199"/>
      <c r="D68" s="199" t="s">
        <v>40</v>
      </c>
      <c r="E68" s="199" t="s">
        <v>52</v>
      </c>
      <c r="F68" s="202">
        <v>-388.32173</v>
      </c>
      <c r="G68" s="202">
        <v>-482.1388</v>
      </c>
      <c r="H68" s="202">
        <v>-647.52929999999992</v>
      </c>
      <c r="I68" s="203">
        <v>-693.49312499999996</v>
      </c>
      <c r="J68" s="203">
        <v>-583.0020750000001</v>
      </c>
      <c r="K68" s="203">
        <v>-563.98788552767292</v>
      </c>
      <c r="L68" s="203">
        <v>-698.88065878468853</v>
      </c>
      <c r="M68" s="203">
        <v>-883.23329142465627</v>
      </c>
      <c r="N68" s="203">
        <v>-730.62400736489531</v>
      </c>
      <c r="O68" s="204">
        <v>-614.34578245883381</v>
      </c>
    </row>
    <row r="69" spans="2:18">
      <c r="B69" s="201" t="s">
        <v>204</v>
      </c>
      <c r="C69" s="199"/>
      <c r="D69" s="199" t="s">
        <v>40</v>
      </c>
      <c r="E69" s="199" t="s">
        <v>52</v>
      </c>
      <c r="F69" s="202">
        <v>0</v>
      </c>
      <c r="G69" s="202">
        <v>0</v>
      </c>
      <c r="H69" s="202">
        <v>-93.007720000000006</v>
      </c>
      <c r="I69" s="203">
        <v>-150</v>
      </c>
      <c r="J69" s="203">
        <v>0</v>
      </c>
      <c r="K69" s="203">
        <v>0</v>
      </c>
      <c r="L69" s="203">
        <v>0</v>
      </c>
      <c r="M69" s="203">
        <v>0</v>
      </c>
      <c r="N69" s="203">
        <v>0</v>
      </c>
      <c r="O69" s="204">
        <v>0</v>
      </c>
    </row>
    <row r="70" spans="2:18">
      <c r="B70" s="201"/>
      <c r="C70" s="199"/>
      <c r="D70" s="199"/>
      <c r="E70" s="199"/>
      <c r="F70" s="206"/>
      <c r="G70" s="206"/>
      <c r="H70" s="206"/>
      <c r="I70" s="207"/>
      <c r="J70" s="207"/>
      <c r="K70" s="207"/>
      <c r="L70" s="207"/>
      <c r="M70" s="207"/>
      <c r="N70" s="207"/>
      <c r="O70" s="208"/>
    </row>
    <row r="71" spans="2:18">
      <c r="B71" s="201" t="s">
        <v>205</v>
      </c>
      <c r="C71" s="199"/>
      <c r="D71" s="199" t="s">
        <v>40</v>
      </c>
      <c r="E71" s="199" t="s">
        <v>52</v>
      </c>
      <c r="F71" s="209">
        <f t="shared" ref="F71:O71" si="6">SUM(F67:F69)</f>
        <v>-59.23711000000003</v>
      </c>
      <c r="G71" s="209">
        <f t="shared" si="6"/>
        <v>-473.08062000000001</v>
      </c>
      <c r="H71" s="209">
        <f t="shared" si="6"/>
        <v>-720.53671999999983</v>
      </c>
      <c r="I71" s="210">
        <f t="shared" si="6"/>
        <v>-811.86427680667566</v>
      </c>
      <c r="J71" s="210">
        <f t="shared" si="6"/>
        <v>-521.85164187885402</v>
      </c>
      <c r="K71" s="210">
        <f t="shared" si="6"/>
        <v>-563.96230833188463</v>
      </c>
      <c r="L71" s="210">
        <f t="shared" si="6"/>
        <v>-698.88065878468853</v>
      </c>
      <c r="M71" s="210">
        <f t="shared" si="6"/>
        <v>-871.28135278732884</v>
      </c>
      <c r="N71" s="210">
        <f t="shared" si="6"/>
        <v>-693.8500445898635</v>
      </c>
      <c r="O71" s="211">
        <f t="shared" si="6"/>
        <v>-567.7691177776901</v>
      </c>
    </row>
    <row r="72" spans="2:18">
      <c r="B72" s="201"/>
      <c r="C72" s="199"/>
      <c r="D72" s="199"/>
      <c r="E72" s="199"/>
      <c r="F72" s="206"/>
      <c r="G72" s="206"/>
      <c r="H72" s="206"/>
      <c r="I72" s="207"/>
      <c r="J72" s="207"/>
      <c r="K72" s="207"/>
      <c r="L72" s="207"/>
      <c r="M72" s="207"/>
      <c r="N72" s="207"/>
      <c r="O72" s="208"/>
    </row>
    <row r="73" spans="2:18">
      <c r="B73" s="198" t="s">
        <v>206</v>
      </c>
      <c r="C73" s="199"/>
      <c r="D73" s="199" t="s">
        <v>40</v>
      </c>
      <c r="E73" s="199" t="s">
        <v>52</v>
      </c>
      <c r="F73" s="209">
        <f t="shared" ref="F73:O73" si="7">F65+F71</f>
        <v>-2195.2133620439599</v>
      </c>
      <c r="G73" s="209">
        <f t="shared" si="7"/>
        <v>3171.1228010005257</v>
      </c>
      <c r="H73" s="209">
        <f t="shared" si="7"/>
        <v>10964.526710454144</v>
      </c>
      <c r="I73" s="210">
        <f t="shared" si="7"/>
        <v>13856.439289023903</v>
      </c>
      <c r="J73" s="210">
        <f t="shared" si="7"/>
        <v>-334.85454676472818</v>
      </c>
      <c r="K73" s="210">
        <f>K65+K71</f>
        <v>-10790.447891655676</v>
      </c>
      <c r="L73" s="210">
        <f t="shared" si="7"/>
        <v>5348.1127976437274</v>
      </c>
      <c r="M73" s="210">
        <f t="shared" si="7"/>
        <v>4719.499661438048</v>
      </c>
      <c r="N73" s="210">
        <f t="shared" si="7"/>
        <v>9315.1524403344883</v>
      </c>
      <c r="O73" s="211">
        <f t="shared" si="7"/>
        <v>3116.8432384994489</v>
      </c>
    </row>
    <row r="74" spans="2:18">
      <c r="B74" s="198"/>
      <c r="C74" s="199"/>
      <c r="D74" s="199"/>
      <c r="E74" s="199"/>
      <c r="F74" s="206"/>
      <c r="G74" s="206"/>
      <c r="H74" s="206"/>
      <c r="I74" s="207"/>
      <c r="J74" s="207"/>
      <c r="K74" s="207"/>
      <c r="L74" s="207"/>
      <c r="M74" s="207"/>
      <c r="N74" s="207"/>
      <c r="O74" s="208"/>
    </row>
    <row r="75" spans="2:18">
      <c r="B75" s="198" t="s">
        <v>207</v>
      </c>
      <c r="C75" s="199"/>
      <c r="D75" s="199" t="s">
        <v>40</v>
      </c>
      <c r="E75" s="199" t="s">
        <v>52</v>
      </c>
      <c r="F75" s="202">
        <v>146.86099999999999</v>
      </c>
      <c r="G75" s="202">
        <v>-947.16096000000005</v>
      </c>
      <c r="H75" s="202">
        <v>-1088.3150000000001</v>
      </c>
      <c r="I75" s="203">
        <v>-2742.370550599117</v>
      </c>
      <c r="J75" s="203">
        <v>310.42723829246273</v>
      </c>
      <c r="K75" s="203">
        <v>1962.5595117298526</v>
      </c>
      <c r="L75" s="203">
        <v>-778.43213804809432</v>
      </c>
      <c r="M75" s="203">
        <v>-668.95296414210168</v>
      </c>
      <c r="N75" s="203">
        <v>-1447.5466969884424</v>
      </c>
      <c r="O75" s="204">
        <v>-391.11354831910802</v>
      </c>
    </row>
    <row r="76" spans="2:18" ht="14.65" thickBot="1">
      <c r="B76" s="213"/>
      <c r="C76" s="214"/>
      <c r="D76" s="214"/>
      <c r="E76" s="214"/>
      <c r="F76" s="215"/>
      <c r="G76" s="215"/>
      <c r="H76" s="215"/>
      <c r="I76" s="216"/>
      <c r="J76" s="216"/>
      <c r="K76" s="216"/>
      <c r="L76" s="216"/>
      <c r="M76" s="216"/>
      <c r="N76" s="216"/>
      <c r="O76" s="217"/>
    </row>
    <row r="77" spans="2:18">
      <c r="F77" s="8"/>
      <c r="G77" s="8"/>
      <c r="H77" s="10"/>
    </row>
    <row r="78" spans="2:18">
      <c r="F78" s="218"/>
      <c r="G78" s="218"/>
      <c r="H78" s="218"/>
      <c r="I78" s="218"/>
      <c r="J78" s="218"/>
      <c r="K78" s="218"/>
      <c r="L78" s="218"/>
      <c r="M78" s="218"/>
      <c r="N78" s="218"/>
      <c r="O78" s="218"/>
    </row>
    <row r="79" spans="2:18">
      <c r="F79" s="8"/>
      <c r="G79" s="8"/>
      <c r="H79" s="10"/>
    </row>
    <row r="80" spans="2:18">
      <c r="F80" s="218"/>
      <c r="G80" s="218"/>
      <c r="H80" s="218"/>
      <c r="I80" s="219"/>
    </row>
    <row r="81" spans="6:9">
      <c r="F81" s="218"/>
      <c r="G81" s="218"/>
      <c r="H81" s="218"/>
      <c r="I81" s="219"/>
    </row>
    <row r="82" spans="6:9">
      <c r="F82" s="218"/>
      <c r="G82" s="218"/>
      <c r="H82" s="218"/>
      <c r="I82" s="219"/>
    </row>
    <row r="83" spans="6:9">
      <c r="F83" s="220"/>
      <c r="G83" s="220"/>
      <c r="H83" s="221"/>
      <c r="I83" s="219"/>
    </row>
    <row r="84" spans="6:9">
      <c r="F84" s="220"/>
      <c r="G84" s="8"/>
      <c r="H84" s="10"/>
    </row>
    <row r="85" spans="6:9">
      <c r="F85" s="220"/>
      <c r="G85" s="8"/>
      <c r="H85" s="10"/>
    </row>
    <row r="86" spans="6:9">
      <c r="F86" s="220"/>
      <c r="G86" s="8"/>
      <c r="H86" s="10"/>
    </row>
    <row r="87" spans="6:9">
      <c r="F87" s="220"/>
      <c r="G87" s="8"/>
      <c r="H87" s="10"/>
    </row>
    <row r="88" spans="6:9">
      <c r="F88" s="8"/>
      <c r="G88" s="8"/>
      <c r="H88" s="10"/>
    </row>
    <row r="89" spans="6:9">
      <c r="F89" s="8"/>
      <c r="G89" s="8"/>
      <c r="H89" s="10"/>
    </row>
    <row r="90" spans="6:9">
      <c r="F90" s="8"/>
      <c r="G90" s="8"/>
      <c r="H90" s="10"/>
    </row>
    <row r="91" spans="6:9">
      <c r="F91" s="8"/>
      <c r="G91" s="8"/>
      <c r="H91" s="10"/>
    </row>
    <row r="92" spans="6:9">
      <c r="F92" s="220"/>
      <c r="G92" s="220"/>
      <c r="H92" s="220"/>
    </row>
  </sheetData>
  <mergeCells count="6">
    <mergeCell ref="K11:O11"/>
    <mergeCell ref="C11:C12"/>
    <mergeCell ref="D11:D12"/>
    <mergeCell ref="E11:E12"/>
    <mergeCell ref="F11:H11"/>
    <mergeCell ref="I11:J11"/>
  </mergeCells>
  <pageMargins left="0.70866141732283472" right="0.70866141732283472" top="0.74803149606299213" bottom="0.74803149606299213" header="0.31496062992125984" footer="0.31496062992125984"/>
  <pageSetup paperSize="9" scale="73" fitToHeight="2" orientation="landscape" r:id="rId1"/>
  <rowBreaks count="1" manualBreakCount="1">
    <brk id="40" min="1"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T95"/>
  <sheetViews>
    <sheetView showGridLines="0" zoomScale="90" zoomScaleNormal="90" workbookViewId="0"/>
  </sheetViews>
  <sheetFormatPr defaultColWidth="8.6640625" defaultRowHeight="14.25"/>
  <cols>
    <col min="1" max="1" width="37.33203125" customWidth="1"/>
    <col min="2" max="2" width="17.6640625" customWidth="1"/>
    <col min="3" max="3" width="13.1328125" customWidth="1"/>
  </cols>
  <sheetData>
    <row r="1" spans="1:46" ht="18">
      <c r="A1" s="267" t="s">
        <v>351</v>
      </c>
      <c r="B1" s="267"/>
      <c r="J1" s="273"/>
      <c r="K1" s="273">
        <v>1</v>
      </c>
      <c r="L1" s="273">
        <v>2</v>
      </c>
      <c r="M1" s="273">
        <v>3</v>
      </c>
      <c r="N1" s="273">
        <v>4</v>
      </c>
      <c r="O1" s="273">
        <v>5</v>
      </c>
    </row>
    <row r="2" spans="1:46">
      <c r="D2" s="228" t="s">
        <v>15</v>
      </c>
      <c r="E2" s="228" t="s">
        <v>16</v>
      </c>
      <c r="F2" s="228" t="s">
        <v>0</v>
      </c>
      <c r="G2" s="228" t="s">
        <v>1</v>
      </c>
      <c r="H2" s="228" t="s">
        <v>2</v>
      </c>
      <c r="I2" s="228" t="s">
        <v>3</v>
      </c>
      <c r="J2" s="228" t="s">
        <v>4</v>
      </c>
      <c r="K2" s="228" t="s">
        <v>5</v>
      </c>
      <c r="L2" s="228" t="s">
        <v>6</v>
      </c>
      <c r="M2" s="228" t="s">
        <v>7</v>
      </c>
      <c r="N2" s="228" t="s">
        <v>8</v>
      </c>
      <c r="O2" s="228" t="s">
        <v>9</v>
      </c>
    </row>
    <row r="3" spans="1:46">
      <c r="A3" t="s">
        <v>214</v>
      </c>
      <c r="C3" s="3"/>
      <c r="D3" s="4">
        <f>Inflation!$H3/Inflation!C3</f>
        <v>1.0802681627041077</v>
      </c>
      <c r="E3" s="4">
        <f>Inflation!$H3/Inflation!D3</f>
        <v>1.077499824819564</v>
      </c>
      <c r="F3" s="4">
        <f>Inflation!$H3/Inflation!E3</f>
        <v>1.0701616591437833</v>
      </c>
      <c r="G3" s="4">
        <f>Inflation!$H3/Inflation!F3</f>
        <v>1.0427508573421425</v>
      </c>
      <c r="H3" s="4">
        <f>Inflation!$H3/Inflation!G3</f>
        <v>1.0200428338577006</v>
      </c>
      <c r="I3" s="4">
        <f>Inflation!$H3/Inflation!H3</f>
        <v>1</v>
      </c>
      <c r="J3" s="4">
        <f>Inflation!$H3/Inflation!I3</f>
        <v>0.99115101289134444</v>
      </c>
      <c r="K3" s="4"/>
      <c r="L3" s="4"/>
      <c r="M3" s="4"/>
      <c r="N3" s="4"/>
      <c r="O3" s="4"/>
    </row>
    <row r="4" spans="1:46">
      <c r="A4" t="s">
        <v>213</v>
      </c>
      <c r="C4" s="3"/>
      <c r="D4" s="4"/>
      <c r="E4" s="4"/>
      <c r="F4" s="4"/>
      <c r="G4" s="4"/>
      <c r="H4" s="4"/>
      <c r="I4" s="4"/>
      <c r="J4" s="4"/>
      <c r="K4" s="4">
        <f>Inflation!$H$3/(Inflation!$I$3*(1+Inflation!$C$16)^K1)</f>
        <v>0.97171667930523964</v>
      </c>
      <c r="L4" s="4">
        <f>Inflation!$H$3/(Inflation!$I$3*(1+Inflation!$C$16)^L1)</f>
        <v>0.95266341108356822</v>
      </c>
      <c r="M4" s="4">
        <f>Inflation!$H$3/(Inflation!$I$3*(1+Inflation!$C$16)^M1)</f>
        <v>0.9339837363564395</v>
      </c>
      <c r="N4" s="4">
        <f>Inflation!$H$3/(Inflation!$I$3*(1+Inflation!$C$16)^N1)</f>
        <v>0.91567032976121521</v>
      </c>
      <c r="O4" s="4">
        <f>Inflation!$H$3/(Inflation!$I$3*(1+Inflation!$C$16)^O1)</f>
        <v>0.89771600956981878</v>
      </c>
    </row>
    <row r="5" spans="1:46">
      <c r="A5" t="s">
        <v>55</v>
      </c>
      <c r="C5" s="3"/>
      <c r="D5" s="4">
        <f t="shared" ref="D5:O5" si="0">D3+D4</f>
        <v>1.0802681627041077</v>
      </c>
      <c r="E5" s="4">
        <f t="shared" si="0"/>
        <v>1.077499824819564</v>
      </c>
      <c r="F5" s="4">
        <f t="shared" si="0"/>
        <v>1.0701616591437833</v>
      </c>
      <c r="G5" s="4">
        <f t="shared" si="0"/>
        <v>1.0427508573421425</v>
      </c>
      <c r="H5" s="4">
        <f t="shared" si="0"/>
        <v>1.0200428338577006</v>
      </c>
      <c r="I5" s="4">
        <f t="shared" si="0"/>
        <v>1</v>
      </c>
      <c r="J5" s="4">
        <f t="shared" si="0"/>
        <v>0.99115101289134444</v>
      </c>
      <c r="K5" s="4">
        <f t="shared" si="0"/>
        <v>0.97171667930523964</v>
      </c>
      <c r="L5" s="4">
        <f t="shared" si="0"/>
        <v>0.95266341108356822</v>
      </c>
      <c r="M5" s="4">
        <f t="shared" si="0"/>
        <v>0.9339837363564395</v>
      </c>
      <c r="N5" s="4">
        <f t="shared" si="0"/>
        <v>0.91567032976121521</v>
      </c>
      <c r="O5" s="4">
        <f t="shared" si="0"/>
        <v>0.89771600956981878</v>
      </c>
    </row>
    <row r="6" spans="1:46">
      <c r="A6" t="s">
        <v>208</v>
      </c>
      <c r="C6" s="3"/>
      <c r="D6" s="4">
        <f>Inflation!F6/Inflation!$F6</f>
        <v>1</v>
      </c>
      <c r="E6" s="4">
        <f>Inflation!G6/Inflation!$F6</f>
        <v>1.0089949159170903</v>
      </c>
      <c r="F6" s="4">
        <f>Inflation!H6/Inflation!$F6</f>
        <v>1.0222917481423544</v>
      </c>
      <c r="G6" s="4">
        <f>Inflation!I6/Inflation!$F6</f>
        <v>1.0582714118107157</v>
      </c>
      <c r="H6" s="4">
        <f>Inflation!J6/Inflation!$F6</f>
        <v>1.0938599921783341</v>
      </c>
      <c r="I6" s="4">
        <f>Inflation!K6/Inflation!$F6</f>
        <v>1.127102072741494</v>
      </c>
      <c r="J6" s="4">
        <f>Inflation!L6/Inflation!$F6</f>
        <v>1.1443097379741887</v>
      </c>
    </row>
    <row r="7" spans="1:46">
      <c r="A7" t="s">
        <v>209</v>
      </c>
      <c r="C7" s="3"/>
      <c r="J7" s="4"/>
      <c r="K7" s="4"/>
      <c r="L7" s="4"/>
      <c r="M7" s="4"/>
      <c r="N7" s="4"/>
      <c r="O7" s="4"/>
    </row>
    <row r="8" spans="1:46">
      <c r="A8" t="s">
        <v>210</v>
      </c>
      <c r="C8" s="3"/>
      <c r="D8" s="4">
        <f t="shared" ref="D8:J8" si="1">D6+D7</f>
        <v>1</v>
      </c>
      <c r="E8" s="4">
        <f t="shared" si="1"/>
        <v>1.0089949159170903</v>
      </c>
      <c r="F8" s="4">
        <f t="shared" si="1"/>
        <v>1.0222917481423544</v>
      </c>
      <c r="G8" s="4">
        <f t="shared" si="1"/>
        <v>1.0582714118107157</v>
      </c>
      <c r="H8" s="4">
        <f t="shared" si="1"/>
        <v>1.0938599921783341</v>
      </c>
      <c r="I8" s="4">
        <f t="shared" si="1"/>
        <v>1.127102072741494</v>
      </c>
      <c r="J8" s="4">
        <f t="shared" si="1"/>
        <v>1.1443097379741887</v>
      </c>
      <c r="K8" s="4"/>
      <c r="L8" s="4"/>
      <c r="M8" s="4"/>
      <c r="N8" s="4"/>
      <c r="O8" s="4"/>
    </row>
    <row r="9" spans="1:46">
      <c r="A9" t="s">
        <v>423</v>
      </c>
      <c r="C9" s="3"/>
      <c r="D9" s="4">
        <v>1</v>
      </c>
      <c r="E9" s="4">
        <v>1</v>
      </c>
      <c r="F9" s="4">
        <v>1</v>
      </c>
      <c r="G9" s="4">
        <v>1</v>
      </c>
      <c r="H9" s="4">
        <v>1</v>
      </c>
      <c r="I9" s="4">
        <v>1</v>
      </c>
      <c r="J9" s="4">
        <f>1/J3</f>
        <v>1.0089279907840094</v>
      </c>
      <c r="K9" s="4">
        <f>1/K4</f>
        <v>1.0291065505996897</v>
      </c>
      <c r="L9" s="4">
        <f>1/L4</f>
        <v>1.0496886816116835</v>
      </c>
      <c r="M9" s="4">
        <f>1/M4</f>
        <v>1.0706824552439171</v>
      </c>
      <c r="N9" s="4">
        <f>1/N4</f>
        <v>1.0920961043487953</v>
      </c>
      <c r="O9" s="4">
        <f>1/O4</f>
        <v>1.1139380264357714</v>
      </c>
    </row>
    <row r="10" spans="1:46">
      <c r="P10" s="226"/>
      <c r="Q10" s="226"/>
      <c r="R10" s="226"/>
      <c r="S10" s="226"/>
    </row>
    <row r="13" spans="1:46" ht="18">
      <c r="A13" s="267" t="s">
        <v>352</v>
      </c>
      <c r="B13" s="267"/>
      <c r="Z13" s="267" t="s">
        <v>464</v>
      </c>
      <c r="AK13" s="267" t="s">
        <v>466</v>
      </c>
      <c r="AL13" s="299"/>
      <c r="AM13" s="299"/>
      <c r="AN13" s="299"/>
      <c r="AO13" s="299"/>
      <c r="AP13" s="299"/>
      <c r="AQ13" s="299"/>
      <c r="AR13" s="299"/>
      <c r="AS13" s="299"/>
      <c r="AT13" s="299"/>
    </row>
    <row r="14" spans="1:46">
      <c r="C14" s="270" t="s">
        <v>11</v>
      </c>
      <c r="D14" s="473" t="s">
        <v>57</v>
      </c>
      <c r="E14" s="473"/>
      <c r="F14" s="473"/>
      <c r="G14" s="475" t="s">
        <v>422</v>
      </c>
      <c r="H14" s="475"/>
      <c r="I14" s="474" t="s">
        <v>65</v>
      </c>
      <c r="J14" s="474"/>
      <c r="K14" s="474"/>
      <c r="L14" s="474"/>
      <c r="M14" s="474"/>
      <c r="O14" s="476" t="s">
        <v>218</v>
      </c>
      <c r="P14" s="476"/>
      <c r="Q14" s="476"/>
      <c r="R14" s="476"/>
      <c r="S14" s="476"/>
      <c r="T14" s="476" t="s">
        <v>65</v>
      </c>
      <c r="U14" s="476"/>
      <c r="V14" s="476"/>
      <c r="W14" s="476"/>
      <c r="X14" s="476"/>
      <c r="Z14" s="476" t="s">
        <v>218</v>
      </c>
      <c r="AA14" s="476"/>
      <c r="AB14" s="476"/>
      <c r="AC14" s="476"/>
      <c r="AD14" s="476"/>
      <c r="AE14" s="476" t="s">
        <v>65</v>
      </c>
      <c r="AF14" s="476"/>
      <c r="AG14" s="476"/>
      <c r="AH14" s="476"/>
      <c r="AI14" s="476"/>
      <c r="AK14" s="476" t="s">
        <v>218</v>
      </c>
      <c r="AL14" s="476"/>
      <c r="AM14" s="476"/>
      <c r="AN14" s="476"/>
      <c r="AO14" s="476"/>
      <c r="AP14" s="476" t="s">
        <v>65</v>
      </c>
      <c r="AQ14" s="476"/>
      <c r="AR14" s="476"/>
      <c r="AS14" s="476"/>
      <c r="AT14" s="476"/>
    </row>
    <row r="15" spans="1:46">
      <c r="A15" s="1" t="s">
        <v>62</v>
      </c>
      <c r="B15" s="1" t="s">
        <v>10</v>
      </c>
      <c r="C15" s="1"/>
      <c r="D15" s="277" t="s">
        <v>0</v>
      </c>
      <c r="E15" s="277" t="s">
        <v>1</v>
      </c>
      <c r="F15" s="277" t="s">
        <v>2</v>
      </c>
      <c r="G15" s="286" t="s">
        <v>3</v>
      </c>
      <c r="H15" s="286" t="s">
        <v>4</v>
      </c>
      <c r="I15" s="278" t="s">
        <v>5</v>
      </c>
      <c r="J15" s="278" t="s">
        <v>6</v>
      </c>
      <c r="K15" s="278" t="s">
        <v>7</v>
      </c>
      <c r="L15" s="278" t="s">
        <v>8</v>
      </c>
      <c r="M15" s="278" t="s">
        <v>9</v>
      </c>
      <c r="O15" s="306" t="s">
        <v>0</v>
      </c>
      <c r="P15" s="306" t="s">
        <v>1</v>
      </c>
      <c r="Q15" s="306" t="s">
        <v>2</v>
      </c>
      <c r="R15" s="306" t="s">
        <v>3</v>
      </c>
      <c r="S15" s="306" t="s">
        <v>4</v>
      </c>
      <c r="T15" s="306" t="s">
        <v>5</v>
      </c>
      <c r="U15" s="306" t="s">
        <v>6</v>
      </c>
      <c r="V15" s="306" t="s">
        <v>7</v>
      </c>
      <c r="W15" s="306" t="s">
        <v>8</v>
      </c>
      <c r="X15" s="306" t="s">
        <v>9</v>
      </c>
      <c r="Z15" s="306" t="s">
        <v>0</v>
      </c>
      <c r="AA15" s="306" t="s">
        <v>1</v>
      </c>
      <c r="AB15" s="306" t="s">
        <v>2</v>
      </c>
      <c r="AC15" s="306" t="s">
        <v>3</v>
      </c>
      <c r="AD15" s="306" t="s">
        <v>4</v>
      </c>
      <c r="AE15" s="306" t="s">
        <v>5</v>
      </c>
      <c r="AF15" s="306" t="s">
        <v>6</v>
      </c>
      <c r="AG15" s="306" t="s">
        <v>7</v>
      </c>
      <c r="AH15" s="306" t="s">
        <v>8</v>
      </c>
      <c r="AI15" s="306" t="s">
        <v>9</v>
      </c>
      <c r="AK15" s="306" t="s">
        <v>0</v>
      </c>
      <c r="AL15" s="306" t="s">
        <v>1</v>
      </c>
      <c r="AM15" s="306" t="s">
        <v>2</v>
      </c>
      <c r="AN15" s="306" t="s">
        <v>3</v>
      </c>
      <c r="AO15" s="306" t="s">
        <v>4</v>
      </c>
      <c r="AP15" s="306" t="s">
        <v>5</v>
      </c>
      <c r="AQ15" s="306" t="s">
        <v>6</v>
      </c>
      <c r="AR15" s="306" t="s">
        <v>7</v>
      </c>
      <c r="AS15" s="306" t="s">
        <v>8</v>
      </c>
      <c r="AT15" s="306" t="s">
        <v>9</v>
      </c>
    </row>
    <row r="16" spans="1:46">
      <c r="A16" t="s">
        <v>39</v>
      </c>
      <c r="B16" s="63" t="s">
        <v>40</v>
      </c>
      <c r="C16" s="3"/>
      <c r="D16" s="67">
        <f>'4 RAB Overview'!N9</f>
        <v>3708.7453635684433</v>
      </c>
      <c r="E16" s="67">
        <f>'4 RAB Overview'!O9</f>
        <v>3584.700505978265</v>
      </c>
      <c r="F16" s="67">
        <f>'4 RAB Overview'!P9</f>
        <v>3447.7427916968099</v>
      </c>
      <c r="G16" s="287">
        <f>'4 RAB Overview'!Q9</f>
        <v>3355.1942301830795</v>
      </c>
      <c r="H16" s="287">
        <f>'4 RAB Overview'!R9</f>
        <v>3198.8039607720307</v>
      </c>
      <c r="I16" s="69">
        <f>'4 RAB Overview'!S9</f>
        <v>3090.3915434910191</v>
      </c>
      <c r="J16" s="68">
        <f>'4 RAB Overview'!T9</f>
        <v>4574.9970115403839</v>
      </c>
      <c r="K16" s="68">
        <f>'4 RAB Overview'!U9</f>
        <v>4415.5107233497492</v>
      </c>
      <c r="L16" s="68">
        <f>'4 RAB Overview'!V9</f>
        <v>4253.7108803816745</v>
      </c>
      <c r="M16" s="68">
        <f>'4 RAB Overview'!W9</f>
        <v>4089.583601307495</v>
      </c>
      <c r="O16" s="257">
        <f>D16/F$8</f>
        <v>3627.8737163904016</v>
      </c>
      <c r="P16" s="257">
        <f t="shared" ref="P16:Q16" si="2">E16/G$8</f>
        <v>3387.3167752351897</v>
      </c>
      <c r="Q16" s="257">
        <f t="shared" si="2"/>
        <v>3151.9050119301905</v>
      </c>
      <c r="R16" s="257">
        <f>G16*(Inflation!$F$6/Inflation!$K$6)</f>
        <v>2976.8326324004629</v>
      </c>
      <c r="S16" s="257">
        <f>H16*(Inflation!$F$6/Inflation!$K$6)</f>
        <v>2838.0783232803892</v>
      </c>
      <c r="T16" s="307">
        <f>I16</f>
        <v>3090.3915434910191</v>
      </c>
      <c r="U16" s="307">
        <f t="shared" ref="U16" si="3">J16</f>
        <v>4574.9970115403839</v>
      </c>
      <c r="V16" s="307">
        <f t="shared" ref="V16" si="4">K16</f>
        <v>4415.5107233497492</v>
      </c>
      <c r="W16" s="307">
        <f t="shared" ref="W16" si="5">L16</f>
        <v>4253.7108803816745</v>
      </c>
      <c r="X16" s="307">
        <f t="shared" ref="X16" si="6">M16</f>
        <v>4089.583601307495</v>
      </c>
      <c r="Z16" s="257">
        <f>'RAB summary'!I11</f>
        <v>2497.3320646319571</v>
      </c>
      <c r="AA16" s="257">
        <f>'RAB summary'!J11</f>
        <v>2578.6555324437431</v>
      </c>
      <c r="AB16" s="257">
        <f>'RAB summary'!K11</f>
        <v>2567.158147972189</v>
      </c>
      <c r="AC16" s="257">
        <f>'RAB summary'!L11</f>
        <v>2538.8864631618198</v>
      </c>
      <c r="AD16" s="257">
        <f>'RAB summary'!M11</f>
        <v>2480.6442120338652</v>
      </c>
      <c r="AE16" s="307">
        <f>'RAB summary'!I59</f>
        <v>2499.0312972001093</v>
      </c>
      <c r="AF16" s="307">
        <f>'RAB summary'!J59</f>
        <v>2379.8474799432333</v>
      </c>
      <c r="AG16" s="307">
        <f>'RAB summary'!K59</f>
        <v>2258.7636626863573</v>
      </c>
      <c r="AH16" s="307">
        <f>'RAB summary'!L59</f>
        <v>2099.0298454294816</v>
      </c>
      <c r="AI16" s="307">
        <f>'RAB summary'!M59</f>
        <v>1938.8960281726061</v>
      </c>
      <c r="AK16" s="308">
        <f>Z16-O16</f>
        <v>-1130.5416517584445</v>
      </c>
      <c r="AL16" s="308">
        <f t="shared" ref="AL16:AT16" si="7">AA16-P16</f>
        <v>-808.66124279144651</v>
      </c>
      <c r="AM16" s="308">
        <f t="shared" si="7"/>
        <v>-584.74686395800154</v>
      </c>
      <c r="AN16" s="308">
        <f t="shared" si="7"/>
        <v>-437.94616923864305</v>
      </c>
      <c r="AO16" s="308">
        <f t="shared" si="7"/>
        <v>-357.43411124652403</v>
      </c>
      <c r="AP16" s="308">
        <f t="shared" si="7"/>
        <v>-591.3602462909098</v>
      </c>
      <c r="AQ16" s="308">
        <f t="shared" si="7"/>
        <v>-2195.1495315971506</v>
      </c>
      <c r="AR16" s="308">
        <f t="shared" si="7"/>
        <v>-2156.7470606633919</v>
      </c>
      <c r="AS16" s="308">
        <f t="shared" si="7"/>
        <v>-2154.6810349521929</v>
      </c>
      <c r="AT16" s="308">
        <f t="shared" si="7"/>
        <v>-2150.6875731348891</v>
      </c>
    </row>
    <row r="17" spans="1:46">
      <c r="A17" t="s">
        <v>60</v>
      </c>
      <c r="B17" s="63" t="s">
        <v>40</v>
      </c>
      <c r="C17" s="3"/>
      <c r="D17" s="67">
        <f>'4 RAB Overview'!N10</f>
        <v>29.1779346977812</v>
      </c>
      <c r="E17" s="67">
        <f>'4 RAB Overview'!O10</f>
        <v>16.597018373983737</v>
      </c>
      <c r="F17" s="67">
        <f>'4 RAB Overview'!P10</f>
        <v>62.589909703253483</v>
      </c>
      <c r="G17" s="287">
        <f>'4 RAB Overview'!Q10</f>
        <v>0</v>
      </c>
      <c r="H17" s="287">
        <f>'4 RAB Overview'!R10</f>
        <v>0</v>
      </c>
      <c r="I17" s="70">
        <f>'4 RAB Overview'!S10</f>
        <v>1677.002</v>
      </c>
      <c r="J17" s="68">
        <f>'4 RAB Overview'!T10</f>
        <v>67.806411999999995</v>
      </c>
      <c r="K17" s="68">
        <f>'4 RAB Overview'!U10</f>
        <v>68.213250471999999</v>
      </c>
      <c r="L17" s="68">
        <f>'4 RAB Overview'!V10</f>
        <v>68.622529974832005</v>
      </c>
      <c r="M17" s="68">
        <f>'4 RAB Overview'!W10</f>
        <v>69.034265154680995</v>
      </c>
      <c r="O17" s="257">
        <f t="shared" ref="O17:O20" si="8">D17/F$8</f>
        <v>28.541690521127212</v>
      </c>
      <c r="P17" s="257">
        <f t="shared" ref="P17:P20" si="9">E17/G$8</f>
        <v>15.683139683028978</v>
      </c>
      <c r="Q17" s="257">
        <f t="shared" ref="Q17:Q20" si="10">F17/H$8</f>
        <v>57.219306081951785</v>
      </c>
      <c r="R17" s="257">
        <f>G17*(Inflation!$F$6/Inflation!$K$6)</f>
        <v>0</v>
      </c>
      <c r="S17" s="257">
        <f>H17*(Inflation!$F$6/Inflation!$K$6)</f>
        <v>0</v>
      </c>
      <c r="T17" s="307">
        <f>I17</f>
        <v>1677.002</v>
      </c>
      <c r="U17" s="307">
        <f t="shared" ref="U17:U20" si="11">J17</f>
        <v>67.806411999999995</v>
      </c>
      <c r="V17" s="307">
        <f t="shared" ref="V17:V20" si="12">K17</f>
        <v>68.213250471999999</v>
      </c>
      <c r="W17" s="307">
        <f t="shared" ref="W17:W20" si="13">L17</f>
        <v>68.622529974832005</v>
      </c>
      <c r="X17" s="307">
        <f t="shared" ref="X17:X20" si="14">M17</f>
        <v>69.034265154680995</v>
      </c>
      <c r="Z17" s="257">
        <f>'RAB summary'!I12</f>
        <v>98</v>
      </c>
      <c r="AA17" s="257">
        <f>'RAB summary'!J12</f>
        <v>13</v>
      </c>
      <c r="AB17" s="257">
        <f>'RAB summary'!K12</f>
        <v>8.5</v>
      </c>
      <c r="AC17" s="257">
        <f>'RAB summary'!L12</f>
        <v>19.5</v>
      </c>
      <c r="AD17" s="257">
        <f>'RAB summary'!M12</f>
        <v>157.5</v>
      </c>
      <c r="AE17" s="307">
        <f>'RAB summary'!I60</f>
        <v>47.500000000000007</v>
      </c>
      <c r="AF17" s="307">
        <f>'RAB summary'!J60</f>
        <v>47.5</v>
      </c>
      <c r="AG17" s="307">
        <f>'RAB summary'!K60</f>
        <v>10</v>
      </c>
      <c r="AH17" s="307">
        <f>'RAB summary'!L60</f>
        <v>9.9999999999999982</v>
      </c>
      <c r="AI17" s="307">
        <f>'RAB summary'!M60</f>
        <v>10.000000000000002</v>
      </c>
      <c r="AK17" s="308">
        <f t="shared" ref="AK17:AK20" si="15">Z17-O17</f>
        <v>69.458309478872792</v>
      </c>
      <c r="AL17" s="308">
        <f t="shared" ref="AL17:AL20" si="16">AA17-P17</f>
        <v>-2.683139683028978</v>
      </c>
      <c r="AM17" s="308">
        <f t="shared" ref="AM17:AM20" si="17">AB17-Q17</f>
        <v>-48.719306081951785</v>
      </c>
      <c r="AN17" s="308">
        <f t="shared" ref="AN17:AN20" si="18">AC17-R17</f>
        <v>19.5</v>
      </c>
      <c r="AO17" s="308">
        <f t="shared" ref="AO17:AO20" si="19">AD17-S17</f>
        <v>157.5</v>
      </c>
      <c r="AP17" s="308">
        <f t="shared" ref="AP17:AP20" si="20">AE17-T17</f>
        <v>-1629.502</v>
      </c>
      <c r="AQ17" s="308">
        <f t="shared" ref="AQ17:AQ20" si="21">AF17-U17</f>
        <v>-20.306411999999995</v>
      </c>
      <c r="AR17" s="308">
        <f t="shared" ref="AR17:AR20" si="22">AG17-V17</f>
        <v>-58.213250471999999</v>
      </c>
      <c r="AS17" s="308">
        <f t="shared" ref="AS17:AS20" si="23">AH17-W17</f>
        <v>-58.622529974832005</v>
      </c>
      <c r="AT17" s="308">
        <f t="shared" ref="AT17:AT20" si="24">AI17-X17</f>
        <v>-59.034265154680995</v>
      </c>
    </row>
    <row r="18" spans="1:46">
      <c r="A18" t="s">
        <v>61</v>
      </c>
      <c r="B18" s="63" t="s">
        <v>40</v>
      </c>
      <c r="C18" s="3"/>
      <c r="D18" s="67">
        <f>'4 RAB Overview'!N13</f>
        <v>153.22279228795929</v>
      </c>
      <c r="E18" s="67">
        <f>'4 RAB Overview'!O13</f>
        <v>153.55473265543898</v>
      </c>
      <c r="F18" s="67">
        <f>'4 RAB Overview'!P13</f>
        <v>155.1384712169837</v>
      </c>
      <c r="G18" s="287">
        <f>'4 RAB Overview'!Q13</f>
        <v>156.39026941104879</v>
      </c>
      <c r="H18" s="287">
        <f>'4 RAB Overview'!R13</f>
        <v>156.39026941104879</v>
      </c>
      <c r="I18" s="70">
        <f>'4 RAB Overview'!S13</f>
        <v>192.39653195063499</v>
      </c>
      <c r="J18" s="68">
        <f>'4 RAB Overview'!T13</f>
        <v>227.29270019063497</v>
      </c>
      <c r="K18" s="68">
        <f>'4 RAB Overview'!U13</f>
        <v>230.01309344007498</v>
      </c>
      <c r="L18" s="68">
        <f>'4 RAB Overview'!V13</f>
        <v>232.74980904901162</v>
      </c>
      <c r="M18" s="68">
        <f>'4 RAB Overview'!W13</f>
        <v>235.5029449516019</v>
      </c>
      <c r="O18" s="257">
        <f t="shared" si="8"/>
        <v>149.88166789606424</v>
      </c>
      <c r="P18" s="257">
        <f t="shared" si="9"/>
        <v>145.09957553583055</v>
      </c>
      <c r="Q18" s="257">
        <f t="shared" si="10"/>
        <v>141.8266252777359</v>
      </c>
      <c r="R18" s="257">
        <f>G18*(Inflation!$F$6/Inflation!$K$6)</f>
        <v>138.75430912007346</v>
      </c>
      <c r="S18" s="257">
        <f>H18*(Inflation!$F$6/Inflation!$K$6)</f>
        <v>138.75430912007346</v>
      </c>
      <c r="T18" s="307">
        <f>I18</f>
        <v>192.39653195063499</v>
      </c>
      <c r="U18" s="307">
        <f t="shared" si="11"/>
        <v>227.29270019063497</v>
      </c>
      <c r="V18" s="307">
        <f t="shared" si="12"/>
        <v>230.01309344007498</v>
      </c>
      <c r="W18" s="307">
        <f t="shared" si="13"/>
        <v>232.74980904901162</v>
      </c>
      <c r="X18" s="307">
        <f t="shared" si="14"/>
        <v>235.5029449516019</v>
      </c>
      <c r="Z18" s="257">
        <f>'RAB summary'!I13</f>
        <v>104.34700853146055</v>
      </c>
      <c r="AA18" s="257">
        <f>'RAB summary'!J13</f>
        <v>108.01951227472541</v>
      </c>
      <c r="AB18" s="257">
        <f>'RAB summary'!K13</f>
        <v>111.65209749904177</v>
      </c>
      <c r="AC18" s="257">
        <f>'RAB summary'!L13</f>
        <v>115.04517160966691</v>
      </c>
      <c r="AD18" s="257">
        <f>'RAB summary'!M13</f>
        <v>116.8015864434023</v>
      </c>
      <c r="AE18" s="307">
        <f>'RAB summary'!I61</f>
        <v>166.6838172568759</v>
      </c>
      <c r="AF18" s="307">
        <f>'RAB summary'!J61</f>
        <v>168.58381725687593</v>
      </c>
      <c r="AG18" s="307">
        <f>'RAB summary'!K61</f>
        <v>169.73381725687591</v>
      </c>
      <c r="AH18" s="307">
        <f>'RAB summary'!L61</f>
        <v>170.13381725687594</v>
      </c>
      <c r="AI18" s="307">
        <f>'RAB summary'!M61</f>
        <v>170.53381725687592</v>
      </c>
      <c r="AK18" s="308">
        <f t="shared" si="15"/>
        <v>-45.534659364603698</v>
      </c>
      <c r="AL18" s="308">
        <f t="shared" si="16"/>
        <v>-37.080063261105138</v>
      </c>
      <c r="AM18" s="308">
        <f t="shared" si="17"/>
        <v>-30.174527778694127</v>
      </c>
      <c r="AN18" s="308">
        <f t="shared" si="18"/>
        <v>-23.709137510406549</v>
      </c>
      <c r="AO18" s="308">
        <f t="shared" si="19"/>
        <v>-21.952722676671158</v>
      </c>
      <c r="AP18" s="308">
        <f t="shared" si="20"/>
        <v>-25.712714693759096</v>
      </c>
      <c r="AQ18" s="308">
        <f t="shared" si="21"/>
        <v>-58.708882933759043</v>
      </c>
      <c r="AR18" s="308">
        <f t="shared" si="22"/>
        <v>-60.279276183199073</v>
      </c>
      <c r="AS18" s="308">
        <f t="shared" si="23"/>
        <v>-62.615991792135674</v>
      </c>
      <c r="AT18" s="308">
        <f t="shared" si="24"/>
        <v>-64.969127694725984</v>
      </c>
    </row>
    <row r="19" spans="1:46">
      <c r="A19" t="s">
        <v>45</v>
      </c>
      <c r="B19" s="63" t="s">
        <v>40</v>
      </c>
      <c r="C19" s="3"/>
      <c r="D19" s="67">
        <f>'4 RAB Overview'!N14</f>
        <v>3584.700505978265</v>
      </c>
      <c r="E19" s="67">
        <f>'4 RAB Overview'!O14</f>
        <v>3447.7427916968099</v>
      </c>
      <c r="F19" s="67">
        <f>'4 RAB Overview'!P14</f>
        <v>3355.1942301830795</v>
      </c>
      <c r="G19" s="287">
        <f>'4 RAB Overview'!Q14</f>
        <v>3198.8039607720307</v>
      </c>
      <c r="H19" s="288">
        <f>'4 RAB Overview'!R14</f>
        <v>3042.4136913609818</v>
      </c>
      <c r="I19" s="70">
        <f>'4 RAB Overview'!S14</f>
        <v>4574.9970115403839</v>
      </c>
      <c r="J19" s="68">
        <f>'4 RAB Overview'!T14</f>
        <v>4415.5107233497492</v>
      </c>
      <c r="K19" s="68">
        <f>'4 RAB Overview'!U14</f>
        <v>4253.7108803816745</v>
      </c>
      <c r="L19" s="68">
        <f>'4 RAB Overview'!V14</f>
        <v>4089.583601307495</v>
      </c>
      <c r="M19" s="68">
        <f>'4 RAB Overview'!W14</f>
        <v>3923.1149215105738</v>
      </c>
      <c r="O19" s="257">
        <f t="shared" si="8"/>
        <v>3506.5337390154641</v>
      </c>
      <c r="P19" s="257">
        <f t="shared" si="9"/>
        <v>3257.9003393823882</v>
      </c>
      <c r="Q19" s="257">
        <f t="shared" si="10"/>
        <v>3067.2976927344062</v>
      </c>
      <c r="R19" s="257">
        <f>G19*(Inflation!$F$6/Inflation!$K$6)</f>
        <v>2838.0783232803892</v>
      </c>
      <c r="S19" s="257">
        <f>H19*(Inflation!$F$6/Inflation!$K$6)</f>
        <v>2699.324014160316</v>
      </c>
      <c r="T19" s="307">
        <f>I19</f>
        <v>4574.9970115403839</v>
      </c>
      <c r="U19" s="307">
        <f t="shared" si="11"/>
        <v>4415.5107233497492</v>
      </c>
      <c r="V19" s="307">
        <f t="shared" si="12"/>
        <v>4253.7108803816745</v>
      </c>
      <c r="W19" s="307">
        <f t="shared" si="13"/>
        <v>4089.583601307495</v>
      </c>
      <c r="X19" s="307">
        <f t="shared" si="14"/>
        <v>3923.1149215105738</v>
      </c>
      <c r="Z19" s="257">
        <f>'RAB summary'!I14</f>
        <v>2490.9850561004969</v>
      </c>
      <c r="AA19" s="257">
        <f>'RAB summary'!J14</f>
        <v>2483.6360201690177</v>
      </c>
      <c r="AB19" s="257">
        <f>'RAB summary'!K14</f>
        <v>2464.0060504731468</v>
      </c>
      <c r="AC19" s="257">
        <f>'RAB summary'!L14</f>
        <v>2443.3412915521526</v>
      </c>
      <c r="AD19" s="257">
        <f>'RAB summary'!M14</f>
        <v>2521.3426255904628</v>
      </c>
      <c r="AE19" s="307">
        <f>'RAB summary'!I62</f>
        <v>2379.8474799432338</v>
      </c>
      <c r="AF19" s="307">
        <f>'RAB summary'!J62</f>
        <v>2258.7636626863573</v>
      </c>
      <c r="AG19" s="307">
        <f>'RAB summary'!K62</f>
        <v>2099.0298454294821</v>
      </c>
      <c r="AH19" s="307">
        <f>'RAB summary'!L62</f>
        <v>1938.8960281726058</v>
      </c>
      <c r="AI19" s="307">
        <f>'RAB summary'!M62</f>
        <v>1778.36221091573</v>
      </c>
      <c r="AK19" s="308">
        <f t="shared" si="15"/>
        <v>-1015.5486829149672</v>
      </c>
      <c r="AL19" s="308">
        <f t="shared" si="16"/>
        <v>-774.26431921337053</v>
      </c>
      <c r="AM19" s="308">
        <f t="shared" si="17"/>
        <v>-603.29164226125931</v>
      </c>
      <c r="AN19" s="308">
        <f t="shared" si="18"/>
        <v>-394.73703172823662</v>
      </c>
      <c r="AO19" s="308">
        <f t="shared" si="19"/>
        <v>-177.98138856985315</v>
      </c>
      <c r="AP19" s="308">
        <f t="shared" si="20"/>
        <v>-2195.1495315971501</v>
      </c>
      <c r="AQ19" s="308">
        <f t="shared" si="21"/>
        <v>-2156.7470606633919</v>
      </c>
      <c r="AR19" s="308">
        <f t="shared" si="22"/>
        <v>-2154.6810349521925</v>
      </c>
      <c r="AS19" s="308">
        <f t="shared" si="23"/>
        <v>-2150.6875731348891</v>
      </c>
      <c r="AT19" s="308">
        <f t="shared" si="24"/>
        <v>-2144.7527105948438</v>
      </c>
    </row>
    <row r="20" spans="1:46">
      <c r="A20" t="s">
        <v>46</v>
      </c>
      <c r="B20" s="63" t="s">
        <v>40</v>
      </c>
      <c r="C20" s="3"/>
      <c r="D20" s="67">
        <f>'4 RAB Overview'!N15</f>
        <v>3646.7229347733542</v>
      </c>
      <c r="E20" s="67">
        <f>'4 RAB Overview'!O15</f>
        <v>3516.2216488375375</v>
      </c>
      <c r="F20" s="67">
        <f>'4 RAB Overview'!P15</f>
        <v>3401.4685109399447</v>
      </c>
      <c r="G20" s="287">
        <f>'4 RAB Overview'!Q15</f>
        <v>3276.9990954775549</v>
      </c>
      <c r="H20" s="287">
        <f>'4 RAB Overview'!R15</f>
        <v>3120.6088260665065</v>
      </c>
      <c r="I20" s="70">
        <f>'4 RAB Overview'!S15</f>
        <v>3832.6942775157013</v>
      </c>
      <c r="J20" s="68">
        <f>'4 RAB Overview'!T15</f>
        <v>4495.2538674450661</v>
      </c>
      <c r="K20" s="68">
        <f>'4 RAB Overview'!U15</f>
        <v>4334.6108018657123</v>
      </c>
      <c r="L20" s="68">
        <f>'4 RAB Overview'!V15</f>
        <v>4171.6472408445843</v>
      </c>
      <c r="M20" s="68">
        <f>'4 RAB Overview'!W15</f>
        <v>4006.3492614090346</v>
      </c>
      <c r="O20" s="257">
        <f t="shared" si="8"/>
        <v>3567.2037277029326</v>
      </c>
      <c r="P20" s="257">
        <f t="shared" si="9"/>
        <v>3322.6085573087889</v>
      </c>
      <c r="Q20" s="257">
        <f t="shared" si="10"/>
        <v>3109.6013523322981</v>
      </c>
      <c r="R20" s="257">
        <f>G20*(Inflation!$F$6/Inflation!$K$6)</f>
        <v>2907.4554778404258</v>
      </c>
      <c r="S20" s="257">
        <f>H20*(Inflation!$F$6/Inflation!$K$6)</f>
        <v>2768.7011687203526</v>
      </c>
      <c r="T20" s="307">
        <f>I20</f>
        <v>3832.6942775157013</v>
      </c>
      <c r="U20" s="307">
        <f t="shared" si="11"/>
        <v>4495.2538674450661</v>
      </c>
      <c r="V20" s="307">
        <f t="shared" si="12"/>
        <v>4334.6108018657123</v>
      </c>
      <c r="W20" s="307">
        <f t="shared" si="13"/>
        <v>4171.6472408445843</v>
      </c>
      <c r="X20" s="307">
        <f t="shared" si="14"/>
        <v>4006.3492614090346</v>
      </c>
      <c r="Z20" s="257">
        <f>'RAB summary'!I15</f>
        <v>2494.158560366227</v>
      </c>
      <c r="AA20" s="257">
        <f>'RAB summary'!J15</f>
        <v>2531.1457763063804</v>
      </c>
      <c r="AB20" s="257">
        <f>'RAB summary'!K15</f>
        <v>2515.5820992226677</v>
      </c>
      <c r="AC20" s="257">
        <f>'RAB summary'!L15</f>
        <v>2491.113877356986</v>
      </c>
      <c r="AD20" s="257">
        <f>'RAB summary'!M15</f>
        <v>2500.9934188121638</v>
      </c>
      <c r="AE20" s="307">
        <f>'RAB summary'!I63</f>
        <v>2439.4393885716713</v>
      </c>
      <c r="AF20" s="307">
        <f>'RAB summary'!J63</f>
        <v>2319.3055713147951</v>
      </c>
      <c r="AG20" s="307">
        <f>'RAB summary'!K63</f>
        <v>2178.8967540579197</v>
      </c>
      <c r="AH20" s="307">
        <f>'RAB summary'!L63</f>
        <v>2018.9629368010437</v>
      </c>
      <c r="AI20" s="307">
        <f>'RAB summary'!M63</f>
        <v>1858.6291195441679</v>
      </c>
      <c r="AK20" s="308">
        <f t="shared" si="15"/>
        <v>-1073.0451673367056</v>
      </c>
      <c r="AL20" s="308">
        <f t="shared" si="16"/>
        <v>-791.46278100240852</v>
      </c>
      <c r="AM20" s="308">
        <f t="shared" si="17"/>
        <v>-594.01925310963043</v>
      </c>
      <c r="AN20" s="308">
        <f t="shared" si="18"/>
        <v>-416.34160048343983</v>
      </c>
      <c r="AO20" s="308">
        <f t="shared" si="19"/>
        <v>-267.70774990818882</v>
      </c>
      <c r="AP20" s="308">
        <f t="shared" si="20"/>
        <v>-1393.25488894403</v>
      </c>
      <c r="AQ20" s="308">
        <f t="shared" si="21"/>
        <v>-2175.948296130271</v>
      </c>
      <c r="AR20" s="308">
        <f t="shared" si="22"/>
        <v>-2155.7140478077927</v>
      </c>
      <c r="AS20" s="308">
        <f t="shared" si="23"/>
        <v>-2152.6843040435406</v>
      </c>
      <c r="AT20" s="308">
        <f t="shared" si="24"/>
        <v>-2147.7201418648665</v>
      </c>
    </row>
    <row r="21" spans="1:46">
      <c r="B21" s="63"/>
      <c r="C21" s="3"/>
      <c r="D21" s="257"/>
      <c r="E21" s="257"/>
      <c r="F21" s="257"/>
      <c r="G21" s="257"/>
      <c r="H21" s="257"/>
      <c r="I21" s="275"/>
      <c r="J21" s="257"/>
      <c r="K21" s="257"/>
      <c r="L21" s="257"/>
      <c r="M21" s="257"/>
      <c r="O21" s="257"/>
      <c r="P21" s="257"/>
      <c r="Q21" s="257"/>
      <c r="R21" s="257"/>
      <c r="S21" s="257"/>
      <c r="T21" s="275"/>
      <c r="U21" s="257"/>
      <c r="V21" s="257"/>
      <c r="W21" s="257"/>
      <c r="X21" s="257"/>
      <c r="Z21" s="257"/>
      <c r="AA21" s="257"/>
      <c r="AB21" s="257"/>
      <c r="AC21" s="257"/>
      <c r="AD21" s="257"/>
      <c r="AE21" s="275"/>
      <c r="AF21" s="257"/>
      <c r="AG21" s="257"/>
      <c r="AH21" s="257"/>
      <c r="AI21" s="257"/>
      <c r="AK21" s="257">
        <f>AK16+AK17-AK18-AK19</f>
        <v>0</v>
      </c>
      <c r="AL21" s="257">
        <f t="shared" ref="AL21:AT21" si="25">AL16+AL17-AL18-AL19</f>
        <v>0</v>
      </c>
      <c r="AM21" s="257">
        <f t="shared" si="25"/>
        <v>0</v>
      </c>
      <c r="AN21" s="257">
        <f t="shared" si="25"/>
        <v>0</v>
      </c>
      <c r="AO21" s="257">
        <f t="shared" si="25"/>
        <v>2.8421709430404007E-13</v>
      </c>
      <c r="AP21" s="257">
        <f t="shared" si="25"/>
        <v>0</v>
      </c>
      <c r="AQ21" s="257">
        <f t="shared" si="25"/>
        <v>0</v>
      </c>
      <c r="AR21" s="257">
        <f t="shared" si="25"/>
        <v>0</v>
      </c>
      <c r="AS21" s="257">
        <f t="shared" si="25"/>
        <v>0</v>
      </c>
      <c r="AT21" s="257">
        <f t="shared" si="25"/>
        <v>0</v>
      </c>
    </row>
    <row r="22" spans="1:46">
      <c r="C22" s="270" t="s">
        <v>11</v>
      </c>
      <c r="D22" s="473" t="s">
        <v>57</v>
      </c>
      <c r="E22" s="473"/>
      <c r="F22" s="473"/>
      <c r="G22" s="475" t="s">
        <v>422</v>
      </c>
      <c r="H22" s="475"/>
      <c r="I22" s="474" t="s">
        <v>65</v>
      </c>
      <c r="J22" s="474"/>
      <c r="K22" s="474"/>
      <c r="L22" s="474"/>
      <c r="M22" s="474"/>
      <c r="O22" s="476" t="s">
        <v>218</v>
      </c>
      <c r="P22" s="476"/>
      <c r="Q22" s="476"/>
      <c r="R22" s="476"/>
      <c r="S22" s="476"/>
      <c r="T22" s="476" t="s">
        <v>65</v>
      </c>
      <c r="U22" s="476"/>
      <c r="V22" s="476"/>
      <c r="W22" s="476"/>
      <c r="X22" s="476"/>
      <c r="Z22" s="476" t="s">
        <v>218</v>
      </c>
      <c r="AA22" s="476"/>
      <c r="AB22" s="476"/>
      <c r="AC22" s="476"/>
      <c r="AD22" s="476"/>
      <c r="AE22" s="476" t="s">
        <v>65</v>
      </c>
      <c r="AF22" s="476"/>
      <c r="AG22" s="476"/>
      <c r="AH22" s="476"/>
      <c r="AI22" s="476"/>
      <c r="AK22" s="476" t="s">
        <v>218</v>
      </c>
      <c r="AL22" s="476"/>
      <c r="AM22" s="476"/>
      <c r="AN22" s="476"/>
      <c r="AO22" s="476"/>
      <c r="AP22" s="476" t="s">
        <v>65</v>
      </c>
      <c r="AQ22" s="476"/>
      <c r="AR22" s="476"/>
      <c r="AS22" s="476"/>
      <c r="AT22" s="476"/>
    </row>
    <row r="23" spans="1:46">
      <c r="A23" s="1" t="s">
        <v>59</v>
      </c>
      <c r="B23" s="1" t="s">
        <v>10</v>
      </c>
      <c r="C23" s="1"/>
      <c r="D23" s="277" t="s">
        <v>0</v>
      </c>
      <c r="E23" s="277" t="s">
        <v>1</v>
      </c>
      <c r="F23" s="277" t="s">
        <v>2</v>
      </c>
      <c r="G23" s="286" t="s">
        <v>3</v>
      </c>
      <c r="H23" s="286" t="s">
        <v>4</v>
      </c>
      <c r="I23" s="278" t="s">
        <v>5</v>
      </c>
      <c r="J23" s="278" t="s">
        <v>6</v>
      </c>
      <c r="K23" s="278" t="s">
        <v>7</v>
      </c>
      <c r="L23" s="278" t="s">
        <v>8</v>
      </c>
      <c r="M23" s="278" t="s">
        <v>9</v>
      </c>
      <c r="O23" s="306" t="s">
        <v>0</v>
      </c>
      <c r="P23" s="306" t="s">
        <v>1</v>
      </c>
      <c r="Q23" s="306" t="s">
        <v>2</v>
      </c>
      <c r="R23" s="306" t="s">
        <v>3</v>
      </c>
      <c r="S23" s="306" t="s">
        <v>4</v>
      </c>
      <c r="T23" s="306" t="s">
        <v>5</v>
      </c>
      <c r="U23" s="306" t="s">
        <v>6</v>
      </c>
      <c r="V23" s="306" t="s">
        <v>7</v>
      </c>
      <c r="W23" s="306" t="s">
        <v>8</v>
      </c>
      <c r="X23" s="306" t="s">
        <v>9</v>
      </c>
      <c r="Z23" s="306" t="s">
        <v>0</v>
      </c>
      <c r="AA23" s="306" t="s">
        <v>1</v>
      </c>
      <c r="AB23" s="306" t="s">
        <v>2</v>
      </c>
      <c r="AC23" s="306" t="s">
        <v>3</v>
      </c>
      <c r="AD23" s="306" t="s">
        <v>4</v>
      </c>
      <c r="AE23" s="306" t="s">
        <v>5</v>
      </c>
      <c r="AF23" s="306" t="s">
        <v>6</v>
      </c>
      <c r="AG23" s="306" t="s">
        <v>7</v>
      </c>
      <c r="AH23" s="306" t="s">
        <v>8</v>
      </c>
      <c r="AI23" s="306" t="s">
        <v>9</v>
      </c>
      <c r="AK23" s="306" t="s">
        <v>0</v>
      </c>
      <c r="AL23" s="306" t="s">
        <v>1</v>
      </c>
      <c r="AM23" s="306" t="s">
        <v>2</v>
      </c>
      <c r="AN23" s="306" t="s">
        <v>3</v>
      </c>
      <c r="AO23" s="306" t="s">
        <v>4</v>
      </c>
      <c r="AP23" s="306" t="s">
        <v>5</v>
      </c>
      <c r="AQ23" s="306" t="s">
        <v>6</v>
      </c>
      <c r="AR23" s="306" t="s">
        <v>7</v>
      </c>
      <c r="AS23" s="306" t="s">
        <v>8</v>
      </c>
      <c r="AT23" s="306" t="s">
        <v>9</v>
      </c>
    </row>
    <row r="24" spans="1:46">
      <c r="A24" t="s">
        <v>39</v>
      </c>
      <c r="B24" s="63" t="s">
        <v>40</v>
      </c>
      <c r="C24" s="3"/>
      <c r="D24" s="67">
        <f>'4 RAB Overview'!N17</f>
        <v>8463.3620280238392</v>
      </c>
      <c r="E24" s="67">
        <f>'4 RAB Overview'!O17</f>
        <v>8318.2814068435891</v>
      </c>
      <c r="F24" s="67">
        <f>'4 RAB Overview'!P17</f>
        <v>6778.2509357764211</v>
      </c>
      <c r="G24" s="287">
        <f>'4 RAB Overview'!Q17</f>
        <v>5524.3884169944122</v>
      </c>
      <c r="H24" s="287">
        <f>'4 RAB Overview'!R17</f>
        <v>4111.9524941935806</v>
      </c>
      <c r="I24" s="69">
        <f>'4 RAB Overview'!S17</f>
        <v>4773.7377739461499</v>
      </c>
      <c r="J24" s="68">
        <f>'4 RAB Overview'!T17</f>
        <v>9016.755805600751</v>
      </c>
      <c r="K24" s="68">
        <f>'4 RAB Overview'!U17</f>
        <v>12667.643925283634</v>
      </c>
      <c r="L24" s="68">
        <f>'4 RAB Overview'!V17</f>
        <v>12740.576558824232</v>
      </c>
      <c r="M24" s="68">
        <f>'4 RAB Overview'!W17</f>
        <v>11801.7481648428</v>
      </c>
      <c r="O24" s="257">
        <f t="shared" ref="O24:O28" si="26">D24/F$8</f>
        <v>8278.8128177723629</v>
      </c>
      <c r="P24" s="257">
        <f t="shared" ref="P24:P28" si="27">E24/G$8</f>
        <v>7860.2533471171682</v>
      </c>
      <c r="Q24" s="257">
        <f t="shared" ref="Q24:Q28" si="28">F24/H$8</f>
        <v>6196.6348383197383</v>
      </c>
      <c r="R24" s="257">
        <f>G24*(Inflation!$F$6/Inflation!$K$6)</f>
        <v>4901.4091541480611</v>
      </c>
      <c r="S24" s="257">
        <f>H24*(Inflation!$F$6/Inflation!$K$6)</f>
        <v>3648.2520914826459</v>
      </c>
      <c r="T24" s="307">
        <f>I24</f>
        <v>4773.7377739461499</v>
      </c>
      <c r="U24" s="307">
        <f t="shared" ref="U24:U28" si="29">J24</f>
        <v>9016.755805600751</v>
      </c>
      <c r="V24" s="307">
        <f t="shared" ref="V24:V28" si="30">K24</f>
        <v>12667.643925283634</v>
      </c>
      <c r="W24" s="307">
        <f t="shared" ref="W24:W28" si="31">L24</f>
        <v>12740.576558824232</v>
      </c>
      <c r="X24" s="307">
        <f t="shared" ref="X24:X28" si="32">M24</f>
        <v>11801.7481648428</v>
      </c>
      <c r="Z24" s="257">
        <f>RAB!I340</f>
        <v>6430.878756370128</v>
      </c>
      <c r="AA24" s="257">
        <f>RAB!J340</f>
        <v>4935.7856501899369</v>
      </c>
      <c r="AB24" s="257">
        <f>RAB!K340</f>
        <v>4408.8797609515914</v>
      </c>
      <c r="AC24" s="257">
        <f>RAB!L340</f>
        <v>3784.8920806128053</v>
      </c>
      <c r="AD24" s="257">
        <f>RAB!M340</f>
        <v>3616.4101462321428</v>
      </c>
      <c r="AE24" s="307">
        <f>'RAB summary'!I52</f>
        <v>4566.0370046723847</v>
      </c>
      <c r="AF24" s="307">
        <f>'RAB summary'!J52</f>
        <v>6996.8549243958023</v>
      </c>
      <c r="AG24" s="307">
        <f>'RAB summary'!K52</f>
        <v>7639.6229937432017</v>
      </c>
      <c r="AH24" s="307">
        <f>'RAB summary'!L52</f>
        <v>7607.9716049926346</v>
      </c>
      <c r="AI24" s="307">
        <f>'RAB summary'!M52</f>
        <v>6993.9129023948472</v>
      </c>
      <c r="AK24" s="308">
        <f t="shared" ref="AK24:AK28" si="33">Z24-O24</f>
        <v>-1847.9340614022349</v>
      </c>
      <c r="AL24" s="308">
        <f t="shared" ref="AL24:AL28" si="34">AA24-P24</f>
        <v>-2924.4676969272314</v>
      </c>
      <c r="AM24" s="308">
        <f t="shared" ref="AM24:AM28" si="35">AB24-Q24</f>
        <v>-1787.7550773681469</v>
      </c>
      <c r="AN24" s="308">
        <f t="shared" ref="AN24:AN28" si="36">AC24-R24</f>
        <v>-1116.5170735352558</v>
      </c>
      <c r="AO24" s="308">
        <f t="shared" ref="AO24:AO28" si="37">AD24-S24</f>
        <v>-31.841945250503159</v>
      </c>
      <c r="AP24" s="308">
        <f t="shared" ref="AP24:AP28" si="38">AE24-T24</f>
        <v>-207.70076927376522</v>
      </c>
      <c r="AQ24" s="308">
        <f t="shared" ref="AQ24:AQ28" si="39">AF24-U24</f>
        <v>-2019.9008812049487</v>
      </c>
      <c r="AR24" s="308">
        <f t="shared" ref="AR24:AR28" si="40">AG24-V24</f>
        <v>-5028.0209315404318</v>
      </c>
      <c r="AS24" s="308">
        <f t="shared" ref="AS24:AS28" si="41">AH24-W24</f>
        <v>-5132.6049538315974</v>
      </c>
      <c r="AT24" s="308">
        <f t="shared" ref="AT24:AT28" si="42">AI24-X24</f>
        <v>-4807.835262447953</v>
      </c>
    </row>
    <row r="25" spans="1:46">
      <c r="A25" t="s">
        <v>60</v>
      </c>
      <c r="B25" s="63" t="s">
        <v>40</v>
      </c>
      <c r="C25" s="3"/>
      <c r="D25" s="67">
        <f>'4 RAB Overview'!N18</f>
        <v>3902.4594420198928</v>
      </c>
      <c r="E25" s="67">
        <f>'4 RAB Overview'!O18</f>
        <v>803.5123249593496</v>
      </c>
      <c r="F25" s="67">
        <f>'4 RAB Overview'!P18</f>
        <v>1271.7388932284593</v>
      </c>
      <c r="G25" s="287">
        <f>'4 RAB Overview'!Q18</f>
        <v>825.09922000000006</v>
      </c>
      <c r="H25" s="287">
        <f>'4 RAB Overview'!R18</f>
        <v>2606.0504123199494</v>
      </c>
      <c r="I25" s="70">
        <f>'4 RAB Overview'!S18</f>
        <v>6721.2519419351092</v>
      </c>
      <c r="J25" s="68">
        <f>'4 RAB Overview'!T18</f>
        <v>6895.6699618045741</v>
      </c>
      <c r="K25" s="68">
        <f>'4 RAB Overview'!U18</f>
        <v>4083.3627226290241</v>
      </c>
      <c r="L25" s="68">
        <f>'4 RAB Overview'!V18</f>
        <v>3571.632221615605</v>
      </c>
      <c r="M25" s="68">
        <f>'4 RAB Overview'!W18</f>
        <v>3172.9225777817583</v>
      </c>
      <c r="O25" s="257">
        <f t="shared" si="26"/>
        <v>3817.3637311571788</v>
      </c>
      <c r="P25" s="257">
        <f t="shared" si="27"/>
        <v>759.26866774614075</v>
      </c>
      <c r="Q25" s="257">
        <f t="shared" si="28"/>
        <v>1162.6157847640939</v>
      </c>
      <c r="R25" s="257">
        <f>G25*(Inflation!$F$6/Inflation!$K$6)</f>
        <v>732.05367992366416</v>
      </c>
      <c r="S25" s="257">
        <f>H25*(Inflation!$F$6/Inflation!$K$6)</f>
        <v>2312.1689466697121</v>
      </c>
      <c r="T25" s="307">
        <f>I25</f>
        <v>6721.2519419351092</v>
      </c>
      <c r="U25" s="307">
        <f t="shared" si="29"/>
        <v>6895.6699618045741</v>
      </c>
      <c r="V25" s="307">
        <f t="shared" si="30"/>
        <v>4083.3627226290241</v>
      </c>
      <c r="W25" s="307">
        <f t="shared" si="31"/>
        <v>3571.632221615605</v>
      </c>
      <c r="X25" s="307">
        <f t="shared" si="32"/>
        <v>3172.9225777817583</v>
      </c>
      <c r="Z25" s="257">
        <f>RAB!I341</f>
        <v>1161.5558530986993</v>
      </c>
      <c r="AA25" s="257">
        <f>RAB!J341</f>
        <v>1011.59859571323</v>
      </c>
      <c r="AB25" s="257">
        <f>RAB!K341</f>
        <v>714.96585627457989</v>
      </c>
      <c r="AC25" s="257">
        <f>RAB!L341</f>
        <v>1144.9293199167246</v>
      </c>
      <c r="AD25" s="257">
        <f>RAB!M341</f>
        <v>1702.7770334928227</v>
      </c>
      <c r="AE25" s="307">
        <f>'RAB summary'!I53</f>
        <v>4230.7503128243552</v>
      </c>
      <c r="AF25" s="307">
        <f>'RAB summary'!J53</f>
        <v>2910.3331625002425</v>
      </c>
      <c r="AG25" s="307">
        <f>'RAB summary'!K53</f>
        <v>2590.1365390713931</v>
      </c>
      <c r="AH25" s="307">
        <f>'RAB summary'!L53</f>
        <v>2284.2184327649684</v>
      </c>
      <c r="AI25" s="307">
        <f>'RAB summary'!M53</f>
        <v>2142.0615528390408</v>
      </c>
      <c r="AK25" s="308">
        <f t="shared" si="33"/>
        <v>-2655.8078780584792</v>
      </c>
      <c r="AL25" s="308">
        <f t="shared" si="34"/>
        <v>252.32992796708925</v>
      </c>
      <c r="AM25" s="308">
        <f t="shared" si="35"/>
        <v>-447.64992848951397</v>
      </c>
      <c r="AN25" s="308">
        <f t="shared" si="36"/>
        <v>412.87563999306042</v>
      </c>
      <c r="AO25" s="308">
        <f t="shared" si="37"/>
        <v>-609.39191317688937</v>
      </c>
      <c r="AP25" s="308">
        <f t="shared" si="38"/>
        <v>-2490.501629110754</v>
      </c>
      <c r="AQ25" s="308">
        <f t="shared" si="39"/>
        <v>-3985.3367993043316</v>
      </c>
      <c r="AR25" s="308">
        <f t="shared" si="40"/>
        <v>-1493.226183557631</v>
      </c>
      <c r="AS25" s="308">
        <f t="shared" si="41"/>
        <v>-1287.4137888506366</v>
      </c>
      <c r="AT25" s="308">
        <f t="shared" si="42"/>
        <v>-1030.8610249427174</v>
      </c>
    </row>
    <row r="26" spans="1:46">
      <c r="A26" t="s">
        <v>61</v>
      </c>
      <c r="B26" s="63" t="s">
        <v>40</v>
      </c>
      <c r="C26" s="3"/>
      <c r="D26" s="67">
        <f>'4 RAB Overview'!N21</f>
        <v>4047.5400632001488</v>
      </c>
      <c r="E26" s="67">
        <f>'4 RAB Overview'!O21</f>
        <v>2343.5427960265174</v>
      </c>
      <c r="F26" s="67">
        <f>'4 RAB Overview'!P21</f>
        <v>2525.6014120104683</v>
      </c>
      <c r="G26" s="287">
        <f>'4 RAB Overview'!Q21</f>
        <v>2237.5351428008316</v>
      </c>
      <c r="H26" s="287">
        <f>'4 RAB Overview'!R21</f>
        <v>2018.3766753291225</v>
      </c>
      <c r="I26" s="70">
        <f>'4 RAB Overview'!S21</f>
        <v>2478.233910280509</v>
      </c>
      <c r="J26" s="68">
        <f>'4 RAB Overview'!T21</f>
        <v>3244.781842121693</v>
      </c>
      <c r="K26" s="68">
        <f>'4 RAB Overview'!U21</f>
        <v>4010.4300890884251</v>
      </c>
      <c r="L26" s="68">
        <f>'4 RAB Overview'!V21</f>
        <v>4510.4606155970359</v>
      </c>
      <c r="M26" s="68">
        <f>'4 RAB Overview'!W21</f>
        <v>4836.3903234406516</v>
      </c>
      <c r="O26" s="257">
        <f t="shared" si="26"/>
        <v>3959.2807733752029</v>
      </c>
      <c r="P26" s="257">
        <f t="shared" si="27"/>
        <v>2214.50071302284</v>
      </c>
      <c r="Q26" s="257">
        <f t="shared" si="28"/>
        <v>2308.8890992172924</v>
      </c>
      <c r="R26" s="257">
        <f>G26*(Inflation!$F$6/Inflation!$K$6)</f>
        <v>1985.2107425890792</v>
      </c>
      <c r="S26" s="257">
        <f>H26*(Inflation!$F$6/Inflation!$K$6)</f>
        <v>1790.7665367163656</v>
      </c>
      <c r="T26" s="307">
        <f>I26</f>
        <v>2478.233910280509</v>
      </c>
      <c r="U26" s="307">
        <f t="shared" si="29"/>
        <v>3244.781842121693</v>
      </c>
      <c r="V26" s="307">
        <f t="shared" si="30"/>
        <v>4010.4300890884251</v>
      </c>
      <c r="W26" s="307">
        <f t="shared" si="31"/>
        <v>4510.4606155970359</v>
      </c>
      <c r="X26" s="307">
        <f t="shared" si="32"/>
        <v>4836.3903234406516</v>
      </c>
      <c r="Z26" s="257">
        <f>RAB!I342</f>
        <v>2656.6489592788898</v>
      </c>
      <c r="AA26" s="257">
        <f>RAB!J342</f>
        <v>1538.5044849515753</v>
      </c>
      <c r="AB26" s="257">
        <f>RAB!K342</f>
        <v>1338.9535366133662</v>
      </c>
      <c r="AC26" s="257">
        <f>RAB!L342</f>
        <v>1313.4112542973876</v>
      </c>
      <c r="AD26" s="257">
        <f>RAB!M342</f>
        <v>1293.3518764921814</v>
      </c>
      <c r="AE26" s="307">
        <f>'RAB summary'!I54</f>
        <v>1799.9323931009371</v>
      </c>
      <c r="AF26" s="307">
        <f>'RAB summary'!J54</f>
        <v>2267.5650931528439</v>
      </c>
      <c r="AG26" s="307">
        <f>'RAB summary'!K54</f>
        <v>2621.7879278219602</v>
      </c>
      <c r="AH26" s="307">
        <f>'RAB summary'!L54</f>
        <v>2898.277135362755</v>
      </c>
      <c r="AI26" s="307">
        <f>'RAB summary'!M54</f>
        <v>3017.9229051750667</v>
      </c>
      <c r="AK26" s="308">
        <f t="shared" si="33"/>
        <v>-1302.6318140963131</v>
      </c>
      <c r="AL26" s="308">
        <f t="shared" si="34"/>
        <v>-675.9962280712648</v>
      </c>
      <c r="AM26" s="308">
        <f t="shared" si="35"/>
        <v>-969.9355626039262</v>
      </c>
      <c r="AN26" s="308">
        <f t="shared" si="36"/>
        <v>-671.79948829169166</v>
      </c>
      <c r="AO26" s="308">
        <f t="shared" si="37"/>
        <v>-497.41466022418422</v>
      </c>
      <c r="AP26" s="308">
        <f t="shared" si="38"/>
        <v>-678.30151717957187</v>
      </c>
      <c r="AQ26" s="308">
        <f t="shared" si="39"/>
        <v>-977.21674896884906</v>
      </c>
      <c r="AR26" s="308">
        <f t="shared" si="40"/>
        <v>-1388.6421612664649</v>
      </c>
      <c r="AS26" s="308">
        <f t="shared" si="41"/>
        <v>-1612.183480234281</v>
      </c>
      <c r="AT26" s="308">
        <f t="shared" si="42"/>
        <v>-1818.4674182655849</v>
      </c>
    </row>
    <row r="27" spans="1:46">
      <c r="A27" t="s">
        <v>45</v>
      </c>
      <c r="B27" s="63" t="s">
        <v>40</v>
      </c>
      <c r="C27" s="3"/>
      <c r="D27" s="67">
        <f>'4 RAB Overview'!N22</f>
        <v>8318.2814068435891</v>
      </c>
      <c r="E27" s="67">
        <f>'4 RAB Overview'!O22</f>
        <v>6778.2509357764211</v>
      </c>
      <c r="F27" s="67">
        <f>'4 RAB Overview'!P22</f>
        <v>5524.3884169944122</v>
      </c>
      <c r="G27" s="287">
        <f>'4 RAB Overview'!Q22</f>
        <v>4111.9524941935806</v>
      </c>
      <c r="H27" s="288">
        <f>'4 RAB Overview'!R22</f>
        <v>4699.6262311844075</v>
      </c>
      <c r="I27" s="70">
        <f>'4 RAB Overview'!S22</f>
        <v>9016.755805600751</v>
      </c>
      <c r="J27" s="68">
        <f>'4 RAB Overview'!T22</f>
        <v>12667.643925283634</v>
      </c>
      <c r="K27" s="68">
        <f>'4 RAB Overview'!U22</f>
        <v>12740.576558824232</v>
      </c>
      <c r="L27" s="68">
        <f>'4 RAB Overview'!V22</f>
        <v>11801.7481648428</v>
      </c>
      <c r="M27" s="68">
        <f>'4 RAB Overview'!W22</f>
        <v>10138.280419183908</v>
      </c>
      <c r="O27" s="257">
        <f t="shared" si="26"/>
        <v>8136.8957755543443</v>
      </c>
      <c r="P27" s="257">
        <f t="shared" si="27"/>
        <v>6405.0213018404684</v>
      </c>
      <c r="Q27" s="257">
        <f t="shared" si="28"/>
        <v>5050.3615238665398</v>
      </c>
      <c r="R27" s="257">
        <f>G27*(Inflation!$F$6/Inflation!$K$6)</f>
        <v>3648.2520914826459</v>
      </c>
      <c r="S27" s="257">
        <f>H27*(Inflation!$F$6/Inflation!$K$6)</f>
        <v>4169.6545014359917</v>
      </c>
      <c r="T27" s="307">
        <f>I27</f>
        <v>9016.755805600751</v>
      </c>
      <c r="U27" s="307">
        <f t="shared" si="29"/>
        <v>12667.643925283634</v>
      </c>
      <c r="V27" s="307">
        <f t="shared" si="30"/>
        <v>12740.576558824232</v>
      </c>
      <c r="W27" s="307">
        <f t="shared" si="31"/>
        <v>11801.7481648428</v>
      </c>
      <c r="X27" s="307">
        <f t="shared" si="32"/>
        <v>10138.280419183908</v>
      </c>
      <c r="Z27" s="257">
        <f>RAB!I343</f>
        <v>4935.7856501899369</v>
      </c>
      <c r="AA27" s="257">
        <f>RAB!J343</f>
        <v>4408.8797609515914</v>
      </c>
      <c r="AB27" s="257">
        <f>RAB!K343</f>
        <v>3784.8920806128053</v>
      </c>
      <c r="AC27" s="257">
        <f>RAB!L343</f>
        <v>3616.4101462321428</v>
      </c>
      <c r="AD27" s="257">
        <f>RAB!M343</f>
        <v>4025.8353032327846</v>
      </c>
      <c r="AE27" s="307">
        <f>'RAB summary'!I55</f>
        <v>6996.8549243958023</v>
      </c>
      <c r="AF27" s="307">
        <f>'RAB summary'!J55</f>
        <v>7639.6229937432017</v>
      </c>
      <c r="AG27" s="307">
        <f>'RAB summary'!K55</f>
        <v>7607.9716049926346</v>
      </c>
      <c r="AH27" s="307">
        <f>'RAB summary'!L55</f>
        <v>6993.9129023948472</v>
      </c>
      <c r="AI27" s="307">
        <f>'RAB summary'!M55</f>
        <v>6118.0515500588235</v>
      </c>
      <c r="AK27" s="308">
        <f t="shared" si="33"/>
        <v>-3201.1101253644074</v>
      </c>
      <c r="AL27" s="308">
        <f t="shared" si="34"/>
        <v>-1996.141540888877</v>
      </c>
      <c r="AM27" s="308">
        <f t="shared" si="35"/>
        <v>-1265.4694432537344</v>
      </c>
      <c r="AN27" s="308">
        <f t="shared" si="36"/>
        <v>-31.841945250503159</v>
      </c>
      <c r="AO27" s="308">
        <f t="shared" si="37"/>
        <v>-143.81919820320718</v>
      </c>
      <c r="AP27" s="308">
        <f t="shared" si="38"/>
        <v>-2019.9008812049487</v>
      </c>
      <c r="AQ27" s="308">
        <f t="shared" si="39"/>
        <v>-5028.0209315404318</v>
      </c>
      <c r="AR27" s="308">
        <f t="shared" si="40"/>
        <v>-5132.6049538315974</v>
      </c>
      <c r="AS27" s="308">
        <f t="shared" si="41"/>
        <v>-4807.835262447953</v>
      </c>
      <c r="AT27" s="308">
        <f t="shared" si="42"/>
        <v>-4020.2288691250842</v>
      </c>
    </row>
    <row r="28" spans="1:46">
      <c r="A28" t="s">
        <v>46</v>
      </c>
      <c r="B28" s="63" t="s">
        <v>40</v>
      </c>
      <c r="C28" s="3"/>
      <c r="D28" s="67">
        <f>'4 RAB Overview'!N23</f>
        <v>8390.8217174337169</v>
      </c>
      <c r="E28" s="67">
        <f>'4 RAB Overview'!O23</f>
        <v>7548.2661713100051</v>
      </c>
      <c r="F28" s="67">
        <f>'4 RAB Overview'!P23</f>
        <v>6151.3196763854166</v>
      </c>
      <c r="G28" s="287">
        <f>'4 RAB Overview'!Q23</f>
        <v>4818.1704555939959</v>
      </c>
      <c r="H28" s="287">
        <f>'4 RAB Overview'!R23</f>
        <v>4405.7893626889945</v>
      </c>
      <c r="I28" s="70">
        <f>'4 RAB Overview'!S23</f>
        <v>6895.2467897734505</v>
      </c>
      <c r="J28" s="68">
        <f>'4 RAB Overview'!T23</f>
        <v>10842.199865442191</v>
      </c>
      <c r="K28" s="68">
        <f>'4 RAB Overview'!U23</f>
        <v>12704.110242053932</v>
      </c>
      <c r="L28" s="68">
        <f>'4 RAB Overview'!V23</f>
        <v>12271.162361833516</v>
      </c>
      <c r="M28" s="68">
        <f>'4 RAB Overview'!W23</f>
        <v>10970.014292013355</v>
      </c>
      <c r="O28" s="257">
        <f t="shared" si="26"/>
        <v>8207.8542966633559</v>
      </c>
      <c r="P28" s="257">
        <f t="shared" si="27"/>
        <v>7132.6373244788183</v>
      </c>
      <c r="Q28" s="257">
        <f t="shared" si="28"/>
        <v>5623.4981810931386</v>
      </c>
      <c r="R28" s="257">
        <f>G28*(Inflation!$F$6/Inflation!$K$6)</f>
        <v>4274.8306228153524</v>
      </c>
      <c r="S28" s="257">
        <f>H28*(Inflation!$F$6/Inflation!$K$6)</f>
        <v>3908.9532964593195</v>
      </c>
      <c r="T28" s="307">
        <f>I28</f>
        <v>6895.2467897734505</v>
      </c>
      <c r="U28" s="307">
        <f t="shared" si="29"/>
        <v>10842.199865442191</v>
      </c>
      <c r="V28" s="307">
        <f t="shared" si="30"/>
        <v>12704.110242053932</v>
      </c>
      <c r="W28" s="307">
        <f t="shared" si="31"/>
        <v>12271.162361833516</v>
      </c>
      <c r="X28" s="307">
        <f t="shared" si="32"/>
        <v>10970.014292013355</v>
      </c>
      <c r="Z28" s="257">
        <f>RAB!I344</f>
        <v>5683.3322032800324</v>
      </c>
      <c r="AA28" s="257">
        <f>RAB!J344</f>
        <v>4672.3327055707641</v>
      </c>
      <c r="AB28" s="257">
        <f>RAB!K344</f>
        <v>4096.8859207821988</v>
      </c>
      <c r="AC28" s="257">
        <f>RAB!L344</f>
        <v>3700.6511134224738</v>
      </c>
      <c r="AD28" s="257">
        <f>RAB!M344</f>
        <v>3821.1227247324637</v>
      </c>
      <c r="AE28" s="307">
        <f>'RAB summary'!I56</f>
        <v>5781.4459645340939</v>
      </c>
      <c r="AF28" s="307">
        <f>'RAB summary'!J56</f>
        <v>7318.238959069502</v>
      </c>
      <c r="AG28" s="307">
        <f>'RAB summary'!K56</f>
        <v>7623.7972993679177</v>
      </c>
      <c r="AH28" s="307">
        <f>'RAB summary'!L56</f>
        <v>7300.9422536937409</v>
      </c>
      <c r="AI28" s="307">
        <f>'RAB summary'!M56</f>
        <v>6555.9822262268353</v>
      </c>
      <c r="AK28" s="308">
        <f t="shared" si="33"/>
        <v>-2524.5220933833234</v>
      </c>
      <c r="AL28" s="308">
        <f t="shared" si="34"/>
        <v>-2460.3046189080542</v>
      </c>
      <c r="AM28" s="308">
        <f t="shared" si="35"/>
        <v>-1526.6122603109397</v>
      </c>
      <c r="AN28" s="308">
        <f t="shared" si="36"/>
        <v>-574.17950939287857</v>
      </c>
      <c r="AO28" s="308">
        <f t="shared" si="37"/>
        <v>-87.830571726855851</v>
      </c>
      <c r="AP28" s="308">
        <f t="shared" si="38"/>
        <v>-1113.8008252393565</v>
      </c>
      <c r="AQ28" s="308">
        <f t="shared" si="39"/>
        <v>-3523.9609063726894</v>
      </c>
      <c r="AR28" s="308">
        <f t="shared" si="40"/>
        <v>-5080.3129426860141</v>
      </c>
      <c r="AS28" s="308">
        <f t="shared" si="41"/>
        <v>-4970.2201081397752</v>
      </c>
      <c r="AT28" s="308">
        <f t="shared" si="42"/>
        <v>-4414.0320657865195</v>
      </c>
    </row>
    <row r="29" spans="1:46">
      <c r="B29" s="63"/>
      <c r="C29" s="243"/>
      <c r="D29" s="257"/>
      <c r="E29" s="257"/>
      <c r="F29" s="257"/>
      <c r="G29" s="257"/>
      <c r="H29" s="257"/>
      <c r="I29" s="275"/>
      <c r="J29" s="257"/>
      <c r="K29" s="257"/>
      <c r="L29" s="257"/>
      <c r="M29" s="257"/>
      <c r="O29" s="257"/>
      <c r="P29" s="257"/>
      <c r="Q29" s="257"/>
      <c r="R29" s="257"/>
      <c r="S29" s="257"/>
      <c r="T29" s="275"/>
      <c r="U29" s="257"/>
      <c r="V29" s="257"/>
      <c r="W29" s="257"/>
      <c r="X29" s="257"/>
      <c r="Z29" s="257"/>
      <c r="AA29" s="257"/>
      <c r="AB29" s="257"/>
      <c r="AC29" s="257"/>
      <c r="AD29" s="257"/>
      <c r="AE29" s="275"/>
      <c r="AF29" s="257"/>
      <c r="AG29" s="257"/>
      <c r="AH29" s="257"/>
      <c r="AI29" s="257"/>
      <c r="AK29" s="257">
        <f>AK24+AK25-AK26-AK27</f>
        <v>6.3664629124104977E-12</v>
      </c>
      <c r="AL29" s="257">
        <f t="shared" ref="AL29:AT29" si="43">AL24+AL25-AL26-AL27</f>
        <v>0</v>
      </c>
      <c r="AM29" s="257">
        <f t="shared" si="43"/>
        <v>0</v>
      </c>
      <c r="AN29" s="257">
        <f t="shared" si="43"/>
        <v>-5.6843418860808015E-13</v>
      </c>
      <c r="AO29" s="257">
        <f t="shared" si="43"/>
        <v>-1.1368683772161603E-12</v>
      </c>
      <c r="AP29" s="257">
        <f t="shared" si="43"/>
        <v>0</v>
      </c>
      <c r="AQ29" s="257">
        <f t="shared" si="43"/>
        <v>0</v>
      </c>
      <c r="AR29" s="257">
        <f t="shared" si="43"/>
        <v>0</v>
      </c>
      <c r="AS29" s="257">
        <f t="shared" si="43"/>
        <v>0</v>
      </c>
      <c r="AT29" s="257">
        <f t="shared" si="43"/>
        <v>0</v>
      </c>
    </row>
    <row r="30" spans="1:46">
      <c r="C30" s="270" t="s">
        <v>11</v>
      </c>
      <c r="D30" s="473" t="s">
        <v>57</v>
      </c>
      <c r="E30" s="473"/>
      <c r="F30" s="473"/>
      <c r="G30" s="475" t="s">
        <v>422</v>
      </c>
      <c r="H30" s="475"/>
      <c r="I30" s="474" t="s">
        <v>65</v>
      </c>
      <c r="J30" s="474"/>
      <c r="K30" s="474"/>
      <c r="L30" s="474"/>
      <c r="M30" s="474"/>
      <c r="O30" s="476" t="s">
        <v>218</v>
      </c>
      <c r="P30" s="476"/>
      <c r="Q30" s="476"/>
      <c r="R30" s="476"/>
      <c r="S30" s="476"/>
      <c r="T30" s="476" t="s">
        <v>65</v>
      </c>
      <c r="U30" s="476"/>
      <c r="V30" s="476"/>
      <c r="W30" s="476"/>
      <c r="X30" s="476"/>
      <c r="Z30" s="476" t="s">
        <v>218</v>
      </c>
      <c r="AA30" s="476"/>
      <c r="AB30" s="476"/>
      <c r="AC30" s="476"/>
      <c r="AD30" s="476"/>
      <c r="AE30" s="476" t="s">
        <v>65</v>
      </c>
      <c r="AF30" s="476"/>
      <c r="AG30" s="476"/>
      <c r="AH30" s="476"/>
      <c r="AI30" s="476"/>
      <c r="AK30" s="476" t="s">
        <v>218</v>
      </c>
      <c r="AL30" s="476"/>
      <c r="AM30" s="476"/>
      <c r="AN30" s="476"/>
      <c r="AO30" s="476"/>
      <c r="AP30" s="476" t="s">
        <v>65</v>
      </c>
      <c r="AQ30" s="476"/>
      <c r="AR30" s="476"/>
      <c r="AS30" s="476"/>
      <c r="AT30" s="476"/>
    </row>
    <row r="31" spans="1:46">
      <c r="A31" s="1" t="s">
        <v>48</v>
      </c>
      <c r="B31" s="1" t="s">
        <v>10</v>
      </c>
      <c r="C31" s="1"/>
      <c r="D31" s="277" t="s">
        <v>0</v>
      </c>
      <c r="E31" s="277" t="s">
        <v>1</v>
      </c>
      <c r="F31" s="277" t="s">
        <v>2</v>
      </c>
      <c r="G31" s="286" t="s">
        <v>3</v>
      </c>
      <c r="H31" s="286" t="s">
        <v>4</v>
      </c>
      <c r="I31" s="278" t="s">
        <v>5</v>
      </c>
      <c r="J31" s="278" t="s">
        <v>6</v>
      </c>
      <c r="K31" s="278" t="s">
        <v>7</v>
      </c>
      <c r="L31" s="278" t="s">
        <v>8</v>
      </c>
      <c r="M31" s="278" t="s">
        <v>9</v>
      </c>
      <c r="O31" s="306" t="s">
        <v>0</v>
      </c>
      <c r="P31" s="306" t="s">
        <v>1</v>
      </c>
      <c r="Q31" s="306" t="s">
        <v>2</v>
      </c>
      <c r="R31" s="306" t="s">
        <v>3</v>
      </c>
      <c r="S31" s="306" t="s">
        <v>4</v>
      </c>
      <c r="T31" s="306" t="s">
        <v>5</v>
      </c>
      <c r="U31" s="306" t="s">
        <v>6</v>
      </c>
      <c r="V31" s="306" t="s">
        <v>7</v>
      </c>
      <c r="W31" s="306" t="s">
        <v>8</v>
      </c>
      <c r="X31" s="306" t="s">
        <v>9</v>
      </c>
      <c r="Z31" s="306" t="s">
        <v>0</v>
      </c>
      <c r="AA31" s="306" t="s">
        <v>1</v>
      </c>
      <c r="AB31" s="306" t="s">
        <v>2</v>
      </c>
      <c r="AC31" s="306" t="s">
        <v>3</v>
      </c>
      <c r="AD31" s="306" t="s">
        <v>4</v>
      </c>
      <c r="AE31" s="306" t="s">
        <v>5</v>
      </c>
      <c r="AF31" s="306" t="s">
        <v>6</v>
      </c>
      <c r="AG31" s="306" t="s">
        <v>7</v>
      </c>
      <c r="AH31" s="306" t="s">
        <v>8</v>
      </c>
      <c r="AI31" s="306" t="s">
        <v>9</v>
      </c>
      <c r="AK31" s="306" t="s">
        <v>0</v>
      </c>
      <c r="AL31" s="306" t="s">
        <v>1</v>
      </c>
      <c r="AM31" s="306" t="s">
        <v>2</v>
      </c>
      <c r="AN31" s="306" t="s">
        <v>3</v>
      </c>
      <c r="AO31" s="306" t="s">
        <v>4</v>
      </c>
      <c r="AP31" s="306" t="s">
        <v>5</v>
      </c>
      <c r="AQ31" s="306" t="s">
        <v>6</v>
      </c>
      <c r="AR31" s="306" t="s">
        <v>7</v>
      </c>
      <c r="AS31" s="306" t="s">
        <v>8</v>
      </c>
      <c r="AT31" s="306" t="s">
        <v>9</v>
      </c>
    </row>
    <row r="32" spans="1:46">
      <c r="A32" t="s">
        <v>39</v>
      </c>
      <c r="B32" s="63" t="s">
        <v>40</v>
      </c>
      <c r="C32" s="3"/>
      <c r="D32" s="67">
        <f>'4 RAB Overview'!N25</f>
        <v>0</v>
      </c>
      <c r="E32" s="67">
        <f>'4 RAB Overview'!O25</f>
        <v>0</v>
      </c>
      <c r="F32" s="67">
        <f>'4 RAB Overview'!P25</f>
        <v>0</v>
      </c>
      <c r="G32" s="287">
        <f>'4 RAB Overview'!Q25</f>
        <v>0</v>
      </c>
      <c r="H32" s="287">
        <f>'4 RAB Overview'!R25</f>
        <v>0</v>
      </c>
      <c r="I32" s="69">
        <f>'4 RAB Overview'!S25</f>
        <v>20931.496079586988</v>
      </c>
      <c r="J32" s="68">
        <f>'4 RAB Overview'!T25</f>
        <v>15698.622059690242</v>
      </c>
      <c r="K32" s="68">
        <f>'4 RAB Overview'!U25</f>
        <v>10465.748039793496</v>
      </c>
      <c r="L32" s="68">
        <f>'4 RAB Overview'!V25</f>
        <v>5232.8740198967489</v>
      </c>
      <c r="M32" s="68">
        <f>'4 RAB Overview'!W25</f>
        <v>0</v>
      </c>
      <c r="O32" s="257">
        <f t="shared" ref="O32:O36" si="44">D32/F$8</f>
        <v>0</v>
      </c>
      <c r="P32" s="257">
        <f t="shared" ref="P32:P36" si="45">E32/G$8</f>
        <v>0</v>
      </c>
      <c r="Q32" s="257">
        <f t="shared" ref="Q32:Q36" si="46">F32/H$8</f>
        <v>0</v>
      </c>
      <c r="R32" s="257">
        <f>G32*(Inflation!$F$6/Inflation!$K$6)</f>
        <v>0</v>
      </c>
      <c r="S32" s="257">
        <f>H32*(Inflation!$F$6/Inflation!$K$6)</f>
        <v>0</v>
      </c>
      <c r="T32" s="307">
        <f>I32</f>
        <v>20931.496079586988</v>
      </c>
      <c r="U32" s="307">
        <f t="shared" ref="U32:U36" si="47">J32</f>
        <v>15698.622059690242</v>
      </c>
      <c r="V32" s="307">
        <f t="shared" ref="V32:V36" si="48">K32</f>
        <v>10465.748039793496</v>
      </c>
      <c r="W32" s="307">
        <f t="shared" ref="W32:W36" si="49">L32</f>
        <v>5232.8740198967489</v>
      </c>
      <c r="X32" s="307">
        <f t="shared" ref="X32:X36" si="50">M32</f>
        <v>0</v>
      </c>
      <c r="Z32" s="257">
        <f>RAB!I365</f>
        <v>0</v>
      </c>
      <c r="AA32" s="257">
        <f>RAB!J365</f>
        <v>0</v>
      </c>
      <c r="AB32" s="257">
        <f>RAB!K365</f>
        <v>0</v>
      </c>
      <c r="AC32" s="257">
        <f>RAB!L365</f>
        <v>0</v>
      </c>
      <c r="AD32" s="257">
        <f>RAB!M365</f>
        <v>0</v>
      </c>
      <c r="AE32" s="307">
        <f>'RAB summary'!I74</f>
        <v>20606.537830888043</v>
      </c>
      <c r="AF32" s="307">
        <f>'RAB summary'!J74</f>
        <v>15642.891168657863</v>
      </c>
      <c r="AG32" s="307">
        <f>'RAB summary'!K74</f>
        <v>10594.757502978726</v>
      </c>
      <c r="AH32" s="307">
        <f>'RAB summary'!L74</f>
        <v>5496.5236721963211</v>
      </c>
      <c r="AI32" s="307">
        <f>'RAB summary'!M74</f>
        <v>348.60055388741966</v>
      </c>
      <c r="AK32" s="308">
        <f t="shared" ref="AK32:AK36" si="51">Z32-O32</f>
        <v>0</v>
      </c>
      <c r="AL32" s="308">
        <f t="shared" ref="AL32:AL36" si="52">AA32-P32</f>
        <v>0</v>
      </c>
      <c r="AM32" s="308">
        <f t="shared" ref="AM32:AM36" si="53">AB32-Q32</f>
        <v>0</v>
      </c>
      <c r="AN32" s="308">
        <f t="shared" ref="AN32:AN36" si="54">AC32-R32</f>
        <v>0</v>
      </c>
      <c r="AO32" s="308">
        <f t="shared" ref="AO32:AO36" si="55">AD32-S32</f>
        <v>0</v>
      </c>
      <c r="AP32" s="308">
        <f t="shared" ref="AP32:AP36" si="56">AE32-T32</f>
        <v>-324.95824869894568</v>
      </c>
      <c r="AQ32" s="308">
        <f t="shared" ref="AQ32:AQ36" si="57">AF32-U32</f>
        <v>-55.730891032379077</v>
      </c>
      <c r="AR32" s="308">
        <f t="shared" ref="AR32:AR36" si="58">AG32-V32</f>
        <v>129.00946318522983</v>
      </c>
      <c r="AS32" s="308">
        <f t="shared" ref="AS32:AS36" si="59">AH32-W32</f>
        <v>263.64965229957215</v>
      </c>
      <c r="AT32" s="308">
        <f t="shared" ref="AT32:AT36" si="60">AI32-X32</f>
        <v>348.60055388741966</v>
      </c>
    </row>
    <row r="33" spans="1:46">
      <c r="A33" t="s">
        <v>60</v>
      </c>
      <c r="B33" s="63" t="s">
        <v>40</v>
      </c>
      <c r="C33" s="3"/>
      <c r="D33" s="67">
        <f>'4 RAB Overview'!N26</f>
        <v>0</v>
      </c>
      <c r="E33" s="67">
        <f>'4 RAB Overview'!O26</f>
        <v>0</v>
      </c>
      <c r="F33" s="67">
        <f>'4 RAB Overview'!P26</f>
        <v>0</v>
      </c>
      <c r="G33" s="287">
        <f>'4 RAB Overview'!Q26</f>
        <v>0</v>
      </c>
      <c r="H33" s="287">
        <f>'4 RAB Overview'!R26</f>
        <v>25758.172288610051</v>
      </c>
      <c r="I33" s="70">
        <f>'4 RAB Overview'!S26</f>
        <v>0</v>
      </c>
      <c r="J33" s="68">
        <f>'4 RAB Overview'!T26</f>
        <v>0</v>
      </c>
      <c r="K33" s="68">
        <f>'4 RAB Overview'!U26</f>
        <v>0</v>
      </c>
      <c r="L33" s="68">
        <f>'4 RAB Overview'!V26</f>
        <v>0</v>
      </c>
      <c r="M33" s="68">
        <f>'4 RAB Overview'!W26</f>
        <v>0</v>
      </c>
      <c r="O33" s="257">
        <f t="shared" si="44"/>
        <v>0</v>
      </c>
      <c r="P33" s="257">
        <f t="shared" si="45"/>
        <v>0</v>
      </c>
      <c r="Q33" s="257">
        <f t="shared" si="46"/>
        <v>0</v>
      </c>
      <c r="R33" s="257">
        <f>G33*(Inflation!$F$6/Inflation!$K$6)</f>
        <v>0</v>
      </c>
      <c r="S33" s="257">
        <f>H33*(Inflation!$F$6/Inflation!$K$6)</f>
        <v>22853.451263697396</v>
      </c>
      <c r="T33" s="307">
        <f>I33</f>
        <v>0</v>
      </c>
      <c r="U33" s="307">
        <f t="shared" si="47"/>
        <v>0</v>
      </c>
      <c r="V33" s="307">
        <f t="shared" si="48"/>
        <v>0</v>
      </c>
      <c r="W33" s="307">
        <f t="shared" si="49"/>
        <v>0</v>
      </c>
      <c r="X33" s="307">
        <f t="shared" si="50"/>
        <v>0</v>
      </c>
      <c r="Z33" s="257">
        <f>RAB!I366</f>
        <v>0</v>
      </c>
      <c r="AA33" s="257">
        <f>RAB!J366</f>
        <v>0</v>
      </c>
      <c r="AB33" s="257">
        <f>RAB!K366</f>
        <v>0</v>
      </c>
      <c r="AC33" s="257">
        <f>RAB!L366</f>
        <v>0</v>
      </c>
      <c r="AD33" s="257">
        <f>RAB!M366</f>
        <v>22710.757543166063</v>
      </c>
      <c r="AE33" s="307">
        <f>'RAB summary'!I75</f>
        <v>234.98474436479597</v>
      </c>
      <c r="AF33" s="307">
        <f>'RAB summary'!J75</f>
        <v>188.12217614478729</v>
      </c>
      <c r="AG33" s="307">
        <f>'RAB summary'!K75</f>
        <v>172.52751380190224</v>
      </c>
      <c r="AH33" s="307">
        <f>'RAB summary'!L75</f>
        <v>153.54778284425726</v>
      </c>
      <c r="AI33" s="307">
        <f>'RAB summary'!M75</f>
        <v>146.26778284425728</v>
      </c>
      <c r="AK33" s="308">
        <f t="shared" si="51"/>
        <v>0</v>
      </c>
      <c r="AL33" s="308">
        <f t="shared" si="52"/>
        <v>0</v>
      </c>
      <c r="AM33" s="308">
        <f t="shared" si="53"/>
        <v>0</v>
      </c>
      <c r="AN33" s="308">
        <f t="shared" si="54"/>
        <v>0</v>
      </c>
      <c r="AO33" s="308">
        <f t="shared" si="55"/>
        <v>-142.69372053133338</v>
      </c>
      <c r="AP33" s="308">
        <f t="shared" si="56"/>
        <v>234.98474436479597</v>
      </c>
      <c r="AQ33" s="308">
        <f t="shared" si="57"/>
        <v>188.12217614478729</v>
      </c>
      <c r="AR33" s="308">
        <f t="shared" si="58"/>
        <v>172.52751380190224</v>
      </c>
      <c r="AS33" s="308">
        <f t="shared" si="59"/>
        <v>153.54778284425726</v>
      </c>
      <c r="AT33" s="308">
        <f t="shared" si="60"/>
        <v>146.26778284425728</v>
      </c>
    </row>
    <row r="34" spans="1:46">
      <c r="A34" t="s">
        <v>61</v>
      </c>
      <c r="B34" s="63" t="s">
        <v>40</v>
      </c>
      <c r="C34" s="3"/>
      <c r="D34" s="67">
        <f>'4 RAB Overview'!N29</f>
        <v>0</v>
      </c>
      <c r="E34" s="67">
        <f>'4 RAB Overview'!O29</f>
        <v>0</v>
      </c>
      <c r="F34" s="67">
        <f>'4 RAB Overview'!P29</f>
        <v>0</v>
      </c>
      <c r="G34" s="287">
        <f>'4 RAB Overview'!Q29</f>
        <v>0</v>
      </c>
      <c r="H34" s="289">
        <f>'4 RAB Overview'!R29</f>
        <v>5151.6344577220098</v>
      </c>
      <c r="I34" s="70">
        <f>'4 RAB Overview'!S29</f>
        <v>5232.8740198967471</v>
      </c>
      <c r="J34" s="70">
        <f>'4 RAB Overview'!T29</f>
        <v>5232.8740198967471</v>
      </c>
      <c r="K34" s="70">
        <f>'4 RAB Overview'!U29</f>
        <v>5232.8740198967471</v>
      </c>
      <c r="L34" s="70">
        <f>'4 RAB Overview'!V29</f>
        <v>5232.8740198967471</v>
      </c>
      <c r="M34" s="70">
        <f>'4 RAB Overview'!W29</f>
        <v>0</v>
      </c>
      <c r="O34" s="257">
        <f t="shared" si="44"/>
        <v>0</v>
      </c>
      <c r="P34" s="257">
        <f t="shared" si="45"/>
        <v>0</v>
      </c>
      <c r="Q34" s="257">
        <f t="shared" si="46"/>
        <v>0</v>
      </c>
      <c r="R34" s="257">
        <f>G34*(Inflation!$F$6/Inflation!$K$6)</f>
        <v>0</v>
      </c>
      <c r="S34" s="257">
        <f>H34*(Inflation!$F$6/Inflation!$K$6)</f>
        <v>4570.6902527394786</v>
      </c>
      <c r="T34" s="307">
        <f>I34</f>
        <v>5232.8740198967471</v>
      </c>
      <c r="U34" s="307">
        <f t="shared" si="47"/>
        <v>5232.8740198967471</v>
      </c>
      <c r="V34" s="307">
        <f t="shared" si="48"/>
        <v>5232.8740198967471</v>
      </c>
      <c r="W34" s="307">
        <f t="shared" si="49"/>
        <v>5232.8740198967471</v>
      </c>
      <c r="X34" s="307">
        <f t="shared" si="50"/>
        <v>0</v>
      </c>
      <c r="Z34" s="257">
        <f>RAB!I367</f>
        <v>0</v>
      </c>
      <c r="AA34" s="257">
        <f>RAB!J367</f>
        <v>0</v>
      </c>
      <c r="AB34" s="257">
        <f>RAB!K367</f>
        <v>0</v>
      </c>
      <c r="AC34" s="257">
        <f>RAB!L367</f>
        <v>0</v>
      </c>
      <c r="AD34" s="257">
        <f>RAB!M367</f>
        <v>4542.1515086332129</v>
      </c>
      <c r="AE34" s="307">
        <f>'RAB summary'!I76</f>
        <v>5198.6314065949691</v>
      </c>
      <c r="AF34" s="307">
        <f>'RAB summary'!J76</f>
        <v>5236.2558418239269</v>
      </c>
      <c r="AG34" s="307">
        <f>'RAB summary'!K76</f>
        <v>5270.7613445843072</v>
      </c>
      <c r="AH34" s="307">
        <f>'RAB summary'!L76</f>
        <v>5301.4709011531577</v>
      </c>
      <c r="AI34" s="307">
        <f>'RAB summary'!M76</f>
        <v>179.09</v>
      </c>
      <c r="AK34" s="308">
        <f t="shared" si="51"/>
        <v>0</v>
      </c>
      <c r="AL34" s="308">
        <f t="shared" si="52"/>
        <v>0</v>
      </c>
      <c r="AM34" s="308">
        <f t="shared" si="53"/>
        <v>0</v>
      </c>
      <c r="AN34" s="308">
        <f t="shared" si="54"/>
        <v>0</v>
      </c>
      <c r="AO34" s="308">
        <f t="shared" si="55"/>
        <v>-28.538744106265767</v>
      </c>
      <c r="AP34" s="308">
        <f t="shared" si="56"/>
        <v>-34.242613301777965</v>
      </c>
      <c r="AQ34" s="308">
        <f t="shared" si="57"/>
        <v>3.3818219271797716</v>
      </c>
      <c r="AR34" s="308">
        <f t="shared" si="58"/>
        <v>37.887324687560067</v>
      </c>
      <c r="AS34" s="308">
        <f t="shared" si="59"/>
        <v>68.596881256410597</v>
      </c>
      <c r="AT34" s="308">
        <f t="shared" si="60"/>
        <v>179.09</v>
      </c>
    </row>
    <row r="35" spans="1:46">
      <c r="A35" t="s">
        <v>45</v>
      </c>
      <c r="B35" s="63" t="s">
        <v>40</v>
      </c>
      <c r="C35" s="3"/>
      <c r="D35" s="67">
        <f>'4 RAB Overview'!N30</f>
        <v>0</v>
      </c>
      <c r="E35" s="67">
        <f>'4 RAB Overview'!O30</f>
        <v>0</v>
      </c>
      <c r="F35" s="67">
        <f>'4 RAB Overview'!P30</f>
        <v>0</v>
      </c>
      <c r="G35" s="287">
        <f>'4 RAB Overview'!Q30</f>
        <v>0</v>
      </c>
      <c r="H35" s="289">
        <f>'4 RAB Overview'!R30</f>
        <v>20606.537830888039</v>
      </c>
      <c r="I35" s="70">
        <f>'4 RAB Overview'!S30</f>
        <v>15698.622059690242</v>
      </c>
      <c r="J35" s="70">
        <f>'4 RAB Overview'!T30</f>
        <v>10465.748039793496</v>
      </c>
      <c r="K35" s="70">
        <f>'4 RAB Overview'!U30</f>
        <v>5232.8740198967489</v>
      </c>
      <c r="L35" s="70">
        <f>'4 RAB Overview'!V30</f>
        <v>0</v>
      </c>
      <c r="M35" s="70">
        <f>'4 RAB Overview'!W30</f>
        <v>0</v>
      </c>
      <c r="O35" s="257">
        <f t="shared" si="44"/>
        <v>0</v>
      </c>
      <c r="P35" s="257">
        <f t="shared" si="45"/>
        <v>0</v>
      </c>
      <c r="Q35" s="257">
        <f t="shared" si="46"/>
        <v>0</v>
      </c>
      <c r="R35" s="257">
        <f>G35*(Inflation!$F$6/Inflation!$K$6)</f>
        <v>0</v>
      </c>
      <c r="S35" s="257">
        <f>H35*(Inflation!$F$6/Inflation!$K$6)</f>
        <v>18282.761010957915</v>
      </c>
      <c r="T35" s="307">
        <f>I35</f>
        <v>15698.622059690242</v>
      </c>
      <c r="U35" s="307">
        <f t="shared" si="47"/>
        <v>10465.748039793496</v>
      </c>
      <c r="V35" s="307">
        <f t="shared" si="48"/>
        <v>5232.8740198967489</v>
      </c>
      <c r="W35" s="307">
        <f t="shared" si="49"/>
        <v>0</v>
      </c>
      <c r="X35" s="307">
        <f t="shared" si="50"/>
        <v>0</v>
      </c>
      <c r="Z35" s="257">
        <f>RAB!I368</f>
        <v>0</v>
      </c>
      <c r="AA35" s="257">
        <f>RAB!J368</f>
        <v>0</v>
      </c>
      <c r="AB35" s="257">
        <f>RAB!K368</f>
        <v>0</v>
      </c>
      <c r="AC35" s="257">
        <f>RAB!L368</f>
        <v>0</v>
      </c>
      <c r="AD35" s="257">
        <f>RAB!M368</f>
        <v>18168.606034532851</v>
      </c>
      <c r="AE35" s="307">
        <f>'RAB summary'!I77</f>
        <v>15642.891168657865</v>
      </c>
      <c r="AF35" s="307">
        <f>'RAB summary'!J77</f>
        <v>10594.757502978726</v>
      </c>
      <c r="AG35" s="307">
        <f>'RAB summary'!K77</f>
        <v>5496.5236721963211</v>
      </c>
      <c r="AH35" s="307">
        <f>'RAB summary'!L77</f>
        <v>348.60055388741966</v>
      </c>
      <c r="AI35" s="307">
        <f>'RAB summary'!M77</f>
        <v>315.77833673167703</v>
      </c>
      <c r="AK35" s="308">
        <f t="shared" si="51"/>
        <v>0</v>
      </c>
      <c r="AL35" s="308">
        <f t="shared" si="52"/>
        <v>0</v>
      </c>
      <c r="AM35" s="308">
        <f t="shared" si="53"/>
        <v>0</v>
      </c>
      <c r="AN35" s="308">
        <f t="shared" si="54"/>
        <v>0</v>
      </c>
      <c r="AO35" s="308">
        <f t="shared" si="55"/>
        <v>-114.15497642506307</v>
      </c>
      <c r="AP35" s="308">
        <f t="shared" si="56"/>
        <v>-55.730891032377258</v>
      </c>
      <c r="AQ35" s="308">
        <f t="shared" si="57"/>
        <v>129.00946318522983</v>
      </c>
      <c r="AR35" s="308">
        <f t="shared" si="58"/>
        <v>263.64965229957215</v>
      </c>
      <c r="AS35" s="308">
        <f t="shared" si="59"/>
        <v>348.60055388741966</v>
      </c>
      <c r="AT35" s="308">
        <f t="shared" si="60"/>
        <v>315.77833673167703</v>
      </c>
    </row>
    <row r="36" spans="1:46">
      <c r="A36" t="s">
        <v>46</v>
      </c>
      <c r="B36" s="63" t="s">
        <v>40</v>
      </c>
      <c r="C36" s="3"/>
      <c r="D36" s="67">
        <f>'4 RAB Overview'!N31</f>
        <v>0</v>
      </c>
      <c r="E36" s="67">
        <f>'4 RAB Overview'!O31</f>
        <v>0</v>
      </c>
      <c r="F36" s="67">
        <f>'4 RAB Overview'!P31</f>
        <v>0</v>
      </c>
      <c r="G36" s="287">
        <f>'4 RAB Overview'!Q31</f>
        <v>0</v>
      </c>
      <c r="H36" s="287">
        <f>'4 RAB Overview'!R31</f>
        <v>10303.26891544402</v>
      </c>
      <c r="I36" s="68">
        <f>'4 RAB Overview'!S31</f>
        <v>18315.059069638613</v>
      </c>
      <c r="J36" s="68">
        <f>'4 RAB Overview'!T31</f>
        <v>13082.185049741869</v>
      </c>
      <c r="K36" s="68">
        <f>'4 RAB Overview'!U31</f>
        <v>7849.3110298451229</v>
      </c>
      <c r="L36" s="68">
        <f>'4 RAB Overview'!V31</f>
        <v>2616.4370099483745</v>
      </c>
      <c r="M36" s="68">
        <f>'4 RAB Overview'!W31</f>
        <v>0</v>
      </c>
      <c r="O36" s="257">
        <f t="shared" si="44"/>
        <v>0</v>
      </c>
      <c r="P36" s="257">
        <f t="shared" si="45"/>
        <v>0</v>
      </c>
      <c r="Q36" s="257">
        <f t="shared" si="46"/>
        <v>0</v>
      </c>
      <c r="R36" s="257">
        <f>G36*(Inflation!$F$6/Inflation!$K$6)</f>
        <v>0</v>
      </c>
      <c r="S36" s="257">
        <f>H36*(Inflation!$F$6/Inflation!$K$6)</f>
        <v>9141.3805054789573</v>
      </c>
      <c r="T36" s="307">
        <f>I36</f>
        <v>18315.059069638613</v>
      </c>
      <c r="U36" s="307">
        <f t="shared" si="47"/>
        <v>13082.185049741869</v>
      </c>
      <c r="V36" s="307">
        <f t="shared" si="48"/>
        <v>7849.3110298451229</v>
      </c>
      <c r="W36" s="307">
        <f t="shared" si="49"/>
        <v>2616.4370099483745</v>
      </c>
      <c r="X36" s="307">
        <f t="shared" si="50"/>
        <v>0</v>
      </c>
      <c r="Z36" s="257">
        <f>RAB!I369</f>
        <v>0</v>
      </c>
      <c r="AA36" s="257">
        <f>RAB!J369</f>
        <v>0</v>
      </c>
      <c r="AB36" s="257">
        <f>RAB!K369</f>
        <v>0</v>
      </c>
      <c r="AC36" s="257">
        <f>RAB!L369</f>
        <v>0</v>
      </c>
      <c r="AD36" s="257">
        <f>RAB!M369</f>
        <v>9084.3030172664257</v>
      </c>
      <c r="AE36" s="307">
        <f>'RAB summary'!I78</f>
        <v>18124.714499772952</v>
      </c>
      <c r="AF36" s="307">
        <f>'RAB summary'!J78</f>
        <v>13118.824335818295</v>
      </c>
      <c r="AG36" s="307">
        <f>'RAB summary'!K78</f>
        <v>8045.6405875875244</v>
      </c>
      <c r="AH36" s="307">
        <f>'RAB summary'!L78</f>
        <v>2922.5621130418699</v>
      </c>
      <c r="AI36" s="307">
        <f>'RAB summary'!M78</f>
        <v>332.18944530954838</v>
      </c>
      <c r="AK36" s="308">
        <f t="shared" si="51"/>
        <v>0</v>
      </c>
      <c r="AL36" s="308">
        <f t="shared" si="52"/>
        <v>0</v>
      </c>
      <c r="AM36" s="308">
        <f t="shared" si="53"/>
        <v>0</v>
      </c>
      <c r="AN36" s="308">
        <f t="shared" si="54"/>
        <v>0</v>
      </c>
      <c r="AO36" s="308">
        <f t="shared" si="55"/>
        <v>-57.077488212531534</v>
      </c>
      <c r="AP36" s="308">
        <f t="shared" si="56"/>
        <v>-190.34456986566147</v>
      </c>
      <c r="AQ36" s="308">
        <f t="shared" si="57"/>
        <v>36.639286076426288</v>
      </c>
      <c r="AR36" s="308">
        <f t="shared" si="58"/>
        <v>196.32955774240145</v>
      </c>
      <c r="AS36" s="308">
        <f t="shared" si="59"/>
        <v>306.12510309349545</v>
      </c>
      <c r="AT36" s="308">
        <f t="shared" si="60"/>
        <v>332.18944530954838</v>
      </c>
    </row>
    <row r="37" spans="1:46">
      <c r="B37" s="63"/>
      <c r="C37" s="3"/>
      <c r="D37" s="257"/>
      <c r="E37" s="257"/>
      <c r="F37" s="257"/>
      <c r="G37" s="257"/>
      <c r="H37" s="257"/>
      <c r="I37" s="257"/>
      <c r="J37" s="257"/>
      <c r="K37" s="257"/>
      <c r="L37" s="257"/>
      <c r="M37" s="257"/>
      <c r="O37" s="257"/>
      <c r="P37" s="257"/>
      <c r="Q37" s="257"/>
      <c r="R37" s="257"/>
      <c r="S37" s="257"/>
      <c r="T37" s="257"/>
      <c r="U37" s="257"/>
      <c r="V37" s="257"/>
      <c r="W37" s="257"/>
      <c r="X37" s="257"/>
      <c r="Z37" s="257"/>
      <c r="AA37" s="257"/>
      <c r="AB37" s="257"/>
      <c r="AC37" s="257"/>
      <c r="AD37" s="257"/>
      <c r="AE37" s="257"/>
      <c r="AF37" s="257"/>
      <c r="AG37" s="257"/>
      <c r="AH37" s="257"/>
      <c r="AI37" s="257"/>
      <c r="AK37" s="257">
        <f>AK32+AK33-AK34-AK35</f>
        <v>0</v>
      </c>
      <c r="AL37" s="257">
        <f t="shared" ref="AL37:AT37" si="61">AL32+AL33-AL34-AL35</f>
        <v>0</v>
      </c>
      <c r="AM37" s="257">
        <f t="shared" si="61"/>
        <v>0</v>
      </c>
      <c r="AN37" s="257">
        <f t="shared" si="61"/>
        <v>0</v>
      </c>
      <c r="AO37" s="257">
        <f t="shared" si="61"/>
        <v>-4.5474735088646412E-12</v>
      </c>
      <c r="AP37" s="257">
        <f t="shared" si="61"/>
        <v>5.5138116294983774E-12</v>
      </c>
      <c r="AQ37" s="257">
        <f t="shared" si="61"/>
        <v>-1.3926637620897964E-12</v>
      </c>
      <c r="AR37" s="257">
        <f t="shared" si="61"/>
        <v>0</v>
      </c>
      <c r="AS37" s="257">
        <f t="shared" si="61"/>
        <v>-8.5265128291212022E-13</v>
      </c>
      <c r="AT37" s="257">
        <f t="shared" si="61"/>
        <v>0</v>
      </c>
    </row>
    <row r="38" spans="1:46">
      <c r="C38" s="270" t="s">
        <v>11</v>
      </c>
      <c r="D38" s="473" t="s">
        <v>57</v>
      </c>
      <c r="E38" s="473"/>
      <c r="F38" s="473"/>
      <c r="G38" s="475" t="s">
        <v>422</v>
      </c>
      <c r="H38" s="475"/>
      <c r="I38" s="474" t="s">
        <v>65</v>
      </c>
      <c r="J38" s="474"/>
      <c r="K38" s="474"/>
      <c r="L38" s="474"/>
      <c r="M38" s="474"/>
      <c r="O38" s="476" t="s">
        <v>218</v>
      </c>
      <c r="P38" s="476"/>
      <c r="Q38" s="476"/>
      <c r="R38" s="476"/>
      <c r="S38" s="476"/>
      <c r="T38" s="476" t="s">
        <v>65</v>
      </c>
      <c r="U38" s="476"/>
      <c r="V38" s="476"/>
      <c r="W38" s="476"/>
      <c r="X38" s="476"/>
      <c r="Z38" s="476" t="s">
        <v>218</v>
      </c>
      <c r="AA38" s="476"/>
      <c r="AB38" s="476"/>
      <c r="AC38" s="476"/>
      <c r="AD38" s="476"/>
      <c r="AE38" s="476" t="s">
        <v>65</v>
      </c>
      <c r="AF38" s="476"/>
      <c r="AG38" s="476"/>
      <c r="AH38" s="476"/>
      <c r="AI38" s="476"/>
      <c r="AK38" s="476" t="s">
        <v>218</v>
      </c>
      <c r="AL38" s="476"/>
      <c r="AM38" s="476"/>
      <c r="AN38" s="476"/>
      <c r="AO38" s="476"/>
      <c r="AP38" s="476" t="s">
        <v>65</v>
      </c>
      <c r="AQ38" s="476"/>
      <c r="AR38" s="476"/>
      <c r="AS38" s="476"/>
      <c r="AT38" s="476"/>
    </row>
    <row r="39" spans="1:46">
      <c r="A39" s="1" t="s">
        <v>63</v>
      </c>
      <c r="B39" s="1" t="s">
        <v>10</v>
      </c>
      <c r="C39" s="1"/>
      <c r="D39" s="277" t="s">
        <v>0</v>
      </c>
      <c r="E39" s="277" t="s">
        <v>1</v>
      </c>
      <c r="F39" s="277" t="s">
        <v>2</v>
      </c>
      <c r="G39" s="286" t="s">
        <v>3</v>
      </c>
      <c r="H39" s="286" t="s">
        <v>4</v>
      </c>
      <c r="I39" s="278" t="s">
        <v>5</v>
      </c>
      <c r="J39" s="278" t="s">
        <v>6</v>
      </c>
      <c r="K39" s="278" t="s">
        <v>7</v>
      </c>
      <c r="L39" s="278" t="s">
        <v>8</v>
      </c>
      <c r="M39" s="278" t="s">
        <v>9</v>
      </c>
      <c r="O39" s="306" t="s">
        <v>0</v>
      </c>
      <c r="P39" s="306" t="s">
        <v>1</v>
      </c>
      <c r="Q39" s="306" t="s">
        <v>2</v>
      </c>
      <c r="R39" s="306" t="s">
        <v>3</v>
      </c>
      <c r="S39" s="306" t="s">
        <v>4</v>
      </c>
      <c r="T39" s="306" t="s">
        <v>5</v>
      </c>
      <c r="U39" s="306" t="s">
        <v>6</v>
      </c>
      <c r="V39" s="306" t="s">
        <v>7</v>
      </c>
      <c r="W39" s="306" t="s">
        <v>8</v>
      </c>
      <c r="X39" s="306" t="s">
        <v>9</v>
      </c>
      <c r="Z39" s="306" t="s">
        <v>0</v>
      </c>
      <c r="AA39" s="306" t="s">
        <v>1</v>
      </c>
      <c r="AB39" s="306" t="s">
        <v>2</v>
      </c>
      <c r="AC39" s="306" t="s">
        <v>3</v>
      </c>
      <c r="AD39" s="306" t="s">
        <v>4</v>
      </c>
      <c r="AE39" s="306" t="s">
        <v>5</v>
      </c>
      <c r="AF39" s="306" t="s">
        <v>6</v>
      </c>
      <c r="AG39" s="306" t="s">
        <v>7</v>
      </c>
      <c r="AH39" s="306" t="s">
        <v>8</v>
      </c>
      <c r="AI39" s="306" t="s">
        <v>9</v>
      </c>
      <c r="AK39" s="306" t="s">
        <v>0</v>
      </c>
      <c r="AL39" s="306" t="s">
        <v>1</v>
      </c>
      <c r="AM39" s="306" t="s">
        <v>2</v>
      </c>
      <c r="AN39" s="306" t="s">
        <v>3</v>
      </c>
      <c r="AO39" s="306" t="s">
        <v>4</v>
      </c>
      <c r="AP39" s="306" t="s">
        <v>5</v>
      </c>
      <c r="AQ39" s="306" t="s">
        <v>6</v>
      </c>
      <c r="AR39" s="306" t="s">
        <v>7</v>
      </c>
      <c r="AS39" s="306" t="s">
        <v>8</v>
      </c>
      <c r="AT39" s="306" t="s">
        <v>9</v>
      </c>
    </row>
    <row r="40" spans="1:46">
      <c r="A40" t="s">
        <v>39</v>
      </c>
      <c r="B40" s="63" t="s">
        <v>40</v>
      </c>
      <c r="C40" s="3"/>
      <c r="D40" s="67">
        <f>'4 RAB Overview'!N41</f>
        <v>2408</v>
      </c>
      <c r="E40" s="67">
        <f>'4 RAB Overview'!O41</f>
        <v>4166.7631199650732</v>
      </c>
      <c r="F40" s="67">
        <f>'4 RAB Overview'!P41</f>
        <v>6817.2840750240912</v>
      </c>
      <c r="G40" s="287">
        <f>'4 RAB Overview'!Q41</f>
        <v>8641.7504318240899</v>
      </c>
      <c r="H40" s="287">
        <f>'4 RAB Overview'!R41</f>
        <v>10005.953973642272</v>
      </c>
      <c r="I40" s="69">
        <f>'4 RAB Overview'!S41</f>
        <v>12480.189982867885</v>
      </c>
      <c r="J40" s="68">
        <f>'4 RAB Overview'!T41</f>
        <v>16635.220752098652</v>
      </c>
      <c r="K40" s="68">
        <f>'4 RAB Overview'!U41</f>
        <v>19633.443829021729</v>
      </c>
      <c r="L40" s="68">
        <f>'4 RAB Overview'!V41</f>
        <v>21221.066905944808</v>
      </c>
      <c r="M40" s="68">
        <f>'4 RAB Overview'!W41</f>
        <v>15393.789982867886</v>
      </c>
      <c r="O40" s="257">
        <f t="shared" ref="O40:O46" si="62">D40/F$8</f>
        <v>2355.4919663351184</v>
      </c>
      <c r="P40" s="257">
        <f t="shared" ref="P40:P46" si="63">E40/G$8</f>
        <v>3937.3293783261979</v>
      </c>
      <c r="Q40" s="257">
        <f t="shared" ref="Q40:Q46" si="64">F40/H$8</f>
        <v>6232.3186913967111</v>
      </c>
      <c r="R40" s="257">
        <f>G40*(Inflation!$F$6/Inflation!$K$6)</f>
        <v>7667.2296509972921</v>
      </c>
      <c r="S40" s="257">
        <f>H40*(Inflation!$F$6/Inflation!$K$6)</f>
        <v>8877.5934457332714</v>
      </c>
      <c r="T40" s="307">
        <f t="shared" ref="T40:T46" si="65">I40</f>
        <v>12480.189982867885</v>
      </c>
      <c r="U40" s="307">
        <f t="shared" ref="U40:U44" si="66">J40</f>
        <v>16635.220752098652</v>
      </c>
      <c r="V40" s="307">
        <f t="shared" ref="V40:V44" si="67">K40</f>
        <v>19633.443829021729</v>
      </c>
      <c r="W40" s="307">
        <f t="shared" ref="W40:W44" si="68">L40</f>
        <v>21221.066905944808</v>
      </c>
      <c r="X40" s="307">
        <f t="shared" ref="X40:X44" si="69">M40</f>
        <v>15393.789982867886</v>
      </c>
      <c r="Z40" s="257">
        <f>RAB!I356</f>
        <v>1517</v>
      </c>
      <c r="AA40" s="257">
        <f>RAB!J356</f>
        <v>3237.4121261479313</v>
      </c>
      <c r="AB40" s="257">
        <f>RAB!K356</f>
        <v>5741.9879140584671</v>
      </c>
      <c r="AC40" s="257">
        <f>RAB!L356</f>
        <v>7409.9037075291853</v>
      </c>
      <c r="AD40" s="257">
        <f>RAB!M356</f>
        <v>8620.2675022651638</v>
      </c>
      <c r="AE40" s="307">
        <f>'RAB summary'!I66</f>
        <v>12114.959026688524</v>
      </c>
      <c r="AF40" s="307">
        <f>'RAB summary'!J66</f>
        <v>16269.989795919291</v>
      </c>
      <c r="AG40" s="307">
        <f>'RAB summary'!K66</f>
        <v>19268.21287284237</v>
      </c>
      <c r="AH40" s="307">
        <f>'RAB summary'!L66</f>
        <v>20855.835949765449</v>
      </c>
      <c r="AI40" s="307">
        <f>'RAB summary'!M66</f>
        <v>15028.559026688527</v>
      </c>
      <c r="AK40" s="308">
        <f t="shared" ref="AK40:AK46" si="70">Z40-O40</f>
        <v>-838.49196633511838</v>
      </c>
      <c r="AL40" s="308">
        <f t="shared" ref="AL40:AL46" si="71">AA40-P40</f>
        <v>-699.91725217826661</v>
      </c>
      <c r="AM40" s="308">
        <f t="shared" ref="AM40:AM46" si="72">AB40-Q40</f>
        <v>-490.33077733824393</v>
      </c>
      <c r="AN40" s="308">
        <f t="shared" ref="AN40:AN46" si="73">AC40-R40</f>
        <v>-257.32594346810674</v>
      </c>
      <c r="AO40" s="308">
        <f t="shared" ref="AO40:AO46" si="74">AD40-S40</f>
        <v>-257.32594346810765</v>
      </c>
      <c r="AP40" s="308">
        <f t="shared" ref="AP40:AP46" si="75">AE40-T40</f>
        <v>-365.23095617936087</v>
      </c>
      <c r="AQ40" s="308">
        <f t="shared" ref="AQ40:AQ46" si="76">AF40-U40</f>
        <v>-365.23095617936087</v>
      </c>
      <c r="AR40" s="308">
        <f t="shared" ref="AR40:AR46" si="77">AG40-V40</f>
        <v>-365.23095617935905</v>
      </c>
      <c r="AS40" s="308">
        <f t="shared" ref="AS40:AS46" si="78">AH40-W40</f>
        <v>-365.23095617935905</v>
      </c>
      <c r="AT40" s="308">
        <f t="shared" ref="AT40:AT46" si="79">AI40-X40</f>
        <v>-365.23095617935905</v>
      </c>
    </row>
    <row r="41" spans="1:46">
      <c r="A41" t="s">
        <v>60</v>
      </c>
      <c r="B41" s="63" t="s">
        <v>40</v>
      </c>
      <c r="C41" s="3"/>
      <c r="D41" s="67">
        <f>'4 RAB Overview'!N42</f>
        <v>1758.7631199650732</v>
      </c>
      <c r="E41" s="67">
        <f>'4 RAB Overview'!O42</f>
        <v>2650.520955059018</v>
      </c>
      <c r="F41" s="67">
        <f>'4 RAB Overview'!P42</f>
        <v>1824.4663567999996</v>
      </c>
      <c r="G41" s="287">
        <f>'4 RAB Overview'!Q42</f>
        <v>1364.203541818182</v>
      </c>
      <c r="H41" s="287">
        <f>'4 RAB Overview'!R42</f>
        <v>3478.3346234349551</v>
      </c>
      <c r="I41" s="70">
        <f>'4 RAB Overview'!S42</f>
        <v>5074.2615384615383</v>
      </c>
      <c r="J41" s="68">
        <f>'4 RAB Overview'!T42</f>
        <v>3991.1461538461544</v>
      </c>
      <c r="K41" s="68">
        <f>'4 RAB Overview'!U42</f>
        <v>3299.6846153846159</v>
      </c>
      <c r="L41" s="68">
        <f>'4 RAB Overview'!V42</f>
        <v>2784.1153846153852</v>
      </c>
      <c r="M41" s="68">
        <f>'4 RAB Overview'!W42</f>
        <v>2149.7307692307691</v>
      </c>
      <c r="O41" s="257">
        <f t="shared" si="62"/>
        <v>1720.4121261479311</v>
      </c>
      <c r="P41" s="257">
        <f t="shared" si="63"/>
        <v>2504.5757879105354</v>
      </c>
      <c r="Q41" s="257">
        <f t="shared" si="64"/>
        <v>1667.9157934707182</v>
      </c>
      <c r="R41" s="257">
        <f>G41*(Inflation!$F$6/Inflation!$K$6)</f>
        <v>1210.3637947359789</v>
      </c>
      <c r="S41" s="257">
        <f>H41*(Inflation!$F$6/Inflation!$K$6)</f>
        <v>3086.0866176693894</v>
      </c>
      <c r="T41" s="307">
        <f t="shared" si="65"/>
        <v>5074.2615384615383</v>
      </c>
      <c r="U41" s="307">
        <f t="shared" si="66"/>
        <v>3991.1461538461544</v>
      </c>
      <c r="V41" s="307">
        <f t="shared" si="67"/>
        <v>3299.6846153846159</v>
      </c>
      <c r="W41" s="307">
        <f t="shared" si="68"/>
        <v>2784.1153846153852</v>
      </c>
      <c r="X41" s="307">
        <f t="shared" si="69"/>
        <v>2149.7307692307691</v>
      </c>
      <c r="Z41" s="257">
        <f>RAB!I357</f>
        <v>1720.4121261479311</v>
      </c>
      <c r="AA41" s="257">
        <f>RAB!J357</f>
        <v>2504.5757879105354</v>
      </c>
      <c r="AB41" s="257">
        <f>RAB!K357</f>
        <v>1667.9157934707182</v>
      </c>
      <c r="AC41" s="257">
        <f>RAB!L357</f>
        <v>1210.3637947359789</v>
      </c>
      <c r="AD41" s="257">
        <f>RAB!M357</f>
        <v>3066.8175288881807</v>
      </c>
      <c r="AE41" s="307">
        <f>'RAB summary'!I67</f>
        <v>5074.2615384615392</v>
      </c>
      <c r="AF41" s="307">
        <f>'RAB summary'!J67</f>
        <v>3991.1461538461544</v>
      </c>
      <c r="AG41" s="307">
        <f>'RAB summary'!K67</f>
        <v>3299.6846153846159</v>
      </c>
      <c r="AH41" s="307">
        <f>'RAB summary'!L67</f>
        <v>2784.1153846153848</v>
      </c>
      <c r="AI41" s="307">
        <f>'RAB summary'!M67</f>
        <v>2149.7307692307695</v>
      </c>
      <c r="AK41" s="308">
        <f t="shared" si="70"/>
        <v>0</v>
      </c>
      <c r="AL41" s="308">
        <f t="shared" si="71"/>
        <v>0</v>
      </c>
      <c r="AM41" s="308">
        <f t="shared" si="72"/>
        <v>0</v>
      </c>
      <c r="AN41" s="308">
        <f t="shared" si="73"/>
        <v>0</v>
      </c>
      <c r="AO41" s="308">
        <f t="shared" si="74"/>
        <v>-19.269088781208666</v>
      </c>
      <c r="AP41" s="308">
        <f t="shared" si="75"/>
        <v>0</v>
      </c>
      <c r="AQ41" s="308">
        <f t="shared" si="76"/>
        <v>0</v>
      </c>
      <c r="AR41" s="308">
        <f t="shared" si="77"/>
        <v>0</v>
      </c>
      <c r="AS41" s="308">
        <f t="shared" si="78"/>
        <v>0</v>
      </c>
      <c r="AT41" s="308">
        <f t="shared" si="79"/>
        <v>0</v>
      </c>
    </row>
    <row r="42" spans="1:46">
      <c r="A42" t="s">
        <v>64</v>
      </c>
      <c r="B42" s="63" t="s">
        <v>40</v>
      </c>
      <c r="C42" s="3"/>
      <c r="D42" s="67">
        <f>'4 RAB Overview'!N43</f>
        <v>0</v>
      </c>
      <c r="E42" s="67">
        <f>'4 RAB Overview'!O43</f>
        <v>0</v>
      </c>
      <c r="F42" s="67">
        <f>'4 RAB Overview'!P43</f>
        <v>0</v>
      </c>
      <c r="G42" s="287">
        <f>'4 RAB Overview'!Q43</f>
        <v>0</v>
      </c>
      <c r="H42" s="287">
        <f>'4 RAB Overview'!R43</f>
        <v>824.30899999999997</v>
      </c>
      <c r="I42" s="70">
        <f>'4 RAB Overview'!S43</f>
        <v>919.23076923076917</v>
      </c>
      <c r="J42" s="68">
        <f>'4 RAB Overview'!T43</f>
        <v>992.92307692307702</v>
      </c>
      <c r="K42" s="68">
        <f>'4 RAB Overview'!U43</f>
        <v>1712.0615384615387</v>
      </c>
      <c r="L42" s="68">
        <f>'4 RAB Overview'!V43</f>
        <v>8611.3923076923093</v>
      </c>
      <c r="M42" s="68">
        <f>'4 RAB Overview'!W43</f>
        <v>9013.3538461538483</v>
      </c>
      <c r="O42" s="257">
        <f t="shared" si="62"/>
        <v>0</v>
      </c>
      <c r="P42" s="257">
        <f t="shared" si="63"/>
        <v>0</v>
      </c>
      <c r="Q42" s="257">
        <f t="shared" si="64"/>
        <v>0</v>
      </c>
      <c r="R42" s="257">
        <f>G42*(Inflation!$F$6/Inflation!$K$6)</f>
        <v>0</v>
      </c>
      <c r="S42" s="257">
        <f>H42*(Inflation!$F$6/Inflation!$K$6)</f>
        <v>731.35257217210267</v>
      </c>
      <c r="T42" s="307">
        <f t="shared" si="65"/>
        <v>919.23076923076917</v>
      </c>
      <c r="U42" s="307">
        <f t="shared" si="66"/>
        <v>992.92307692307702</v>
      </c>
      <c r="V42" s="307">
        <f t="shared" si="67"/>
        <v>1712.0615384615387</v>
      </c>
      <c r="W42" s="307">
        <f t="shared" si="68"/>
        <v>8611.3923076923093</v>
      </c>
      <c r="X42" s="307">
        <f t="shared" si="69"/>
        <v>9013.3538461538483</v>
      </c>
      <c r="Z42" s="257">
        <f>RAB!I358</f>
        <v>0</v>
      </c>
      <c r="AA42" s="257">
        <f>RAB!J358</f>
        <v>0</v>
      </c>
      <c r="AB42" s="257">
        <f>RAB!K358</f>
        <v>0</v>
      </c>
      <c r="AC42" s="257">
        <f>RAB!L358</f>
        <v>0</v>
      </c>
      <c r="AD42" s="257">
        <f>RAB!M358</f>
        <v>724.25206176266488</v>
      </c>
      <c r="AE42" s="307">
        <f>'RAB summary'!I68</f>
        <v>919.23076923076917</v>
      </c>
      <c r="AF42" s="307">
        <f>'RAB summary'!J68</f>
        <v>992.92307692307691</v>
      </c>
      <c r="AG42" s="307">
        <f>'RAB summary'!K68</f>
        <v>1712.0615384615387</v>
      </c>
      <c r="AH42" s="307">
        <f>'RAB summary'!L68</f>
        <v>8611.3923076923093</v>
      </c>
      <c r="AI42" s="307">
        <f>'RAB summary'!M68</f>
        <v>9013.3538461538483</v>
      </c>
      <c r="AK42" s="308">
        <f t="shared" si="70"/>
        <v>0</v>
      </c>
      <c r="AL42" s="308">
        <f t="shared" si="71"/>
        <v>0</v>
      </c>
      <c r="AM42" s="308">
        <f t="shared" si="72"/>
        <v>0</v>
      </c>
      <c r="AN42" s="308">
        <f t="shared" si="73"/>
        <v>0</v>
      </c>
      <c r="AO42" s="308">
        <f t="shared" si="74"/>
        <v>-7.1005104094377884</v>
      </c>
      <c r="AP42" s="308">
        <f t="shared" si="75"/>
        <v>0</v>
      </c>
      <c r="AQ42" s="308">
        <f t="shared" si="76"/>
        <v>0</v>
      </c>
      <c r="AR42" s="308">
        <f t="shared" si="77"/>
        <v>0</v>
      </c>
      <c r="AS42" s="308">
        <f t="shared" si="78"/>
        <v>0</v>
      </c>
      <c r="AT42" s="308">
        <f t="shared" si="79"/>
        <v>0</v>
      </c>
    </row>
    <row r="43" spans="1:46" s="299" customFormat="1">
      <c r="A43" s="299" t="s">
        <v>465</v>
      </c>
      <c r="B43" s="300" t="s">
        <v>40</v>
      </c>
      <c r="C43" s="3"/>
      <c r="D43" s="67">
        <f>'4 RAB Overview'!N44</f>
        <v>0</v>
      </c>
      <c r="E43" s="67">
        <f>'4 RAB Overview'!O44</f>
        <v>0</v>
      </c>
      <c r="F43" s="67">
        <f>'4 RAB Overview'!P44</f>
        <v>0</v>
      </c>
      <c r="G43" s="287">
        <f>'4 RAB Overview'!Q44</f>
        <v>0</v>
      </c>
      <c r="H43" s="287">
        <f>'4 RAB Overview'!R44</f>
        <v>386.92464999999993</v>
      </c>
      <c r="I43" s="70">
        <f>'4 RAB Overview'!S44</f>
        <v>0</v>
      </c>
      <c r="J43" s="70">
        <f>'4 RAB Overview'!T44</f>
        <v>0</v>
      </c>
      <c r="K43" s="70">
        <f>'4 RAB Overview'!U44</f>
        <v>0</v>
      </c>
      <c r="L43" s="70">
        <f>'4 RAB Overview'!V44</f>
        <v>0</v>
      </c>
      <c r="M43" s="70">
        <f>'4 RAB Overview'!W44</f>
        <v>0</v>
      </c>
      <c r="O43" s="257">
        <f t="shared" ref="O43" si="80">D43/F$8</f>
        <v>0</v>
      </c>
      <c r="P43" s="257">
        <f t="shared" ref="P43" si="81">E43/G$8</f>
        <v>0</v>
      </c>
      <c r="Q43" s="257">
        <f t="shared" ref="Q43" si="82">F43/H$8</f>
        <v>0</v>
      </c>
      <c r="R43" s="257">
        <f>G43*(Inflation!$F$6/Inflation!$K$6)</f>
        <v>0</v>
      </c>
      <c r="S43" s="257">
        <f>H43*(Inflation!$F$6/Inflation!$K$6)</f>
        <v>343.29157878209566</v>
      </c>
      <c r="T43" s="307">
        <f t="shared" si="65"/>
        <v>0</v>
      </c>
      <c r="U43" s="307">
        <f t="shared" si="66"/>
        <v>0</v>
      </c>
      <c r="V43" s="307">
        <f t="shared" si="67"/>
        <v>0</v>
      </c>
      <c r="W43" s="307">
        <f t="shared" si="68"/>
        <v>0</v>
      </c>
      <c r="X43" s="307">
        <f t="shared" si="69"/>
        <v>0</v>
      </c>
      <c r="Z43" s="257">
        <f>RAB!I359</f>
        <v>0</v>
      </c>
      <c r="AA43" s="257">
        <f>RAB!J359</f>
        <v>0</v>
      </c>
      <c r="AB43" s="257">
        <f>RAB!K359</f>
        <v>0</v>
      </c>
      <c r="AC43" s="257">
        <f>RAB!L359</f>
        <v>0</v>
      </c>
      <c r="AD43" s="257">
        <f>RAB!M359</f>
        <v>281.1784630972445</v>
      </c>
      <c r="AE43" s="307">
        <f>'RAB summary'!I69</f>
        <v>0</v>
      </c>
      <c r="AF43" s="307">
        <f>'RAB summary'!J69</f>
        <v>0</v>
      </c>
      <c r="AG43" s="307">
        <f>'RAB summary'!K69</f>
        <v>0</v>
      </c>
      <c r="AH43" s="307">
        <f>'RAB summary'!L69</f>
        <v>0</v>
      </c>
      <c r="AI43" s="307">
        <f>'RAB summary'!M69</f>
        <v>0</v>
      </c>
      <c r="AK43" s="308">
        <f t="shared" si="70"/>
        <v>0</v>
      </c>
      <c r="AL43" s="308">
        <f t="shared" si="71"/>
        <v>0</v>
      </c>
      <c r="AM43" s="308">
        <f t="shared" si="72"/>
        <v>0</v>
      </c>
      <c r="AN43" s="308">
        <f t="shared" si="73"/>
        <v>0</v>
      </c>
      <c r="AO43" s="308">
        <f t="shared" si="74"/>
        <v>-62.113115684851152</v>
      </c>
      <c r="AP43" s="308">
        <f t="shared" si="75"/>
        <v>0</v>
      </c>
      <c r="AQ43" s="308">
        <f t="shared" si="76"/>
        <v>0</v>
      </c>
      <c r="AR43" s="308">
        <f t="shared" si="77"/>
        <v>0</v>
      </c>
      <c r="AS43" s="308">
        <f t="shared" si="78"/>
        <v>0</v>
      </c>
      <c r="AT43" s="308">
        <f t="shared" si="79"/>
        <v>0</v>
      </c>
    </row>
    <row r="44" spans="1:46">
      <c r="A44" t="s">
        <v>61</v>
      </c>
      <c r="B44" s="63" t="s">
        <v>40</v>
      </c>
      <c r="C44" s="3"/>
      <c r="D44" s="67">
        <f>'4 RAB Overview'!N45</f>
        <v>0</v>
      </c>
      <c r="E44" s="67">
        <f>'4 RAB Overview'!O45</f>
        <v>0</v>
      </c>
      <c r="F44" s="67">
        <f>'4 RAB Overview'!P45</f>
        <v>0</v>
      </c>
      <c r="G44" s="287">
        <f>'4 RAB Overview'!Q45</f>
        <v>0</v>
      </c>
      <c r="H44" s="287">
        <f>'4 RAB Overview'!R45</f>
        <v>0</v>
      </c>
      <c r="I44" s="70">
        <f>'4 RAB Overview'!S45</f>
        <v>0</v>
      </c>
      <c r="J44" s="68">
        <f>'4 RAB Overview'!T45</f>
        <v>0</v>
      </c>
      <c r="K44" s="68">
        <f>'4 RAB Overview'!U45</f>
        <v>0</v>
      </c>
      <c r="L44" s="68">
        <f>'4 RAB Overview'!V45</f>
        <v>0</v>
      </c>
      <c r="M44" s="68">
        <f>'4 RAB Overview'!W45</f>
        <v>0</v>
      </c>
      <c r="O44" s="257">
        <f t="shared" si="62"/>
        <v>0</v>
      </c>
      <c r="P44" s="257">
        <f t="shared" si="63"/>
        <v>0</v>
      </c>
      <c r="Q44" s="257">
        <f t="shared" si="64"/>
        <v>0</v>
      </c>
      <c r="R44" s="257">
        <f>G44*(Inflation!$F$6/Inflation!$K$6)</f>
        <v>0</v>
      </c>
      <c r="S44" s="257">
        <f>H44*(Inflation!$F$6/Inflation!$K$6)</f>
        <v>0</v>
      </c>
      <c r="T44" s="307">
        <f t="shared" si="65"/>
        <v>0</v>
      </c>
      <c r="U44" s="307">
        <f t="shared" si="66"/>
        <v>0</v>
      </c>
      <c r="V44" s="307">
        <f t="shared" si="67"/>
        <v>0</v>
      </c>
      <c r="W44" s="307">
        <f t="shared" si="68"/>
        <v>0</v>
      </c>
      <c r="X44" s="307">
        <f t="shared" si="69"/>
        <v>0</v>
      </c>
      <c r="Z44" s="257"/>
      <c r="AA44" s="257"/>
      <c r="AB44" s="257"/>
      <c r="AC44" s="257"/>
      <c r="AD44" s="257"/>
      <c r="AE44" s="307"/>
      <c r="AF44" s="307"/>
      <c r="AG44" s="307"/>
      <c r="AH44" s="307"/>
      <c r="AI44" s="307"/>
      <c r="AK44" s="308">
        <f t="shared" si="70"/>
        <v>0</v>
      </c>
      <c r="AL44" s="308">
        <f t="shared" si="71"/>
        <v>0</v>
      </c>
      <c r="AM44" s="308">
        <f t="shared" si="72"/>
        <v>0</v>
      </c>
      <c r="AN44" s="308">
        <f t="shared" si="73"/>
        <v>0</v>
      </c>
      <c r="AO44" s="308">
        <f t="shared" si="74"/>
        <v>0</v>
      </c>
      <c r="AP44" s="308">
        <f t="shared" si="75"/>
        <v>0</v>
      </c>
      <c r="AQ44" s="308">
        <f t="shared" si="76"/>
        <v>0</v>
      </c>
      <c r="AR44" s="308">
        <f t="shared" si="77"/>
        <v>0</v>
      </c>
      <c r="AS44" s="308">
        <f t="shared" si="78"/>
        <v>0</v>
      </c>
      <c r="AT44" s="308">
        <f t="shared" si="79"/>
        <v>0</v>
      </c>
    </row>
    <row r="45" spans="1:46">
      <c r="A45" t="s">
        <v>45</v>
      </c>
      <c r="B45" s="63" t="s">
        <v>40</v>
      </c>
      <c r="C45" s="3"/>
      <c r="D45" s="67">
        <f>'4 RAB Overview'!N46</f>
        <v>4166.7631199650732</v>
      </c>
      <c r="E45" s="67">
        <f>'4 RAB Overview'!O46</f>
        <v>6817.2840750240912</v>
      </c>
      <c r="F45" s="67">
        <f>'4 RAB Overview'!P46</f>
        <v>8641.7504318240899</v>
      </c>
      <c r="G45" s="287">
        <f>'4 RAB Overview'!Q46</f>
        <v>10005.953973642272</v>
      </c>
      <c r="H45" s="288">
        <f>'4 RAB Overview'!R46</f>
        <v>12273.054947077228</v>
      </c>
      <c r="I45" s="70">
        <f>'4 RAB Overview'!S46</f>
        <v>16635.220752098652</v>
      </c>
      <c r="J45" s="68">
        <f>'4 RAB Overview'!T46</f>
        <v>19633.443829021729</v>
      </c>
      <c r="K45" s="68">
        <f>'4 RAB Overview'!U46</f>
        <v>21221.066905944808</v>
      </c>
      <c r="L45" s="68">
        <f>'4 RAB Overview'!V46</f>
        <v>15393.789982867886</v>
      </c>
      <c r="M45" s="68">
        <f>'4 RAB Overview'!W46</f>
        <v>8530.1669059448068</v>
      </c>
      <c r="O45" s="257">
        <f t="shared" si="62"/>
        <v>4075.9040924830497</v>
      </c>
      <c r="P45" s="257">
        <f t="shared" si="63"/>
        <v>6441.9051662367337</v>
      </c>
      <c r="Q45" s="257">
        <f t="shared" si="64"/>
        <v>7900.2344848674284</v>
      </c>
      <c r="R45" s="257">
        <f>G45*(Inflation!$F$6/Inflation!$K$6)</f>
        <v>8877.5934457332714</v>
      </c>
      <c r="S45" s="257">
        <f>H45*(Inflation!$F$6/Inflation!$K$6)</f>
        <v>10889.035912448462</v>
      </c>
      <c r="T45" s="307">
        <f t="shared" si="65"/>
        <v>16635.220752098652</v>
      </c>
      <c r="U45" s="307">
        <f t="shared" ref="U45:U46" si="83">J45</f>
        <v>19633.443829021729</v>
      </c>
      <c r="V45" s="307">
        <f t="shared" ref="V45:V46" si="84">K45</f>
        <v>21221.066905944808</v>
      </c>
      <c r="W45" s="307">
        <f t="shared" ref="W45:W46" si="85">L45</f>
        <v>15393.789982867886</v>
      </c>
      <c r="X45" s="307">
        <f t="shared" ref="X45:X46" si="86">M45</f>
        <v>8530.1669059448068</v>
      </c>
      <c r="Z45" s="257">
        <f>RAB!I360</f>
        <v>3237.4121261479313</v>
      </c>
      <c r="AA45" s="257">
        <f>RAB!J360</f>
        <v>5741.9879140584671</v>
      </c>
      <c r="AB45" s="257">
        <f>RAB!K360</f>
        <v>7409.9037075291853</v>
      </c>
      <c r="AC45" s="257">
        <f>RAB!L360</f>
        <v>8620.2675022651638</v>
      </c>
      <c r="AD45" s="257">
        <f>RAB!M360</f>
        <v>10681.654506293435</v>
      </c>
      <c r="AE45" s="307">
        <f>'RAB summary'!I70</f>
        <v>16269.989795919295</v>
      </c>
      <c r="AF45" s="307">
        <f>'RAB summary'!J70</f>
        <v>19268.21287284237</v>
      </c>
      <c r="AG45" s="307">
        <f>'RAB summary'!K70</f>
        <v>20855.835949765449</v>
      </c>
      <c r="AH45" s="307">
        <f>'RAB summary'!L70</f>
        <v>15028.559026688525</v>
      </c>
      <c r="AI45" s="307">
        <f>'RAB summary'!M70</f>
        <v>8164.9359497654486</v>
      </c>
      <c r="AK45" s="308">
        <f t="shared" si="70"/>
        <v>-838.49196633511838</v>
      </c>
      <c r="AL45" s="308">
        <f t="shared" si="71"/>
        <v>-699.91725217826661</v>
      </c>
      <c r="AM45" s="308">
        <f t="shared" si="72"/>
        <v>-490.33077733824302</v>
      </c>
      <c r="AN45" s="308">
        <f t="shared" si="73"/>
        <v>-257.32594346810765</v>
      </c>
      <c r="AO45" s="308">
        <f t="shared" si="74"/>
        <v>-207.38140615502743</v>
      </c>
      <c r="AP45" s="308">
        <f t="shared" si="75"/>
        <v>-365.23095617935724</v>
      </c>
      <c r="AQ45" s="308">
        <f t="shared" si="76"/>
        <v>-365.23095617935905</v>
      </c>
      <c r="AR45" s="308">
        <f t="shared" si="77"/>
        <v>-365.23095617935905</v>
      </c>
      <c r="AS45" s="308">
        <f t="shared" si="78"/>
        <v>-365.23095617936087</v>
      </c>
      <c r="AT45" s="308">
        <f t="shared" si="79"/>
        <v>-365.23095617935815</v>
      </c>
    </row>
    <row r="46" spans="1:46">
      <c r="A46" t="s">
        <v>46</v>
      </c>
      <c r="B46" s="63" t="s">
        <v>40</v>
      </c>
      <c r="C46" s="3"/>
      <c r="D46" s="67">
        <f>'4 RAB Overview'!N47</f>
        <v>3287.3815599825366</v>
      </c>
      <c r="E46" s="67">
        <f>'4 RAB Overview'!O47</f>
        <v>5492.0235974945826</v>
      </c>
      <c r="F46" s="67">
        <f>'4 RAB Overview'!P47</f>
        <v>7729.5172534240901</v>
      </c>
      <c r="G46" s="287">
        <f>'4 RAB Overview'!Q47</f>
        <v>9323.8522027331819</v>
      </c>
      <c r="H46" s="287">
        <f>'4 RAB Overview'!R47</f>
        <v>11139.504460359749</v>
      </c>
      <c r="I46" s="70">
        <f>'4 RAB Overview'!S47</f>
        <v>14557.705367483268</v>
      </c>
      <c r="J46" s="68">
        <f>'4 RAB Overview'!T47</f>
        <v>18134.332290560189</v>
      </c>
      <c r="K46" s="68">
        <f>'4 RAB Overview'!U47</f>
        <v>20427.255367483267</v>
      </c>
      <c r="L46" s="68">
        <f>'4 RAB Overview'!V47</f>
        <v>18307.428444406345</v>
      </c>
      <c r="M46" s="68">
        <f>'4 RAB Overview'!W47</f>
        <v>11961.978444406346</v>
      </c>
      <c r="O46" s="257">
        <f t="shared" si="62"/>
        <v>3215.698029409084</v>
      </c>
      <c r="P46" s="257">
        <f t="shared" si="63"/>
        <v>5189.6172722814663</v>
      </c>
      <c r="Q46" s="257">
        <f t="shared" si="64"/>
        <v>7066.2765881320693</v>
      </c>
      <c r="R46" s="257">
        <f>G46*(Inflation!$F$6/Inflation!$K$6)</f>
        <v>8272.4115483652822</v>
      </c>
      <c r="S46" s="257">
        <f>H46*(Inflation!$F$6/Inflation!$K$6)</f>
        <v>9883.3146790908668</v>
      </c>
      <c r="T46" s="307">
        <f t="shared" si="65"/>
        <v>14557.705367483268</v>
      </c>
      <c r="U46" s="307">
        <f t="shared" si="83"/>
        <v>18134.332290560189</v>
      </c>
      <c r="V46" s="307">
        <f t="shared" si="84"/>
        <v>20427.255367483267</v>
      </c>
      <c r="W46" s="307">
        <f t="shared" si="85"/>
        <v>18307.428444406345</v>
      </c>
      <c r="X46" s="307">
        <f t="shared" si="86"/>
        <v>11961.978444406346</v>
      </c>
      <c r="Z46" s="257">
        <f>RAB!I361</f>
        <v>2377.2060630739657</v>
      </c>
      <c r="AA46" s="257">
        <f>RAB!J361</f>
        <v>4489.7000201031988</v>
      </c>
      <c r="AB46" s="257">
        <f>RAB!K361</f>
        <v>6575.9458107938262</v>
      </c>
      <c r="AC46" s="257">
        <f>RAB!L361</f>
        <v>8015.0856048971746</v>
      </c>
      <c r="AD46" s="257">
        <f>RAB!M361</f>
        <v>9650.9610042792992</v>
      </c>
      <c r="AE46" s="307">
        <f>'RAB summary'!I71</f>
        <v>14192.474411303909</v>
      </c>
      <c r="AF46" s="307">
        <f>'RAB summary'!J71</f>
        <v>17769.10133438083</v>
      </c>
      <c r="AG46" s="307">
        <f>'RAB summary'!K71</f>
        <v>20062.024411303912</v>
      </c>
      <c r="AH46" s="307">
        <f>'RAB summary'!L71</f>
        <v>17942.197488226982</v>
      </c>
      <c r="AI46" s="307">
        <f>'RAB summary'!M71</f>
        <v>11596.747488226989</v>
      </c>
      <c r="AK46" s="308">
        <f t="shared" si="70"/>
        <v>-838.49196633511838</v>
      </c>
      <c r="AL46" s="308">
        <f t="shared" si="71"/>
        <v>-699.91725217826752</v>
      </c>
      <c r="AM46" s="308">
        <f t="shared" si="72"/>
        <v>-490.33077733824302</v>
      </c>
      <c r="AN46" s="308">
        <f t="shared" si="73"/>
        <v>-257.32594346810765</v>
      </c>
      <c r="AO46" s="308">
        <f t="shared" si="74"/>
        <v>-232.35367481156754</v>
      </c>
      <c r="AP46" s="308">
        <f t="shared" si="75"/>
        <v>-365.23095617935905</v>
      </c>
      <c r="AQ46" s="308">
        <f t="shared" si="76"/>
        <v>-365.23095617935905</v>
      </c>
      <c r="AR46" s="308">
        <f t="shared" si="77"/>
        <v>-365.23095617935542</v>
      </c>
      <c r="AS46" s="308">
        <f t="shared" si="78"/>
        <v>-365.23095617936269</v>
      </c>
      <c r="AT46" s="308">
        <f t="shared" si="79"/>
        <v>-365.23095617935724</v>
      </c>
    </row>
    <row r="48" spans="1:46" ht="18">
      <c r="A48" s="267" t="s">
        <v>353</v>
      </c>
      <c r="B48" s="267"/>
    </row>
    <row r="49" spans="1:13">
      <c r="C49" s="270" t="s">
        <v>11</v>
      </c>
      <c r="D49" s="473" t="s">
        <v>57</v>
      </c>
      <c r="E49" s="473"/>
      <c r="F49" s="473"/>
      <c r="G49" s="475" t="s">
        <v>422</v>
      </c>
      <c r="H49" s="475"/>
      <c r="I49" s="474" t="s">
        <v>65</v>
      </c>
      <c r="J49" s="474"/>
      <c r="K49" s="474"/>
      <c r="L49" s="474"/>
      <c r="M49" s="474"/>
    </row>
    <row r="50" spans="1:13">
      <c r="A50" s="1" t="s">
        <v>66</v>
      </c>
      <c r="B50" s="1" t="s">
        <v>10</v>
      </c>
      <c r="C50" s="1"/>
      <c r="D50" s="293" t="s">
        <v>0</v>
      </c>
      <c r="E50" s="293" t="s">
        <v>1</v>
      </c>
      <c r="F50" s="293" t="s">
        <v>2</v>
      </c>
      <c r="G50" s="290" t="s">
        <v>3</v>
      </c>
      <c r="H50" s="291" t="s">
        <v>4</v>
      </c>
      <c r="I50" s="295" t="s">
        <v>5</v>
      </c>
      <c r="J50" s="296" t="s">
        <v>6</v>
      </c>
      <c r="K50" s="296" t="s">
        <v>7</v>
      </c>
      <c r="L50" s="296" t="s">
        <v>8</v>
      </c>
      <c r="M50" s="296" t="s">
        <v>9</v>
      </c>
    </row>
    <row r="51" spans="1:13">
      <c r="A51" t="s">
        <v>62</v>
      </c>
      <c r="B51" s="63" t="s">
        <v>40</v>
      </c>
      <c r="C51" s="3"/>
      <c r="D51" s="294">
        <f t="shared" ref="D51:M51" si="87">D17</f>
        <v>29.1779346977812</v>
      </c>
      <c r="E51" s="294">
        <f t="shared" si="87"/>
        <v>16.597018373983737</v>
      </c>
      <c r="F51" s="294">
        <f t="shared" si="87"/>
        <v>62.589909703253483</v>
      </c>
      <c r="G51" s="292">
        <f t="shared" si="87"/>
        <v>0</v>
      </c>
      <c r="H51" s="292">
        <f t="shared" si="87"/>
        <v>0</v>
      </c>
      <c r="I51" s="297">
        <f t="shared" si="87"/>
        <v>1677.002</v>
      </c>
      <c r="J51" s="297">
        <f t="shared" si="87"/>
        <v>67.806411999999995</v>
      </c>
      <c r="K51" s="297">
        <f t="shared" si="87"/>
        <v>68.213250471999999</v>
      </c>
      <c r="L51" s="297">
        <f t="shared" si="87"/>
        <v>68.622529974832005</v>
      </c>
      <c r="M51" s="297">
        <f t="shared" si="87"/>
        <v>69.034265154680995</v>
      </c>
    </row>
    <row r="52" spans="1:13">
      <c r="A52" t="s">
        <v>59</v>
      </c>
      <c r="B52" s="63" t="s">
        <v>40</v>
      </c>
      <c r="C52" s="3"/>
      <c r="D52" s="294">
        <f t="shared" ref="D52:M52" si="88">D25</f>
        <v>3902.4594420198928</v>
      </c>
      <c r="E52" s="294">
        <f t="shared" si="88"/>
        <v>803.5123249593496</v>
      </c>
      <c r="F52" s="294">
        <f t="shared" si="88"/>
        <v>1271.7388932284593</v>
      </c>
      <c r="G52" s="292">
        <f t="shared" si="88"/>
        <v>825.09922000000006</v>
      </c>
      <c r="H52" s="292">
        <f t="shared" si="88"/>
        <v>2606.0504123199494</v>
      </c>
      <c r="I52" s="297">
        <f t="shared" si="88"/>
        <v>6721.2519419351092</v>
      </c>
      <c r="J52" s="297">
        <f t="shared" si="88"/>
        <v>6895.6699618045741</v>
      </c>
      <c r="K52" s="297">
        <f t="shared" si="88"/>
        <v>4083.3627226290241</v>
      </c>
      <c r="L52" s="297">
        <f t="shared" si="88"/>
        <v>3571.632221615605</v>
      </c>
      <c r="M52" s="297">
        <f t="shared" si="88"/>
        <v>3172.9225777817583</v>
      </c>
    </row>
    <row r="53" spans="1:13">
      <c r="A53" t="s">
        <v>67</v>
      </c>
      <c r="B53" s="63" t="s">
        <v>40</v>
      </c>
      <c r="C53" s="3"/>
      <c r="D53" s="294">
        <f t="shared" ref="D53:M53" si="89">D33</f>
        <v>0</v>
      </c>
      <c r="E53" s="294">
        <f t="shared" si="89"/>
        <v>0</v>
      </c>
      <c r="F53" s="294">
        <f t="shared" si="89"/>
        <v>0</v>
      </c>
      <c r="G53" s="292">
        <f t="shared" si="89"/>
        <v>0</v>
      </c>
      <c r="H53" s="292">
        <f t="shared" si="89"/>
        <v>25758.172288610051</v>
      </c>
      <c r="I53" s="297">
        <f t="shared" si="89"/>
        <v>0</v>
      </c>
      <c r="J53" s="297">
        <f t="shared" si="89"/>
        <v>0</v>
      </c>
      <c r="K53" s="297">
        <f t="shared" si="89"/>
        <v>0</v>
      </c>
      <c r="L53" s="297">
        <f t="shared" si="89"/>
        <v>0</v>
      </c>
      <c r="M53" s="297">
        <f t="shared" si="89"/>
        <v>0</v>
      </c>
    </row>
    <row r="54" spans="1:13">
      <c r="A54" t="s">
        <v>63</v>
      </c>
      <c r="B54" s="63" t="s">
        <v>40</v>
      </c>
      <c r="C54" s="3"/>
      <c r="D54" s="294">
        <f t="shared" ref="D54:M54" si="90">D41</f>
        <v>1758.7631199650732</v>
      </c>
      <c r="E54" s="294">
        <f t="shared" si="90"/>
        <v>2650.520955059018</v>
      </c>
      <c r="F54" s="294">
        <f t="shared" si="90"/>
        <v>1824.4663567999996</v>
      </c>
      <c r="G54" s="292">
        <f t="shared" si="90"/>
        <v>1364.203541818182</v>
      </c>
      <c r="H54" s="292">
        <f t="shared" si="90"/>
        <v>3478.3346234349551</v>
      </c>
      <c r="I54" s="297">
        <f t="shared" si="90"/>
        <v>5074.2615384615383</v>
      </c>
      <c r="J54" s="297">
        <f t="shared" si="90"/>
        <v>3991.1461538461544</v>
      </c>
      <c r="K54" s="297">
        <f t="shared" si="90"/>
        <v>3299.6846153846159</v>
      </c>
      <c r="L54" s="297">
        <f t="shared" si="90"/>
        <v>2784.1153846153852</v>
      </c>
      <c r="M54" s="297">
        <f t="shared" si="90"/>
        <v>2149.7307692307691</v>
      </c>
    </row>
    <row r="56" spans="1:13">
      <c r="A56" s="1" t="s">
        <v>66</v>
      </c>
      <c r="B56" s="1" t="s">
        <v>10</v>
      </c>
      <c r="C56" s="1" t="s">
        <v>11</v>
      </c>
      <c r="D56" s="228" t="s">
        <v>0</v>
      </c>
      <c r="E56" s="228" t="s">
        <v>1</v>
      </c>
      <c r="F56" s="228" t="s">
        <v>2</v>
      </c>
      <c r="G56" s="228" t="s">
        <v>3</v>
      </c>
      <c r="H56" s="253" t="s">
        <v>4</v>
      </c>
      <c r="I56" s="253" t="s">
        <v>5</v>
      </c>
      <c r="J56" s="228" t="s">
        <v>6</v>
      </c>
      <c r="K56" s="228" t="s">
        <v>7</v>
      </c>
      <c r="L56" s="228" t="s">
        <v>8</v>
      </c>
      <c r="M56" s="228" t="s">
        <v>9</v>
      </c>
    </row>
    <row r="57" spans="1:13">
      <c r="A57" t="s">
        <v>62</v>
      </c>
      <c r="B57" s="63" t="s">
        <v>40</v>
      </c>
      <c r="C57" s="3" t="s">
        <v>52</v>
      </c>
      <c r="D57" s="71">
        <f t="shared" ref="D57:M60" si="91">D51*F$9</f>
        <v>29.1779346977812</v>
      </c>
      <c r="E57" s="71">
        <f t="shared" si="91"/>
        <v>16.597018373983737</v>
      </c>
      <c r="F57" s="71">
        <f t="shared" si="91"/>
        <v>62.589909703253483</v>
      </c>
      <c r="G57" s="71">
        <f t="shared" si="91"/>
        <v>0</v>
      </c>
      <c r="H57" s="71">
        <f t="shared" si="91"/>
        <v>0</v>
      </c>
      <c r="I57" s="71">
        <f t="shared" si="91"/>
        <v>1725.8137435687809</v>
      </c>
      <c r="J57" s="71">
        <f t="shared" si="91"/>
        <v>71.175623217098632</v>
      </c>
      <c r="K57" s="71">
        <f t="shared" si="91"/>
        <v>73.034730495529246</v>
      </c>
      <c r="L57" s="71">
        <f t="shared" si="91"/>
        <v>74.942397656072473</v>
      </c>
      <c r="M57" s="71">
        <f t="shared" si="91"/>
        <v>76.89989308284909</v>
      </c>
    </row>
    <row r="58" spans="1:13">
      <c r="A58" t="s">
        <v>59</v>
      </c>
      <c r="B58" s="63" t="s">
        <v>40</v>
      </c>
      <c r="C58" s="3" t="s">
        <v>52</v>
      </c>
      <c r="D58" s="71">
        <f t="shared" si="91"/>
        <v>3902.4594420198928</v>
      </c>
      <c r="E58" s="71">
        <f t="shared" si="91"/>
        <v>803.5123249593496</v>
      </c>
      <c r="F58" s="71">
        <f t="shared" si="91"/>
        <v>1271.7388932284593</v>
      </c>
      <c r="G58" s="71">
        <f t="shared" si="91"/>
        <v>825.09922000000006</v>
      </c>
      <c r="H58" s="71">
        <f t="shared" si="91"/>
        <v>2629.317206383806</v>
      </c>
      <c r="I58" s="71">
        <f t="shared" si="91"/>
        <v>6916.884401676306</v>
      </c>
      <c r="J58" s="71">
        <f t="shared" si="91"/>
        <v>7238.3067110359316</v>
      </c>
      <c r="K58" s="71">
        <f t="shared" si="91"/>
        <v>4371.9848255159295</v>
      </c>
      <c r="L58" s="71">
        <f t="shared" si="91"/>
        <v>3900.5656353930353</v>
      </c>
      <c r="M58" s="71">
        <f t="shared" si="91"/>
        <v>3534.4391143277121</v>
      </c>
    </row>
    <row r="59" spans="1:13">
      <c r="A59" t="s">
        <v>67</v>
      </c>
      <c r="B59" s="63" t="s">
        <v>40</v>
      </c>
      <c r="C59" s="3" t="s">
        <v>52</v>
      </c>
      <c r="D59" s="71">
        <f t="shared" si="91"/>
        <v>0</v>
      </c>
      <c r="E59" s="71">
        <f t="shared" si="91"/>
        <v>0</v>
      </c>
      <c r="F59" s="71">
        <f t="shared" si="91"/>
        <v>0</v>
      </c>
      <c r="G59" s="71">
        <f t="shared" si="91"/>
        <v>0</v>
      </c>
      <c r="H59" s="71">
        <f t="shared" si="91"/>
        <v>25988.141013415687</v>
      </c>
      <c r="I59" s="71">
        <f t="shared" si="91"/>
        <v>0</v>
      </c>
      <c r="J59" s="71">
        <f t="shared" si="91"/>
        <v>0</v>
      </c>
      <c r="K59" s="71">
        <f t="shared" si="91"/>
        <v>0</v>
      </c>
      <c r="L59" s="71">
        <f t="shared" si="91"/>
        <v>0</v>
      </c>
      <c r="M59" s="71">
        <f t="shared" si="91"/>
        <v>0</v>
      </c>
    </row>
    <row r="60" spans="1:13">
      <c r="A60" t="s">
        <v>63</v>
      </c>
      <c r="B60" s="63" t="s">
        <v>40</v>
      </c>
      <c r="C60" s="3" t="s">
        <v>52</v>
      </c>
      <c r="D60" s="71">
        <f t="shared" si="91"/>
        <v>1758.7631199650732</v>
      </c>
      <c r="E60" s="71">
        <f t="shared" si="91"/>
        <v>2650.520955059018</v>
      </c>
      <c r="F60" s="71">
        <f t="shared" si="91"/>
        <v>1824.4663567999996</v>
      </c>
      <c r="G60" s="71">
        <f t="shared" si="91"/>
        <v>1364.203541818182</v>
      </c>
      <c r="H60" s="71">
        <f t="shared" si="91"/>
        <v>3509.389162896683</v>
      </c>
      <c r="I60" s="71">
        <f t="shared" si="91"/>
        <v>5221.9557886868288</v>
      </c>
      <c r="J60" s="71">
        <f t="shared" si="91"/>
        <v>4189.4609443503114</v>
      </c>
      <c r="K60" s="71">
        <f t="shared" si="91"/>
        <v>3532.914425530581</v>
      </c>
      <c r="L60" s="71">
        <f t="shared" si="91"/>
        <v>3040.5215655960101</v>
      </c>
      <c r="M60" s="71">
        <f t="shared" si="91"/>
        <v>2394.6668504451759</v>
      </c>
    </row>
    <row r="62" spans="1:13">
      <c r="A62" s="1" t="s">
        <v>66</v>
      </c>
      <c r="B62" s="1" t="s">
        <v>10</v>
      </c>
      <c r="C62" s="1" t="s">
        <v>11</v>
      </c>
      <c r="D62" s="228" t="s">
        <v>0</v>
      </c>
      <c r="E62" s="228" t="s">
        <v>1</v>
      </c>
      <c r="F62" s="228" t="s">
        <v>2</v>
      </c>
      <c r="G62" s="228" t="s">
        <v>3</v>
      </c>
      <c r="H62" s="253" t="s">
        <v>4</v>
      </c>
      <c r="I62" s="253" t="s">
        <v>5</v>
      </c>
      <c r="J62" s="228" t="s">
        <v>6</v>
      </c>
      <c r="K62" s="228" t="s">
        <v>7</v>
      </c>
      <c r="L62" s="228" t="s">
        <v>8</v>
      </c>
      <c r="M62" s="228" t="s">
        <v>9</v>
      </c>
    </row>
    <row r="63" spans="1:13">
      <c r="A63" t="s">
        <v>62</v>
      </c>
      <c r="B63" s="63" t="s">
        <v>40</v>
      </c>
      <c r="C63" s="3" t="s">
        <v>54</v>
      </c>
      <c r="D63" s="71">
        <f>D57*F$5</f>
        <v>31.225107006566493</v>
      </c>
      <c r="E63" s="71">
        <f t="shared" ref="E63:M66" si="92">E57*G$5</f>
        <v>17.306555138794831</v>
      </c>
      <c r="F63" s="71">
        <f t="shared" si="92"/>
        <v>63.844388864604269</v>
      </c>
      <c r="G63" s="71">
        <f t="shared" si="92"/>
        <v>0</v>
      </c>
      <c r="H63" s="71">
        <f t="shared" si="92"/>
        <v>0</v>
      </c>
      <c r="I63" s="71">
        <f t="shared" si="92"/>
        <v>1677.0020000000002</v>
      </c>
      <c r="J63" s="71">
        <f t="shared" si="92"/>
        <v>67.806411999999995</v>
      </c>
      <c r="K63" s="71">
        <f t="shared" si="92"/>
        <v>68.213250471999999</v>
      </c>
      <c r="L63" s="71">
        <f t="shared" si="92"/>
        <v>68.622529974832005</v>
      </c>
      <c r="M63" s="71">
        <f t="shared" si="92"/>
        <v>69.034265154680995</v>
      </c>
    </row>
    <row r="64" spans="1:13">
      <c r="A64" t="s">
        <v>59</v>
      </c>
      <c r="B64" s="63" t="s">
        <v>40</v>
      </c>
      <c r="C64" s="3" t="s">
        <v>54</v>
      </c>
      <c r="D64" s="71">
        <f t="shared" ref="D64:D66" si="93">D58*F$5</f>
        <v>4176.2624712133311</v>
      </c>
      <c r="E64" s="71">
        <f t="shared" si="92"/>
        <v>837.86316573633997</v>
      </c>
      <c r="F64" s="71">
        <f t="shared" si="92"/>
        <v>1297.2281445758133</v>
      </c>
      <c r="G64" s="71">
        <f t="shared" si="92"/>
        <v>825.09922000000006</v>
      </c>
      <c r="H64" s="71">
        <f t="shared" si="92"/>
        <v>2606.0504123199494</v>
      </c>
      <c r="I64" s="71">
        <f t="shared" si="92"/>
        <v>6721.2519419351092</v>
      </c>
      <c r="J64" s="71">
        <f t="shared" si="92"/>
        <v>6895.6699618045741</v>
      </c>
      <c r="K64" s="71">
        <f t="shared" si="92"/>
        <v>4083.3627226290241</v>
      </c>
      <c r="L64" s="71">
        <f t="shared" si="92"/>
        <v>3571.6322216156045</v>
      </c>
      <c r="M64" s="71">
        <f t="shared" si="92"/>
        <v>3172.9225777817583</v>
      </c>
    </row>
    <row r="65" spans="1:13">
      <c r="A65" t="s">
        <v>67</v>
      </c>
      <c r="B65" s="63" t="s">
        <v>40</v>
      </c>
      <c r="C65" s="3" t="s">
        <v>54</v>
      </c>
      <c r="D65" s="71">
        <f t="shared" si="93"/>
        <v>0</v>
      </c>
      <c r="E65" s="71">
        <f t="shared" si="92"/>
        <v>0</v>
      </c>
      <c r="F65" s="71">
        <f t="shared" si="92"/>
        <v>0</v>
      </c>
      <c r="G65" s="71">
        <f t="shared" si="92"/>
        <v>0</v>
      </c>
      <c r="H65" s="71">
        <f t="shared" si="92"/>
        <v>25758.172288610047</v>
      </c>
      <c r="I65" s="71">
        <f t="shared" si="92"/>
        <v>0</v>
      </c>
      <c r="J65" s="71">
        <f t="shared" si="92"/>
        <v>0</v>
      </c>
      <c r="K65" s="71">
        <f t="shared" si="92"/>
        <v>0</v>
      </c>
      <c r="L65" s="71">
        <f t="shared" si="92"/>
        <v>0</v>
      </c>
      <c r="M65" s="71">
        <f t="shared" si="92"/>
        <v>0</v>
      </c>
    </row>
    <row r="66" spans="1:13">
      <c r="A66" t="s">
        <v>63</v>
      </c>
      <c r="B66" s="63" t="s">
        <v>40</v>
      </c>
      <c r="C66" s="3" t="s">
        <v>54</v>
      </c>
      <c r="D66" s="71">
        <f t="shared" si="93"/>
        <v>1882.1608585027195</v>
      </c>
      <c r="E66" s="71">
        <f t="shared" si="92"/>
        <v>2763.832998291105</v>
      </c>
      <c r="F66" s="71">
        <f t="shared" si="92"/>
        <v>1861.0338328683063</v>
      </c>
      <c r="G66" s="71">
        <f t="shared" si="92"/>
        <v>1364.203541818182</v>
      </c>
      <c r="H66" s="71">
        <f t="shared" si="92"/>
        <v>3478.3346234349547</v>
      </c>
      <c r="I66" s="71">
        <f t="shared" si="92"/>
        <v>5074.2615384615392</v>
      </c>
      <c r="J66" s="71">
        <f t="shared" si="92"/>
        <v>3991.1461538461544</v>
      </c>
      <c r="K66" s="71">
        <f t="shared" si="92"/>
        <v>3299.6846153846159</v>
      </c>
      <c r="L66" s="71">
        <f t="shared" si="92"/>
        <v>2784.1153846153848</v>
      </c>
      <c r="M66" s="71">
        <f t="shared" si="92"/>
        <v>2149.7307692307695</v>
      </c>
    </row>
    <row r="68" spans="1:13">
      <c r="A68" s="1" t="s">
        <v>66</v>
      </c>
      <c r="B68" s="1" t="s">
        <v>10</v>
      </c>
      <c r="C68" s="1" t="s">
        <v>11</v>
      </c>
      <c r="D68" s="228" t="s">
        <v>0</v>
      </c>
      <c r="E68" s="228" t="s">
        <v>1</v>
      </c>
      <c r="F68" s="228" t="s">
        <v>2</v>
      </c>
      <c r="G68" s="228" t="s">
        <v>3</v>
      </c>
      <c r="H68" s="253" t="s">
        <v>4</v>
      </c>
      <c r="I68" s="253" t="s">
        <v>5</v>
      </c>
      <c r="J68" s="228" t="s">
        <v>6</v>
      </c>
      <c r="K68" s="228" t="s">
        <v>7</v>
      </c>
      <c r="L68" s="228" t="s">
        <v>8</v>
      </c>
      <c r="M68" s="228" t="s">
        <v>9</v>
      </c>
    </row>
    <row r="69" spans="1:13">
      <c r="A69" t="s">
        <v>62</v>
      </c>
      <c r="B69" s="63" t="s">
        <v>40</v>
      </c>
      <c r="C69" s="3" t="s">
        <v>218</v>
      </c>
      <c r="D69" s="71">
        <f t="shared" ref="D69:H72" si="94">D57/F$8</f>
        <v>28.541690521127212</v>
      </c>
      <c r="E69" s="71">
        <f t="shared" si="94"/>
        <v>15.683139683028978</v>
      </c>
      <c r="F69" s="71">
        <f t="shared" si="94"/>
        <v>57.219306081951785</v>
      </c>
      <c r="G69" s="71">
        <f t="shared" si="94"/>
        <v>0</v>
      </c>
      <c r="H69" s="71">
        <f t="shared" si="94"/>
        <v>0</v>
      </c>
      <c r="I69" s="71"/>
      <c r="J69" s="71"/>
      <c r="K69" s="71"/>
      <c r="L69" s="71"/>
      <c r="M69" s="71"/>
    </row>
    <row r="70" spans="1:13">
      <c r="A70" t="s">
        <v>59</v>
      </c>
      <c r="B70" s="63" t="s">
        <v>40</v>
      </c>
      <c r="C70" s="3" t="s">
        <v>218</v>
      </c>
      <c r="D70" s="71">
        <f t="shared" si="94"/>
        <v>3817.3637311571788</v>
      </c>
      <c r="E70" s="71">
        <f t="shared" si="94"/>
        <v>759.26866774614075</v>
      </c>
      <c r="F70" s="71">
        <f t="shared" si="94"/>
        <v>1162.6157847640939</v>
      </c>
      <c r="G70" s="71">
        <f t="shared" si="94"/>
        <v>732.05367992366416</v>
      </c>
      <c r="H70" s="71">
        <f t="shared" si="94"/>
        <v>2297.7320904727926</v>
      </c>
      <c r="I70" s="71"/>
      <c r="J70" s="71"/>
      <c r="K70" s="71"/>
      <c r="L70" s="71"/>
      <c r="M70" s="71"/>
    </row>
    <row r="71" spans="1:13">
      <c r="A71" t="s">
        <v>67</v>
      </c>
      <c r="B71" s="63" t="s">
        <v>40</v>
      </c>
      <c r="C71" s="3" t="s">
        <v>218</v>
      </c>
      <c r="D71" s="71">
        <f t="shared" si="94"/>
        <v>0</v>
      </c>
      <c r="E71" s="71">
        <f t="shared" si="94"/>
        <v>0</v>
      </c>
      <c r="F71" s="71">
        <f t="shared" si="94"/>
        <v>0</v>
      </c>
      <c r="G71" s="71">
        <f t="shared" si="94"/>
        <v>0</v>
      </c>
      <c r="H71" s="71">
        <f t="shared" si="94"/>
        <v>22710.757543166063</v>
      </c>
      <c r="I71" s="71"/>
      <c r="J71" s="71"/>
      <c r="K71" s="71"/>
      <c r="L71" s="71"/>
      <c r="M71" s="71"/>
    </row>
    <row r="72" spans="1:13">
      <c r="A72" t="s">
        <v>63</v>
      </c>
      <c r="B72" s="63" t="s">
        <v>40</v>
      </c>
      <c r="C72" s="3" t="s">
        <v>218</v>
      </c>
      <c r="D72" s="71">
        <f t="shared" si="94"/>
        <v>1720.4121261479311</v>
      </c>
      <c r="E72" s="71">
        <f t="shared" si="94"/>
        <v>2504.5757879105354</v>
      </c>
      <c r="F72" s="71">
        <f t="shared" si="94"/>
        <v>1667.9157934707182</v>
      </c>
      <c r="G72" s="71">
        <f t="shared" si="94"/>
        <v>1210.3637947359789</v>
      </c>
      <c r="H72" s="71">
        <f t="shared" si="94"/>
        <v>3066.8175288881807</v>
      </c>
      <c r="I72" s="71"/>
      <c r="J72" s="71"/>
      <c r="K72" s="71"/>
      <c r="L72" s="71"/>
      <c r="M72" s="71"/>
    </row>
    <row r="74" spans="1:13" ht="18">
      <c r="A74" s="267" t="s">
        <v>354</v>
      </c>
      <c r="B74" s="267"/>
    </row>
    <row r="75" spans="1:13" ht="18">
      <c r="A75" s="62"/>
      <c r="C75" s="270" t="s">
        <v>11</v>
      </c>
      <c r="D75" s="473" t="s">
        <v>57</v>
      </c>
      <c r="E75" s="473"/>
      <c r="F75" s="473"/>
      <c r="G75" s="475" t="s">
        <v>422</v>
      </c>
      <c r="H75" s="475"/>
      <c r="I75" s="474" t="s">
        <v>65</v>
      </c>
      <c r="J75" s="474"/>
      <c r="K75" s="474"/>
      <c r="L75" s="474"/>
      <c r="M75" s="474"/>
    </row>
    <row r="76" spans="1:13">
      <c r="A76" s="1" t="s">
        <v>61</v>
      </c>
      <c r="B76" s="1" t="s">
        <v>10</v>
      </c>
      <c r="C76" s="1"/>
      <c r="D76" s="293" t="s">
        <v>0</v>
      </c>
      <c r="E76" s="293" t="s">
        <v>1</v>
      </c>
      <c r="F76" s="293" t="s">
        <v>2</v>
      </c>
      <c r="G76" s="290" t="s">
        <v>3</v>
      </c>
      <c r="H76" s="290" t="s">
        <v>4</v>
      </c>
      <c r="I76" s="298" t="s">
        <v>5</v>
      </c>
      <c r="J76" s="296" t="s">
        <v>6</v>
      </c>
      <c r="K76" s="296" t="s">
        <v>7</v>
      </c>
      <c r="L76" s="296" t="s">
        <v>8</v>
      </c>
      <c r="M76" s="296" t="s">
        <v>9</v>
      </c>
    </row>
    <row r="77" spans="1:13">
      <c r="A77" t="s">
        <v>62</v>
      </c>
      <c r="B77" s="63" t="s">
        <v>40</v>
      </c>
      <c r="C77" s="3"/>
      <c r="D77" s="294">
        <f t="shared" ref="D77:M77" si="95">D18</f>
        <v>153.22279228795929</v>
      </c>
      <c r="E77" s="294">
        <f t="shared" si="95"/>
        <v>153.55473265543898</v>
      </c>
      <c r="F77" s="294">
        <f t="shared" si="95"/>
        <v>155.1384712169837</v>
      </c>
      <c r="G77" s="292">
        <f t="shared" si="95"/>
        <v>156.39026941104879</v>
      </c>
      <c r="H77" s="292">
        <f t="shared" si="95"/>
        <v>156.39026941104879</v>
      </c>
      <c r="I77" s="297">
        <f t="shared" si="95"/>
        <v>192.39653195063499</v>
      </c>
      <c r="J77" s="297">
        <f t="shared" si="95"/>
        <v>227.29270019063497</v>
      </c>
      <c r="K77" s="297">
        <f t="shared" si="95"/>
        <v>230.01309344007498</v>
      </c>
      <c r="L77" s="297">
        <f t="shared" si="95"/>
        <v>232.74980904901162</v>
      </c>
      <c r="M77" s="297">
        <f t="shared" si="95"/>
        <v>235.5029449516019</v>
      </c>
    </row>
    <row r="78" spans="1:13">
      <c r="A78" t="s">
        <v>59</v>
      </c>
      <c r="B78" s="63" t="s">
        <v>40</v>
      </c>
      <c r="C78" s="3"/>
      <c r="D78" s="294">
        <f>D26</f>
        <v>4047.5400632001488</v>
      </c>
      <c r="E78" s="294">
        <f t="shared" ref="E78:M78" si="96">E26</f>
        <v>2343.5427960265174</v>
      </c>
      <c r="F78" s="294">
        <f t="shared" si="96"/>
        <v>2525.6014120104683</v>
      </c>
      <c r="G78" s="292">
        <f t="shared" si="96"/>
        <v>2237.5351428008316</v>
      </c>
      <c r="H78" s="292">
        <f t="shared" si="96"/>
        <v>2018.3766753291225</v>
      </c>
      <c r="I78" s="297">
        <f t="shared" si="96"/>
        <v>2478.233910280509</v>
      </c>
      <c r="J78" s="297">
        <f t="shared" si="96"/>
        <v>3244.781842121693</v>
      </c>
      <c r="K78" s="297">
        <f t="shared" si="96"/>
        <v>4010.4300890884251</v>
      </c>
      <c r="L78" s="297">
        <f t="shared" si="96"/>
        <v>4510.4606155970359</v>
      </c>
      <c r="M78" s="297">
        <f t="shared" si="96"/>
        <v>4836.3903234406516</v>
      </c>
    </row>
    <row r="79" spans="1:13">
      <c r="A79" t="s">
        <v>67</v>
      </c>
      <c r="B79" s="63" t="s">
        <v>40</v>
      </c>
      <c r="C79" s="3"/>
      <c r="D79" s="294">
        <f>D34</f>
        <v>0</v>
      </c>
      <c r="E79" s="294">
        <f t="shared" ref="E79:M79" si="97">E34</f>
        <v>0</v>
      </c>
      <c r="F79" s="294">
        <f t="shared" si="97"/>
        <v>0</v>
      </c>
      <c r="G79" s="292">
        <f t="shared" si="97"/>
        <v>0</v>
      </c>
      <c r="H79" s="292">
        <f t="shared" si="97"/>
        <v>5151.6344577220098</v>
      </c>
      <c r="I79" s="297">
        <f t="shared" si="97"/>
        <v>5232.8740198967471</v>
      </c>
      <c r="J79" s="297">
        <f t="shared" si="97"/>
        <v>5232.8740198967471</v>
      </c>
      <c r="K79" s="297">
        <f t="shared" si="97"/>
        <v>5232.8740198967471</v>
      </c>
      <c r="L79" s="297">
        <f t="shared" si="97"/>
        <v>5232.8740198967471</v>
      </c>
      <c r="M79" s="297">
        <f t="shared" si="97"/>
        <v>0</v>
      </c>
    </row>
    <row r="81" spans="1:13">
      <c r="A81" s="1" t="s">
        <v>61</v>
      </c>
      <c r="B81" s="1" t="s">
        <v>10</v>
      </c>
      <c r="C81" s="1" t="s">
        <v>11</v>
      </c>
      <c r="D81" s="228" t="s">
        <v>0</v>
      </c>
      <c r="E81" s="228" t="s">
        <v>1</v>
      </c>
      <c r="F81" s="228" t="s">
        <v>2</v>
      </c>
      <c r="G81" s="228" t="s">
        <v>3</v>
      </c>
      <c r="H81" s="228" t="s">
        <v>4</v>
      </c>
      <c r="I81" s="276" t="s">
        <v>5</v>
      </c>
      <c r="J81" s="228" t="s">
        <v>6</v>
      </c>
      <c r="K81" s="228" t="s">
        <v>7</v>
      </c>
      <c r="L81" s="228" t="s">
        <v>8</v>
      </c>
      <c r="M81" s="228" t="s">
        <v>9</v>
      </c>
    </row>
    <row r="82" spans="1:13">
      <c r="A82" t="s">
        <v>62</v>
      </c>
      <c r="B82" s="63" t="s">
        <v>40</v>
      </c>
      <c r="C82" s="3" t="s">
        <v>52</v>
      </c>
      <c r="D82" s="71">
        <f t="shared" ref="D82:M84" si="98">D77*F$9</f>
        <v>153.22279228795929</v>
      </c>
      <c r="E82" s="71">
        <f t="shared" si="98"/>
        <v>153.55473265543898</v>
      </c>
      <c r="F82" s="71">
        <f t="shared" si="98"/>
        <v>155.1384712169837</v>
      </c>
      <c r="G82" s="71">
        <f t="shared" si="98"/>
        <v>156.39026941104879</v>
      </c>
      <c r="H82" s="71">
        <f t="shared" si="98"/>
        <v>157.78652029505938</v>
      </c>
      <c r="I82" s="71">
        <f t="shared" si="98"/>
        <v>197.99653134306098</v>
      </c>
      <c r="J82" s="71">
        <f t="shared" si="98"/>
        <v>238.58657480306726</v>
      </c>
      <c r="K82" s="71">
        <f t="shared" si="98"/>
        <v>246.27098362266801</v>
      </c>
      <c r="L82" s="71">
        <f t="shared" si="98"/>
        <v>254.18515975035157</v>
      </c>
      <c r="M82" s="71">
        <f t="shared" si="98"/>
        <v>262.33568571919955</v>
      </c>
    </row>
    <row r="83" spans="1:13">
      <c r="A83" t="s">
        <v>59</v>
      </c>
      <c r="B83" s="63" t="s">
        <v>40</v>
      </c>
      <c r="C83" s="3" t="s">
        <v>52</v>
      </c>
      <c r="D83" s="71">
        <f t="shared" si="98"/>
        <v>4047.5400632001488</v>
      </c>
      <c r="E83" s="71">
        <f t="shared" si="98"/>
        <v>2343.5427960265174</v>
      </c>
      <c r="F83" s="71">
        <f t="shared" si="98"/>
        <v>2525.6014120104683</v>
      </c>
      <c r="G83" s="71">
        <f t="shared" si="98"/>
        <v>2237.5351428008316</v>
      </c>
      <c r="H83" s="71">
        <f t="shared" si="98"/>
        <v>2036.3967236851204</v>
      </c>
      <c r="I83" s="71">
        <f t="shared" si="98"/>
        <v>2550.3667509879556</v>
      </c>
      <c r="J83" s="71">
        <f t="shared" si="98"/>
        <v>3406.0107739742498</v>
      </c>
      <c r="K83" s="71">
        <f t="shared" si="98"/>
        <v>4293.8971343692765</v>
      </c>
      <c r="L83" s="71">
        <f t="shared" si="98"/>
        <v>4925.8564671121921</v>
      </c>
      <c r="M83" s="71">
        <f t="shared" si="98"/>
        <v>5387.439091966542</v>
      </c>
    </row>
    <row r="84" spans="1:13">
      <c r="A84" t="s">
        <v>67</v>
      </c>
      <c r="B84" s="63" t="s">
        <v>40</v>
      </c>
      <c r="C84" s="3" t="s">
        <v>52</v>
      </c>
      <c r="D84" s="71">
        <f t="shared" si="98"/>
        <v>0</v>
      </c>
      <c r="E84" s="71">
        <f t="shared" si="98"/>
        <v>0</v>
      </c>
      <c r="F84" s="71">
        <f t="shared" si="98"/>
        <v>0</v>
      </c>
      <c r="G84" s="71">
        <f t="shared" si="98"/>
        <v>0</v>
      </c>
      <c r="H84" s="71">
        <f t="shared" si="98"/>
        <v>5197.6282026831368</v>
      </c>
      <c r="I84" s="71">
        <f t="shared" si="98"/>
        <v>5385.1849323386732</v>
      </c>
      <c r="J84" s="71">
        <f t="shared" si="98"/>
        <v>5492.888630985447</v>
      </c>
      <c r="K84" s="71">
        <f t="shared" si="98"/>
        <v>5602.746403605156</v>
      </c>
      <c r="L84" s="71">
        <f t="shared" si="98"/>
        <v>5714.8013316772576</v>
      </c>
      <c r="M84" s="71">
        <f t="shared" si="98"/>
        <v>0</v>
      </c>
    </row>
    <row r="86" spans="1:13">
      <c r="A86" s="1" t="s">
        <v>61</v>
      </c>
      <c r="B86" s="1" t="s">
        <v>10</v>
      </c>
      <c r="C86" s="1" t="s">
        <v>11</v>
      </c>
      <c r="D86" s="228" t="s">
        <v>0</v>
      </c>
      <c r="E86" s="228" t="s">
        <v>1</v>
      </c>
      <c r="F86" s="228" t="s">
        <v>2</v>
      </c>
      <c r="G86" s="228" t="s">
        <v>3</v>
      </c>
      <c r="H86" s="228" t="s">
        <v>4</v>
      </c>
      <c r="I86" s="276" t="s">
        <v>5</v>
      </c>
      <c r="J86" s="228" t="s">
        <v>6</v>
      </c>
      <c r="K86" s="228" t="s">
        <v>7</v>
      </c>
      <c r="L86" s="228" t="s">
        <v>8</v>
      </c>
      <c r="M86" s="228" t="s">
        <v>9</v>
      </c>
    </row>
    <row r="87" spans="1:13">
      <c r="A87" t="s">
        <v>62</v>
      </c>
      <c r="B87" s="63" t="s">
        <v>40</v>
      </c>
      <c r="C87" s="3" t="s">
        <v>54</v>
      </c>
      <c r="D87" s="71">
        <f>D82*F$5</f>
        <v>163.97315761352579</v>
      </c>
      <c r="E87" s="71">
        <f t="shared" ref="E87:E89" si="99">E82*G$5</f>
        <v>160.11932912540249</v>
      </c>
      <c r="F87" s="71">
        <f t="shared" ref="F87:F89" si="100">F82*H$5</f>
        <v>158.24788582052338</v>
      </c>
      <c r="G87" s="71">
        <f t="shared" ref="G87:G89" si="101">G82*I$5</f>
        <v>156.39026941104879</v>
      </c>
      <c r="H87" s="71">
        <f t="shared" ref="H87:H89" si="102">H82*J$5</f>
        <v>156.39026941104876</v>
      </c>
      <c r="I87" s="71">
        <f t="shared" ref="I87:I89" si="103">I82*K$5</f>
        <v>192.39653195063502</v>
      </c>
      <c r="J87" s="71">
        <f t="shared" ref="J87:J89" si="104">J82*L$5</f>
        <v>227.29270019063497</v>
      </c>
      <c r="K87" s="71">
        <f t="shared" ref="K87:K89" si="105">K82*M$5</f>
        <v>230.01309344007498</v>
      </c>
      <c r="L87" s="71">
        <f t="shared" ref="L87:L89" si="106">L82*N$5</f>
        <v>232.74980904901159</v>
      </c>
      <c r="M87" s="71">
        <f t="shared" ref="M87:M89" si="107">M82*O$5</f>
        <v>235.5029449516019</v>
      </c>
    </row>
    <row r="88" spans="1:13">
      <c r="A88" t="s">
        <v>59</v>
      </c>
      <c r="B88" s="63" t="s">
        <v>40</v>
      </c>
      <c r="C88" s="3" t="s">
        <v>54</v>
      </c>
      <c r="D88" s="71">
        <f t="shared" ref="D88:D89" si="108">D83*F$5</f>
        <v>4331.5221894852048</v>
      </c>
      <c r="E88" s="71">
        <f t="shared" si="99"/>
        <v>2443.7312597746527</v>
      </c>
      <c r="F88" s="71">
        <f t="shared" si="100"/>
        <v>2576.2216215021681</v>
      </c>
      <c r="G88" s="71">
        <f t="shared" si="101"/>
        <v>2237.5351428008316</v>
      </c>
      <c r="H88" s="71">
        <f t="shared" si="102"/>
        <v>2018.3766753291222</v>
      </c>
      <c r="I88" s="71">
        <f t="shared" si="103"/>
        <v>2478.233910280509</v>
      </c>
      <c r="J88" s="71">
        <f t="shared" si="104"/>
        <v>3244.781842121693</v>
      </c>
      <c r="K88" s="71">
        <f t="shared" si="105"/>
        <v>4010.4300890884256</v>
      </c>
      <c r="L88" s="71">
        <f t="shared" si="106"/>
        <v>4510.4606155970359</v>
      </c>
      <c r="M88" s="71">
        <f t="shared" si="107"/>
        <v>4836.3903234406516</v>
      </c>
    </row>
    <row r="89" spans="1:13">
      <c r="A89" t="s">
        <v>67</v>
      </c>
      <c r="B89" s="63" t="s">
        <v>40</v>
      </c>
      <c r="C89" s="3" t="s">
        <v>54</v>
      </c>
      <c r="D89" s="71">
        <f t="shared" si="108"/>
        <v>0</v>
      </c>
      <c r="E89" s="71">
        <f t="shared" si="99"/>
        <v>0</v>
      </c>
      <c r="F89" s="71">
        <f t="shared" si="100"/>
        <v>0</v>
      </c>
      <c r="G89" s="71">
        <f t="shared" si="101"/>
        <v>0</v>
      </c>
      <c r="H89" s="71">
        <f t="shared" si="102"/>
        <v>5151.6344577220088</v>
      </c>
      <c r="I89" s="71">
        <f t="shared" si="103"/>
        <v>5232.8740198967471</v>
      </c>
      <c r="J89" s="71">
        <f t="shared" si="104"/>
        <v>5232.8740198967471</v>
      </c>
      <c r="K89" s="71">
        <f t="shared" si="105"/>
        <v>5232.874019896748</v>
      </c>
      <c r="L89" s="71">
        <f t="shared" si="106"/>
        <v>5232.8740198967462</v>
      </c>
      <c r="M89" s="71">
        <f t="shared" si="107"/>
        <v>0</v>
      </c>
    </row>
    <row r="91" spans="1:13">
      <c r="A91" s="1" t="s">
        <v>61</v>
      </c>
      <c r="B91" s="1" t="s">
        <v>10</v>
      </c>
      <c r="C91" s="1" t="s">
        <v>11</v>
      </c>
      <c r="D91" s="228" t="s">
        <v>0</v>
      </c>
      <c r="E91" s="228" t="s">
        <v>1</v>
      </c>
      <c r="F91" s="228" t="s">
        <v>2</v>
      </c>
      <c r="G91" s="228" t="s">
        <v>3</v>
      </c>
      <c r="H91" s="228" t="s">
        <v>4</v>
      </c>
      <c r="I91" s="276" t="s">
        <v>5</v>
      </c>
      <c r="J91" s="228" t="s">
        <v>6</v>
      </c>
      <c r="K91" s="228" t="s">
        <v>7</v>
      </c>
      <c r="L91" s="228" t="s">
        <v>8</v>
      </c>
      <c r="M91" s="228" t="s">
        <v>9</v>
      </c>
    </row>
    <row r="92" spans="1:13">
      <c r="A92" t="s">
        <v>62</v>
      </c>
      <c r="B92" s="63" t="s">
        <v>40</v>
      </c>
      <c r="C92" s="3" t="s">
        <v>218</v>
      </c>
      <c r="D92" s="71">
        <f t="shared" ref="D92:H94" si="109">D82/F$8</f>
        <v>149.88166789606424</v>
      </c>
      <c r="E92" s="71">
        <f t="shared" si="109"/>
        <v>145.09957553583055</v>
      </c>
      <c r="F92" s="71">
        <f t="shared" si="109"/>
        <v>141.8266252777359</v>
      </c>
      <c r="G92" s="71">
        <f t="shared" si="109"/>
        <v>138.75430912007346</v>
      </c>
      <c r="H92" s="71">
        <f t="shared" si="109"/>
        <v>137.88794681970839</v>
      </c>
      <c r="I92" s="71"/>
      <c r="J92" s="71"/>
      <c r="K92" s="71"/>
      <c r="L92" s="71"/>
      <c r="M92" s="71"/>
    </row>
    <row r="93" spans="1:13">
      <c r="A93" t="s">
        <v>59</v>
      </c>
      <c r="B93" s="63" t="s">
        <v>40</v>
      </c>
      <c r="C93" s="3" t="s">
        <v>218</v>
      </c>
      <c r="D93" s="71">
        <f t="shared" si="109"/>
        <v>3959.2807733752029</v>
      </c>
      <c r="E93" s="71">
        <f t="shared" si="109"/>
        <v>2214.50071302284</v>
      </c>
      <c r="F93" s="71">
        <f t="shared" si="109"/>
        <v>2308.8890992172924</v>
      </c>
      <c r="G93" s="71">
        <f t="shared" si="109"/>
        <v>1985.2107425890792</v>
      </c>
      <c r="H93" s="71">
        <f t="shared" si="109"/>
        <v>1779.5852434937976</v>
      </c>
      <c r="I93" s="71"/>
      <c r="J93" s="71"/>
      <c r="K93" s="71"/>
      <c r="L93" s="71"/>
      <c r="M93" s="71"/>
    </row>
    <row r="94" spans="1:13">
      <c r="A94" t="s">
        <v>67</v>
      </c>
      <c r="B94" s="63" t="s">
        <v>40</v>
      </c>
      <c r="C94" s="3" t="s">
        <v>218</v>
      </c>
      <c r="D94" s="71">
        <f t="shared" si="109"/>
        <v>0</v>
      </c>
      <c r="E94" s="71">
        <f t="shared" si="109"/>
        <v>0</v>
      </c>
      <c r="F94" s="71">
        <f t="shared" si="109"/>
        <v>0</v>
      </c>
      <c r="G94" s="71">
        <f t="shared" si="109"/>
        <v>0</v>
      </c>
      <c r="H94" s="71">
        <f t="shared" si="109"/>
        <v>4542.151508633212</v>
      </c>
      <c r="I94" s="71"/>
      <c r="J94" s="71"/>
      <c r="K94" s="71"/>
      <c r="L94" s="71"/>
      <c r="M94" s="71"/>
    </row>
    <row r="95" spans="1:13">
      <c r="C95" s="3"/>
      <c r="D95" s="71"/>
      <c r="E95" s="71"/>
      <c r="F95" s="71"/>
      <c r="G95" s="71"/>
      <c r="H95" s="71"/>
      <c r="I95" s="71"/>
      <c r="J95" s="71"/>
      <c r="K95" s="71"/>
      <c r="L95" s="71"/>
      <c r="M95" s="71"/>
    </row>
  </sheetData>
  <mergeCells count="42">
    <mergeCell ref="Z38:AD38"/>
    <mergeCell ref="AE38:AI38"/>
    <mergeCell ref="AK38:AO38"/>
    <mergeCell ref="AP38:AT38"/>
    <mergeCell ref="AK14:AO14"/>
    <mergeCell ref="AP14:AT14"/>
    <mergeCell ref="AK22:AO22"/>
    <mergeCell ref="AP22:AT22"/>
    <mergeCell ref="AK30:AO30"/>
    <mergeCell ref="AP30:AT30"/>
    <mergeCell ref="Z14:AD14"/>
    <mergeCell ref="AE14:AI14"/>
    <mergeCell ref="Z22:AD22"/>
    <mergeCell ref="AE22:AI22"/>
    <mergeCell ref="Z30:AD30"/>
    <mergeCell ref="AE30:AI30"/>
    <mergeCell ref="G38:H38"/>
    <mergeCell ref="G49:H49"/>
    <mergeCell ref="T14:X14"/>
    <mergeCell ref="T22:X22"/>
    <mergeCell ref="T30:X30"/>
    <mergeCell ref="T38:X38"/>
    <mergeCell ref="O14:S14"/>
    <mergeCell ref="O22:S22"/>
    <mergeCell ref="O30:S30"/>
    <mergeCell ref="O38:S38"/>
    <mergeCell ref="D75:F75"/>
    <mergeCell ref="I75:M75"/>
    <mergeCell ref="G75:H75"/>
    <mergeCell ref="I14:M14"/>
    <mergeCell ref="I22:M22"/>
    <mergeCell ref="I30:M30"/>
    <mergeCell ref="I38:M38"/>
    <mergeCell ref="I49:M49"/>
    <mergeCell ref="D14:F14"/>
    <mergeCell ref="D22:F22"/>
    <mergeCell ref="D30:F30"/>
    <mergeCell ref="D38:F38"/>
    <mergeCell ref="D49:F49"/>
    <mergeCell ref="G14:H14"/>
    <mergeCell ref="G22:H22"/>
    <mergeCell ref="G30:H3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59999389629810485"/>
    <pageSetUpPr fitToPage="1"/>
  </sheetPr>
  <dimension ref="A1:N71"/>
  <sheetViews>
    <sheetView topLeftCell="B3" zoomScaleNormal="100" workbookViewId="0">
      <pane xSplit="3" ySplit="9" topLeftCell="E12" activePane="bottomRight" state="frozen"/>
      <selection activeCell="B3" sqref="B3"/>
      <selection pane="topRight" activeCell="E3" sqref="E3"/>
      <selection pane="bottomLeft" activeCell="B12" sqref="B12"/>
      <selection pane="bottomRight" activeCell="B11" sqref="B11"/>
    </sheetView>
  </sheetViews>
  <sheetFormatPr defaultColWidth="9" defaultRowHeight="14.25"/>
  <cols>
    <col min="1" max="1" width="8.33203125" style="8" hidden="1" customWidth="1"/>
    <col min="2" max="2" width="56.6640625" style="8" customWidth="1"/>
    <col min="3" max="3" width="11.46484375" style="8" customWidth="1"/>
    <col min="4" max="4" width="13.6640625" style="8" customWidth="1"/>
    <col min="5" max="5" width="10.1328125" style="8" bestFit="1" customWidth="1"/>
    <col min="6" max="7" width="11.1328125" style="8" bestFit="1" customWidth="1"/>
    <col min="8" max="11" width="10.1328125" style="8" bestFit="1" customWidth="1"/>
    <col min="12" max="12" width="10.33203125" style="8" bestFit="1" customWidth="1"/>
    <col min="13" max="14" width="11.1328125" style="8" bestFit="1" customWidth="1"/>
    <col min="15" max="16384" width="9" style="8"/>
  </cols>
  <sheetData>
    <row r="1" spans="2:14" hidden="1"/>
    <row r="2" spans="2:14" hidden="1"/>
    <row r="6" spans="2:14" ht="23.65" thickBot="1">
      <c r="B6" s="11" t="s">
        <v>127</v>
      </c>
    </row>
    <row r="7" spans="2:14" ht="14.65" hidden="1" thickBot="1"/>
    <row r="8" spans="2:14" ht="14.65" hidden="1" thickBot="1"/>
    <row r="9" spans="2:14" ht="14.65" hidden="1" thickBot="1">
      <c r="B9" s="138"/>
      <c r="C9" s="138"/>
      <c r="D9" s="138"/>
      <c r="E9" s="138"/>
      <c r="F9" s="138"/>
      <c r="G9" s="138"/>
      <c r="H9" s="138"/>
      <c r="I9" s="138"/>
      <c r="J9" s="138"/>
      <c r="K9" s="138"/>
      <c r="L9" s="138"/>
      <c r="M9" s="138"/>
    </row>
    <row r="10" spans="2:14" ht="18">
      <c r="B10" s="139"/>
      <c r="C10" s="477" t="s">
        <v>10</v>
      </c>
      <c r="D10" s="477" t="s">
        <v>11</v>
      </c>
      <c r="E10" s="462" t="s">
        <v>128</v>
      </c>
      <c r="F10" s="462"/>
      <c r="G10" s="466"/>
      <c r="H10" s="461" t="s">
        <v>129</v>
      </c>
      <c r="I10" s="466"/>
      <c r="J10" s="462" t="s">
        <v>130</v>
      </c>
      <c r="K10" s="462"/>
      <c r="L10" s="462"/>
      <c r="M10" s="462"/>
      <c r="N10" s="463"/>
    </row>
    <row r="11" spans="2:14" ht="18.399999999999999" thickBot="1">
      <c r="B11" s="140" t="s">
        <v>28</v>
      </c>
      <c r="C11" s="478"/>
      <c r="D11" s="478"/>
      <c r="E11" s="141" t="s">
        <v>0</v>
      </c>
      <c r="F11" s="141" t="s">
        <v>1</v>
      </c>
      <c r="G11" s="141" t="s">
        <v>2</v>
      </c>
      <c r="H11" s="141" t="s">
        <v>3</v>
      </c>
      <c r="I11" s="142" t="s">
        <v>4</v>
      </c>
      <c r="J11" s="142" t="s">
        <v>5</v>
      </c>
      <c r="K11" s="142" t="s">
        <v>6</v>
      </c>
      <c r="L11" s="142" t="s">
        <v>7</v>
      </c>
      <c r="M11" s="142" t="s">
        <v>8</v>
      </c>
      <c r="N11" s="143" t="s">
        <v>9</v>
      </c>
    </row>
    <row r="12" spans="2:14">
      <c r="B12" s="144"/>
      <c r="C12" s="145"/>
      <c r="D12" s="145"/>
      <c r="E12" s="145"/>
      <c r="F12" s="145"/>
      <c r="G12" s="145"/>
      <c r="H12" s="145"/>
      <c r="I12" s="145"/>
      <c r="J12" s="145"/>
      <c r="K12" s="146"/>
      <c r="L12" s="145"/>
      <c r="M12" s="145"/>
      <c r="N12" s="147"/>
    </row>
    <row r="13" spans="2:14">
      <c r="B13" s="148" t="s">
        <v>131</v>
      </c>
      <c r="K13" s="149"/>
      <c r="N13" s="150"/>
    </row>
    <row r="14" spans="2:14">
      <c r="B14" s="151" t="s">
        <v>132</v>
      </c>
      <c r="C14" s="8" t="s">
        <v>21</v>
      </c>
      <c r="D14" s="8" t="s">
        <v>116</v>
      </c>
      <c r="E14" s="152">
        <v>13634.175999999999</v>
      </c>
      <c r="F14" s="152">
        <v>16264</v>
      </c>
      <c r="G14" s="152">
        <v>12015.007</v>
      </c>
      <c r="H14" s="153">
        <v>12492.734298215788</v>
      </c>
      <c r="I14" s="153">
        <v>12964.510203094054</v>
      </c>
      <c r="J14" s="153">
        <v>18119.117831004001</v>
      </c>
      <c r="K14" s="153">
        <v>18571.810547568002</v>
      </c>
      <c r="L14" s="153">
        <v>18999.273903364152</v>
      </c>
      <c r="M14" s="153">
        <v>19693.658976961808</v>
      </c>
      <c r="N14" s="154">
        <v>19407.1097295133</v>
      </c>
    </row>
    <row r="15" spans="2:14">
      <c r="B15" s="151" t="s">
        <v>133</v>
      </c>
      <c r="C15" s="8" t="s">
        <v>21</v>
      </c>
      <c r="D15" s="8" t="s">
        <v>116</v>
      </c>
      <c r="E15" s="152">
        <v>1821.80233</v>
      </c>
      <c r="F15" s="152">
        <v>2200</v>
      </c>
      <c r="G15" s="152">
        <v>1810.4670000000001</v>
      </c>
      <c r="H15" s="153">
        <v>3391.82</v>
      </c>
      <c r="I15" s="153">
        <v>2142.8756680044348</v>
      </c>
      <c r="J15" s="153">
        <v>454.81144299888462</v>
      </c>
      <c r="K15" s="153">
        <v>454.81144299888456</v>
      </c>
      <c r="L15" s="153">
        <v>454.81144299888456</v>
      </c>
      <c r="M15" s="153">
        <v>454.81144299888456</v>
      </c>
      <c r="N15" s="154">
        <v>311.81144299888456</v>
      </c>
    </row>
    <row r="16" spans="2:14">
      <c r="B16" s="151" t="s">
        <v>134</v>
      </c>
      <c r="C16" s="8" t="s">
        <v>21</v>
      </c>
      <c r="D16" s="8" t="s">
        <v>116</v>
      </c>
      <c r="E16" s="152">
        <v>77659.42078</v>
      </c>
      <c r="F16" s="152">
        <v>69368</v>
      </c>
      <c r="G16" s="152">
        <v>69189.706999999995</v>
      </c>
      <c r="H16" s="153">
        <v>106858.406</v>
      </c>
      <c r="I16" s="153">
        <v>82143.660128652235</v>
      </c>
      <c r="J16" s="153">
        <v>78265.457899999994</v>
      </c>
      <c r="K16" s="153">
        <v>88522.437299999991</v>
      </c>
      <c r="L16" s="153">
        <v>89972.842517651748</v>
      </c>
      <c r="M16" s="153">
        <v>90313.491609453398</v>
      </c>
      <c r="N16" s="154">
        <v>90596.457340743611</v>
      </c>
    </row>
    <row r="17" spans="2:14">
      <c r="B17" s="151"/>
      <c r="E17" s="155"/>
      <c r="F17" s="155"/>
      <c r="G17" s="155"/>
      <c r="H17" s="155"/>
      <c r="I17" s="155"/>
      <c r="J17" s="155"/>
      <c r="K17" s="155"/>
      <c r="L17" s="155"/>
      <c r="M17" s="155"/>
      <c r="N17" s="156"/>
    </row>
    <row r="18" spans="2:14" ht="14.65" thickBot="1">
      <c r="B18" s="157" t="s">
        <v>20</v>
      </c>
      <c r="C18" s="8" t="s">
        <v>21</v>
      </c>
      <c r="D18" s="8" t="s">
        <v>116</v>
      </c>
      <c r="E18" s="158">
        <f>SUM(E14:E16)</f>
        <v>93115.399109999998</v>
      </c>
      <c r="F18" s="158">
        <f t="shared" ref="F18:N18" si="0">SUM(F14:F16)</f>
        <v>87832</v>
      </c>
      <c r="G18" s="158">
        <f t="shared" si="0"/>
        <v>83015.180999999997</v>
      </c>
      <c r="H18" s="159">
        <f t="shared" si="0"/>
        <v>122742.9602982158</v>
      </c>
      <c r="I18" s="159">
        <f t="shared" si="0"/>
        <v>97251.045999750728</v>
      </c>
      <c r="J18" s="159">
        <f t="shared" si="0"/>
        <v>96839.387174002884</v>
      </c>
      <c r="K18" s="159">
        <f t="shared" si="0"/>
        <v>107549.05929056687</v>
      </c>
      <c r="L18" s="159">
        <f t="shared" si="0"/>
        <v>109426.92786401478</v>
      </c>
      <c r="M18" s="159">
        <f t="shared" si="0"/>
        <v>110461.96202941409</v>
      </c>
      <c r="N18" s="160">
        <f t="shared" si="0"/>
        <v>110315.3785132558</v>
      </c>
    </row>
    <row r="19" spans="2:14">
      <c r="B19" s="144"/>
      <c r="C19" s="145"/>
      <c r="D19" s="145"/>
      <c r="E19" s="145"/>
      <c r="F19" s="145"/>
      <c r="G19" s="145"/>
      <c r="H19" s="145"/>
      <c r="I19" s="145"/>
      <c r="J19" s="145"/>
      <c r="K19" s="145"/>
      <c r="L19" s="145"/>
      <c r="M19" s="145"/>
      <c r="N19" s="147"/>
    </row>
    <row r="20" spans="2:14">
      <c r="B20" s="148" t="s">
        <v>135</v>
      </c>
      <c r="N20" s="150"/>
    </row>
    <row r="21" spans="2:14">
      <c r="B21" s="151" t="s">
        <v>136</v>
      </c>
      <c r="C21" s="8" t="s">
        <v>21</v>
      </c>
      <c r="D21" s="8" t="s">
        <v>116</v>
      </c>
      <c r="E21" s="152">
        <v>4636.934561071841</v>
      </c>
      <c r="F21" s="152">
        <v>2117.3619388314773</v>
      </c>
      <c r="G21" s="152">
        <v>1667.7034933273478</v>
      </c>
      <c r="H21" s="153">
        <v>2567.8221741666707</v>
      </c>
      <c r="I21" s="153">
        <v>8219.2573016281876</v>
      </c>
      <c r="J21" s="153">
        <v>7903.5044621278912</v>
      </c>
      <c r="K21" s="153">
        <v>8704.948562209076</v>
      </c>
      <c r="L21" s="153">
        <v>9473.3172024252472</v>
      </c>
      <c r="M21" s="153">
        <v>9976.0844445427938</v>
      </c>
      <c r="N21" s="154">
        <v>5071.893268392254</v>
      </c>
    </row>
    <row r="22" spans="2:14">
      <c r="B22" s="161" t="s">
        <v>137</v>
      </c>
      <c r="C22" s="8" t="s">
        <v>21</v>
      </c>
      <c r="D22" s="8" t="s">
        <v>116</v>
      </c>
      <c r="E22" s="152">
        <v>0</v>
      </c>
      <c r="F22" s="152">
        <v>0</v>
      </c>
      <c r="G22" s="152">
        <v>0</v>
      </c>
      <c r="H22" s="153">
        <v>0</v>
      </c>
      <c r="I22" s="153">
        <v>0</v>
      </c>
      <c r="J22" s="153">
        <v>0</v>
      </c>
      <c r="K22" s="153">
        <v>0</v>
      </c>
      <c r="L22" s="153">
        <v>0</v>
      </c>
      <c r="M22" s="153">
        <v>0</v>
      </c>
      <c r="N22" s="154">
        <v>0</v>
      </c>
    </row>
    <row r="23" spans="2:14">
      <c r="B23" s="151" t="s">
        <v>119</v>
      </c>
      <c r="C23" s="8" t="s">
        <v>21</v>
      </c>
      <c r="D23" s="8" t="s">
        <v>116</v>
      </c>
      <c r="E23" s="152">
        <v>0</v>
      </c>
      <c r="F23" s="152">
        <v>0</v>
      </c>
      <c r="G23" s="152">
        <v>0</v>
      </c>
      <c r="H23" s="153">
        <v>0</v>
      </c>
      <c r="I23" s="153">
        <v>0</v>
      </c>
      <c r="J23" s="153">
        <v>0</v>
      </c>
      <c r="K23" s="153">
        <v>0</v>
      </c>
      <c r="L23" s="153">
        <v>0</v>
      </c>
      <c r="M23" s="153">
        <v>0</v>
      </c>
      <c r="N23" s="154">
        <v>0</v>
      </c>
    </row>
    <row r="24" spans="2:14">
      <c r="B24" s="151"/>
      <c r="E24" s="155"/>
      <c r="F24" s="155"/>
      <c r="G24" s="155"/>
      <c r="H24" s="155"/>
      <c r="I24" s="155"/>
      <c r="J24" s="155"/>
      <c r="K24" s="155"/>
      <c r="L24" s="155"/>
      <c r="M24" s="155"/>
      <c r="N24" s="156"/>
    </row>
    <row r="25" spans="2:14">
      <c r="B25" s="148" t="s">
        <v>20</v>
      </c>
      <c r="C25" s="8" t="s">
        <v>21</v>
      </c>
      <c r="D25" s="8" t="s">
        <v>116</v>
      </c>
      <c r="E25" s="162">
        <f t="shared" ref="E25:N25" si="1">SUM(E21:E22)</f>
        <v>4636.934561071841</v>
      </c>
      <c r="F25" s="162">
        <f t="shared" si="1"/>
        <v>2117.3619388314773</v>
      </c>
      <c r="G25" s="162">
        <f t="shared" si="1"/>
        <v>1667.7034933273478</v>
      </c>
      <c r="H25" s="163">
        <f t="shared" si="1"/>
        <v>2567.8221741666707</v>
      </c>
      <c r="I25" s="163">
        <f t="shared" si="1"/>
        <v>8219.2573016281876</v>
      </c>
      <c r="J25" s="163">
        <f t="shared" si="1"/>
        <v>7903.5044621278912</v>
      </c>
      <c r="K25" s="163">
        <f t="shared" si="1"/>
        <v>8704.948562209076</v>
      </c>
      <c r="L25" s="163">
        <f t="shared" si="1"/>
        <v>9473.3172024252472</v>
      </c>
      <c r="M25" s="163">
        <f t="shared" si="1"/>
        <v>9976.0844445427938</v>
      </c>
      <c r="N25" s="164">
        <f t="shared" si="1"/>
        <v>5071.893268392254</v>
      </c>
    </row>
    <row r="26" spans="2:14" ht="14.65" thickBot="1">
      <c r="B26" s="165"/>
      <c r="C26" s="166"/>
      <c r="D26" s="166"/>
      <c r="E26" s="166"/>
      <c r="F26" s="166"/>
      <c r="G26" s="166"/>
      <c r="H26" s="166"/>
      <c r="I26" s="166"/>
      <c r="J26" s="166"/>
      <c r="K26" s="166"/>
      <c r="L26" s="166"/>
      <c r="M26" s="166"/>
      <c r="N26" s="167"/>
    </row>
    <row r="27" spans="2:14">
      <c r="B27" s="144"/>
      <c r="C27" s="145"/>
      <c r="D27" s="145"/>
      <c r="E27" s="145"/>
      <c r="F27" s="145"/>
      <c r="G27" s="145"/>
      <c r="H27" s="145"/>
      <c r="I27" s="145"/>
      <c r="J27" s="145"/>
      <c r="K27" s="145"/>
      <c r="L27" s="145"/>
      <c r="M27" s="145"/>
      <c r="N27" s="147"/>
    </row>
    <row r="28" spans="2:14">
      <c r="B28" s="148" t="s">
        <v>138</v>
      </c>
      <c r="N28" s="150"/>
    </row>
    <row r="29" spans="2:14">
      <c r="B29" s="151" t="s">
        <v>139</v>
      </c>
      <c r="C29" s="8" t="s">
        <v>21</v>
      </c>
      <c r="D29" s="8" t="s">
        <v>116</v>
      </c>
      <c r="E29" s="152">
        <v>0</v>
      </c>
      <c r="F29" s="152">
        <v>0</v>
      </c>
      <c r="G29" s="152">
        <v>0</v>
      </c>
      <c r="H29" s="153">
        <v>0</v>
      </c>
      <c r="I29" s="153">
        <v>326.49628470864297</v>
      </c>
      <c r="J29" s="153">
        <v>0</v>
      </c>
      <c r="K29" s="153">
        <v>0</v>
      </c>
      <c r="L29" s="153">
        <v>0</v>
      </c>
      <c r="M29" s="153">
        <v>0</v>
      </c>
      <c r="N29" s="154">
        <v>0</v>
      </c>
    </row>
    <row r="30" spans="2:14">
      <c r="B30" s="151" t="s">
        <v>119</v>
      </c>
      <c r="C30" s="8" t="s">
        <v>21</v>
      </c>
      <c r="D30" s="8" t="s">
        <v>116</v>
      </c>
      <c r="E30" s="152">
        <v>0</v>
      </c>
      <c r="F30" s="152">
        <v>0</v>
      </c>
      <c r="G30" s="152">
        <v>0</v>
      </c>
      <c r="H30" s="153">
        <v>0</v>
      </c>
      <c r="I30" s="153">
        <v>0</v>
      </c>
      <c r="J30" s="153">
        <v>0</v>
      </c>
      <c r="K30" s="153">
        <v>0</v>
      </c>
      <c r="L30" s="153">
        <v>0</v>
      </c>
      <c r="M30" s="153">
        <v>0</v>
      </c>
      <c r="N30" s="154">
        <v>0</v>
      </c>
    </row>
    <row r="31" spans="2:14">
      <c r="B31" s="151"/>
      <c r="E31" s="155"/>
      <c r="F31" s="155"/>
      <c r="G31" s="155"/>
      <c r="H31" s="155"/>
      <c r="I31" s="155"/>
      <c r="J31" s="155"/>
      <c r="K31" s="155"/>
      <c r="L31" s="155"/>
      <c r="M31" s="155"/>
      <c r="N31" s="156"/>
    </row>
    <row r="32" spans="2:14">
      <c r="B32" s="148" t="s">
        <v>20</v>
      </c>
      <c r="C32" s="8" t="s">
        <v>21</v>
      </c>
      <c r="D32" s="8" t="s">
        <v>116</v>
      </c>
      <c r="E32" s="162">
        <f t="shared" ref="E32:N32" si="2">SUM(E29:E29)</f>
        <v>0</v>
      </c>
      <c r="F32" s="162">
        <f t="shared" si="2"/>
        <v>0</v>
      </c>
      <c r="G32" s="162">
        <f t="shared" si="2"/>
        <v>0</v>
      </c>
      <c r="H32" s="163">
        <f t="shared" si="2"/>
        <v>0</v>
      </c>
      <c r="I32" s="163">
        <f t="shared" si="2"/>
        <v>326.49628470864297</v>
      </c>
      <c r="J32" s="163">
        <f t="shared" si="2"/>
        <v>0</v>
      </c>
      <c r="K32" s="163">
        <f t="shared" si="2"/>
        <v>0</v>
      </c>
      <c r="L32" s="163">
        <f t="shared" si="2"/>
        <v>0</v>
      </c>
      <c r="M32" s="163">
        <f t="shared" si="2"/>
        <v>0</v>
      </c>
      <c r="N32" s="164">
        <f t="shared" si="2"/>
        <v>0</v>
      </c>
    </row>
    <row r="33" spans="1:14" ht="14.65" thickBot="1">
      <c r="B33" s="165"/>
      <c r="C33" s="166"/>
      <c r="D33" s="166"/>
      <c r="E33" s="166"/>
      <c r="F33" s="166"/>
      <c r="G33" s="166"/>
      <c r="H33" s="166"/>
      <c r="I33" s="166"/>
      <c r="J33" s="166"/>
      <c r="K33" s="166"/>
      <c r="L33" s="166"/>
      <c r="M33" s="166"/>
      <c r="N33" s="167"/>
    </row>
    <row r="34" spans="1:14">
      <c r="B34" s="151"/>
      <c r="N34" s="150"/>
    </row>
    <row r="35" spans="1:14">
      <c r="B35" s="148" t="s">
        <v>140</v>
      </c>
      <c r="N35" s="150"/>
    </row>
    <row r="36" spans="1:14">
      <c r="B36" s="151" t="s">
        <v>141</v>
      </c>
      <c r="C36" s="8" t="s">
        <v>21</v>
      </c>
      <c r="D36" s="8" t="s">
        <v>116</v>
      </c>
      <c r="E36" s="168">
        <v>500.08283908129772</v>
      </c>
      <c r="F36" s="168">
        <v>390.94915685085033</v>
      </c>
      <c r="G36" s="168">
        <v>353.82565533324521</v>
      </c>
      <c r="H36" s="169">
        <v>421.22779432598611</v>
      </c>
      <c r="I36" s="169">
        <v>2006.750330569158</v>
      </c>
      <c r="J36" s="169">
        <v>1466.6715069148522</v>
      </c>
      <c r="K36" s="169">
        <v>1435.1917585227709</v>
      </c>
      <c r="L36" s="169">
        <v>1256.8456197251207</v>
      </c>
      <c r="M36" s="169">
        <v>962.49195393763694</v>
      </c>
      <c r="N36" s="170">
        <v>756.3063594478308</v>
      </c>
    </row>
    <row r="37" spans="1:14">
      <c r="B37" s="151" t="s">
        <v>142</v>
      </c>
      <c r="C37" s="8" t="s">
        <v>21</v>
      </c>
      <c r="D37" s="8" t="s">
        <v>116</v>
      </c>
      <c r="E37" s="168"/>
      <c r="F37" s="168"/>
      <c r="G37" s="168"/>
      <c r="H37" s="169">
        <v>1234.2627848243988</v>
      </c>
      <c r="I37" s="169">
        <v>880.39408929658703</v>
      </c>
      <c r="J37" s="169">
        <v>735.16412105790505</v>
      </c>
      <c r="K37" s="169">
        <v>915.78378067328958</v>
      </c>
      <c r="L37" s="169">
        <v>1031.576396057905</v>
      </c>
      <c r="M37" s="169">
        <v>924.52513644252053</v>
      </c>
      <c r="N37" s="170">
        <v>604.07991144252048</v>
      </c>
    </row>
    <row r="38" spans="1:14">
      <c r="A38" s="171"/>
      <c r="B38" s="151" t="s">
        <v>125</v>
      </c>
      <c r="C38" s="8" t="s">
        <v>21</v>
      </c>
      <c r="D38" s="8" t="s">
        <v>116</v>
      </c>
      <c r="E38" s="168"/>
      <c r="F38" s="168"/>
      <c r="G38" s="168"/>
      <c r="H38" s="169">
        <v>180.34738359729496</v>
      </c>
      <c r="I38" s="169">
        <v>175</v>
      </c>
      <c r="J38" s="169">
        <v>168.20453671664743</v>
      </c>
      <c r="K38" s="169">
        <v>164.9064085457328</v>
      </c>
      <c r="L38" s="169">
        <v>161.67294955463998</v>
      </c>
      <c r="M38" s="169">
        <v>158.50289172023528</v>
      </c>
      <c r="N38" s="170">
        <v>155.39499188258358</v>
      </c>
    </row>
    <row r="39" spans="1:14">
      <c r="B39" s="151" t="s">
        <v>143</v>
      </c>
      <c r="C39" s="8" t="s">
        <v>21</v>
      </c>
      <c r="D39" s="8" t="s">
        <v>116</v>
      </c>
      <c r="E39" s="168"/>
      <c r="F39" s="168"/>
      <c r="G39" s="168"/>
      <c r="H39" s="169">
        <v>793.85200429197209</v>
      </c>
      <c r="I39" s="169">
        <v>724.16746433791536</v>
      </c>
      <c r="J39" s="169">
        <v>801.89974740000002</v>
      </c>
      <c r="K39" s="169">
        <v>863.4416238</v>
      </c>
      <c r="L39" s="169">
        <v>872.14405510591041</v>
      </c>
      <c r="M39" s="169">
        <v>874.18794965672043</v>
      </c>
      <c r="N39" s="170">
        <v>875.8857440444616</v>
      </c>
    </row>
    <row r="40" spans="1:14">
      <c r="B40" s="151" t="s">
        <v>144</v>
      </c>
      <c r="C40" s="8" t="s">
        <v>21</v>
      </c>
      <c r="D40" s="8" t="s">
        <v>116</v>
      </c>
      <c r="E40" s="168"/>
      <c r="F40" s="168"/>
      <c r="G40" s="168"/>
      <c r="H40" s="169">
        <v>247.86867422761048</v>
      </c>
      <c r="I40" s="169">
        <v>255.62397201366676</v>
      </c>
      <c r="J40" s="169">
        <v>220</v>
      </c>
      <c r="K40" s="169">
        <v>220</v>
      </c>
      <c r="L40" s="169">
        <v>220</v>
      </c>
      <c r="M40" s="169">
        <v>220</v>
      </c>
      <c r="N40" s="170">
        <v>220</v>
      </c>
    </row>
    <row r="41" spans="1:14">
      <c r="B41" s="151"/>
      <c r="E41" s="172"/>
      <c r="F41" s="172"/>
      <c r="G41" s="172"/>
      <c r="H41" s="172"/>
      <c r="I41" s="172"/>
      <c r="J41" s="172"/>
      <c r="K41" s="172"/>
      <c r="L41" s="172"/>
      <c r="M41" s="172"/>
      <c r="N41" s="173"/>
    </row>
    <row r="42" spans="1:14">
      <c r="A42" s="174"/>
      <c r="B42" s="148" t="s">
        <v>23</v>
      </c>
      <c r="C42" s="8" t="s">
        <v>21</v>
      </c>
      <c r="D42" s="8" t="s">
        <v>116</v>
      </c>
      <c r="E42" s="175">
        <f>SUM(E36:E40)</f>
        <v>500.08283908129772</v>
      </c>
      <c r="F42" s="175">
        <f t="shared" ref="F42:N42" si="3">SUM(F36:F40)</f>
        <v>390.94915685085033</v>
      </c>
      <c r="G42" s="175">
        <f t="shared" si="3"/>
        <v>353.82565533324521</v>
      </c>
      <c r="H42" s="176">
        <f t="shared" si="3"/>
        <v>2877.5586412672624</v>
      </c>
      <c r="I42" s="176">
        <f t="shared" si="3"/>
        <v>4041.935856217327</v>
      </c>
      <c r="J42" s="176">
        <f t="shared" si="3"/>
        <v>3391.939912089405</v>
      </c>
      <c r="K42" s="176">
        <f t="shared" si="3"/>
        <v>3599.3235715417936</v>
      </c>
      <c r="L42" s="176">
        <f t="shared" si="3"/>
        <v>3542.2390204435765</v>
      </c>
      <c r="M42" s="176">
        <f t="shared" si="3"/>
        <v>3139.7079317571133</v>
      </c>
      <c r="N42" s="177">
        <f t="shared" si="3"/>
        <v>2611.6670068173962</v>
      </c>
    </row>
    <row r="43" spans="1:14" ht="14.65" thickBot="1">
      <c r="A43" s="174"/>
      <c r="B43" s="165"/>
      <c r="C43" s="166"/>
      <c r="D43" s="166"/>
      <c r="E43" s="166"/>
      <c r="F43" s="166"/>
      <c r="G43" s="166"/>
      <c r="H43" s="166"/>
      <c r="I43" s="166"/>
      <c r="J43" s="166"/>
      <c r="K43" s="166"/>
      <c r="L43" s="166"/>
      <c r="M43" s="166"/>
      <c r="N43" s="167"/>
    </row>
    <row r="44" spans="1:14">
      <c r="A44" s="174"/>
      <c r="B44" s="151"/>
      <c r="N44" s="150"/>
    </row>
    <row r="45" spans="1:14">
      <c r="A45" s="174"/>
      <c r="B45" s="148" t="s">
        <v>145</v>
      </c>
      <c r="N45" s="150"/>
    </row>
    <row r="46" spans="1:14">
      <c r="A46" s="174"/>
      <c r="B46" s="151" t="s">
        <v>146</v>
      </c>
      <c r="C46" s="8" t="s">
        <v>21</v>
      </c>
      <c r="D46" s="8" t="s">
        <v>116</v>
      </c>
      <c r="E46" s="178"/>
      <c r="F46" s="178"/>
      <c r="G46" s="178"/>
      <c r="H46" s="179"/>
      <c r="I46" s="179"/>
      <c r="J46" s="179"/>
      <c r="K46" s="179"/>
      <c r="L46" s="179"/>
      <c r="M46" s="179"/>
      <c r="N46" s="180"/>
    </row>
    <row r="47" spans="1:14">
      <c r="A47" s="174"/>
      <c r="B47" s="151" t="s">
        <v>147</v>
      </c>
      <c r="C47" s="8" t="s">
        <v>21</v>
      </c>
      <c r="D47" s="8" t="s">
        <v>116</v>
      </c>
      <c r="E47" s="178"/>
      <c r="F47" s="178"/>
      <c r="G47" s="178"/>
      <c r="H47" s="179"/>
      <c r="I47" s="179"/>
      <c r="J47" s="179"/>
      <c r="K47" s="179"/>
      <c r="L47" s="179"/>
      <c r="M47" s="179"/>
      <c r="N47" s="180"/>
    </row>
    <row r="48" spans="1:14">
      <c r="A48" s="174"/>
      <c r="B48" s="151" t="s">
        <v>148</v>
      </c>
      <c r="C48" s="8" t="s">
        <v>21</v>
      </c>
      <c r="D48" s="8" t="s">
        <v>116</v>
      </c>
      <c r="E48" s="168">
        <v>457.08</v>
      </c>
      <c r="F48" s="168">
        <v>125.152</v>
      </c>
      <c r="G48" s="168">
        <v>35.264000000000003</v>
      </c>
      <c r="H48" s="169">
        <v>101.367</v>
      </c>
      <c r="I48" s="169">
        <v>0</v>
      </c>
      <c r="J48" s="179"/>
      <c r="K48" s="179"/>
      <c r="L48" s="179"/>
      <c r="M48" s="179"/>
      <c r="N48" s="180"/>
    </row>
    <row r="49" spans="1:14">
      <c r="A49" s="174"/>
      <c r="B49" s="151" t="s">
        <v>149</v>
      </c>
      <c r="C49" s="8" t="s">
        <v>21</v>
      </c>
      <c r="D49" s="8" t="s">
        <v>116</v>
      </c>
      <c r="E49" s="168">
        <v>-5007.08</v>
      </c>
      <c r="F49" s="168">
        <v>394</v>
      </c>
      <c r="G49" s="168">
        <v>40</v>
      </c>
      <c r="H49" s="169">
        <v>-564.34160898149071</v>
      </c>
      <c r="I49" s="169">
        <v>-5696.0396889283302</v>
      </c>
      <c r="J49" s="169">
        <v>-16500</v>
      </c>
      <c r="K49" s="179"/>
      <c r="L49" s="179"/>
      <c r="M49" s="179"/>
      <c r="N49" s="180"/>
    </row>
    <row r="50" spans="1:14">
      <c r="A50" s="174"/>
      <c r="B50" s="151" t="s">
        <v>150</v>
      </c>
      <c r="C50" s="8" t="s">
        <v>21</v>
      </c>
      <c r="D50" s="8" t="s">
        <v>116</v>
      </c>
      <c r="E50" s="178"/>
      <c r="F50" s="178"/>
      <c r="G50" s="178"/>
      <c r="H50" s="169">
        <v>-2025.3747691259982</v>
      </c>
      <c r="I50" s="169">
        <v>-2655.8556572461539</v>
      </c>
      <c r="J50" s="179"/>
      <c r="K50" s="179"/>
      <c r="L50" s="179"/>
      <c r="M50" s="179"/>
      <c r="N50" s="180"/>
    </row>
    <row r="51" spans="1:14">
      <c r="A51" s="174"/>
      <c r="B51" s="151"/>
      <c r="E51" s="172"/>
      <c r="F51" s="172"/>
      <c r="G51" s="172"/>
      <c r="H51" s="172"/>
      <c r="I51" s="172"/>
      <c r="J51" s="172"/>
      <c r="K51" s="172"/>
      <c r="L51" s="172"/>
      <c r="M51" s="172"/>
      <c r="N51" s="173"/>
    </row>
    <row r="52" spans="1:14">
      <c r="A52" s="174"/>
      <c r="B52" s="148" t="s">
        <v>23</v>
      </c>
      <c r="C52" s="8" t="s">
        <v>21</v>
      </c>
      <c r="D52" s="8" t="s">
        <v>116</v>
      </c>
      <c r="E52" s="175">
        <f t="shared" ref="E52:N52" si="4">SUM(E46:E50)</f>
        <v>-4550</v>
      </c>
      <c r="F52" s="175">
        <f t="shared" si="4"/>
        <v>519.15200000000004</v>
      </c>
      <c r="G52" s="175">
        <f t="shared" si="4"/>
        <v>75.26400000000001</v>
      </c>
      <c r="H52" s="176">
        <f t="shared" si="4"/>
        <v>-2488.349378107489</v>
      </c>
      <c r="I52" s="176">
        <f t="shared" si="4"/>
        <v>-8351.8953461744841</v>
      </c>
      <c r="J52" s="176">
        <f t="shared" si="4"/>
        <v>-16500</v>
      </c>
      <c r="K52" s="176">
        <f t="shared" si="4"/>
        <v>0</v>
      </c>
      <c r="L52" s="176">
        <f t="shared" si="4"/>
        <v>0</v>
      </c>
      <c r="M52" s="176">
        <f t="shared" si="4"/>
        <v>0</v>
      </c>
      <c r="N52" s="177">
        <f t="shared" si="4"/>
        <v>0</v>
      </c>
    </row>
    <row r="53" spans="1:14" ht="14.65" thickBot="1">
      <c r="A53" s="174"/>
      <c r="B53" s="165"/>
      <c r="C53" s="166"/>
      <c r="D53" s="166"/>
      <c r="E53" s="166"/>
      <c r="F53" s="166"/>
      <c r="G53" s="166"/>
      <c r="H53" s="166"/>
      <c r="I53" s="166"/>
      <c r="J53" s="166"/>
      <c r="K53" s="166"/>
      <c r="L53" s="166"/>
      <c r="M53" s="166"/>
      <c r="N53" s="167"/>
    </row>
    <row r="54" spans="1:14">
      <c r="A54" s="174"/>
      <c r="B54" s="181"/>
      <c r="C54" s="182"/>
      <c r="D54" s="182"/>
      <c r="E54" s="182"/>
      <c r="F54" s="182"/>
      <c r="G54" s="182"/>
      <c r="H54" s="182"/>
      <c r="I54" s="182"/>
      <c r="J54" s="182"/>
      <c r="K54" s="182"/>
      <c r="L54" s="182"/>
      <c r="M54" s="182"/>
      <c r="N54" s="150"/>
    </row>
    <row r="55" spans="1:14">
      <c r="A55" s="174"/>
      <c r="B55" s="148" t="s">
        <v>151</v>
      </c>
      <c r="C55" s="8" t="s">
        <v>21</v>
      </c>
      <c r="D55" s="8" t="s">
        <v>116</v>
      </c>
      <c r="E55" s="175">
        <f t="shared" ref="E55:N55" si="5">E18+E25+E42+E52</f>
        <v>93702.41651015314</v>
      </c>
      <c r="F55" s="175">
        <f t="shared" si="5"/>
        <v>90859.463095682338</v>
      </c>
      <c r="G55" s="175">
        <f t="shared" si="5"/>
        <v>85111.974148660593</v>
      </c>
      <c r="H55" s="176">
        <f t="shared" si="5"/>
        <v>125699.99173554222</v>
      </c>
      <c r="I55" s="176">
        <f t="shared" si="5"/>
        <v>101160.34381142176</v>
      </c>
      <c r="J55" s="176">
        <f t="shared" si="5"/>
        <v>91634.831548220187</v>
      </c>
      <c r="K55" s="176">
        <f t="shared" si="5"/>
        <v>119853.33142431774</v>
      </c>
      <c r="L55" s="176">
        <f t="shared" si="5"/>
        <v>122442.4840868836</v>
      </c>
      <c r="M55" s="176">
        <f t="shared" si="5"/>
        <v>123577.754405714</v>
      </c>
      <c r="N55" s="177">
        <f t="shared" si="5"/>
        <v>117998.93878846544</v>
      </c>
    </row>
    <row r="56" spans="1:14">
      <c r="A56" s="174"/>
      <c r="B56" s="151"/>
      <c r="C56" s="182"/>
      <c r="D56" s="182"/>
      <c r="E56" s="182"/>
      <c r="F56" s="182"/>
      <c r="G56" s="182"/>
      <c r="H56" s="182"/>
      <c r="I56" s="182"/>
      <c r="J56" s="182"/>
      <c r="K56" s="182"/>
      <c r="L56" s="182"/>
      <c r="M56" s="182"/>
      <c r="N56" s="150"/>
    </row>
    <row r="57" spans="1:14">
      <c r="A57" s="174"/>
      <c r="B57" s="148" t="s">
        <v>152</v>
      </c>
      <c r="C57" s="182"/>
      <c r="D57" s="182"/>
      <c r="E57" s="182"/>
      <c r="F57" s="182"/>
      <c r="G57" s="182"/>
      <c r="H57" s="182"/>
      <c r="I57" s="182"/>
      <c r="J57" s="182"/>
      <c r="K57" s="182"/>
      <c r="L57" s="182"/>
      <c r="M57" s="182"/>
      <c r="N57" s="150"/>
    </row>
    <row r="58" spans="1:14">
      <c r="A58" s="174"/>
      <c r="B58" s="151" t="s">
        <v>153</v>
      </c>
      <c r="C58" s="8" t="s">
        <v>21</v>
      </c>
      <c r="D58" s="8" t="s">
        <v>116</v>
      </c>
      <c r="E58" s="168">
        <v>36763.5458</v>
      </c>
      <c r="F58" s="168">
        <v>48733</v>
      </c>
      <c r="G58" s="168">
        <v>36901.828000000001</v>
      </c>
      <c r="H58" s="169">
        <v>43979</v>
      </c>
      <c r="I58" s="169">
        <v>45302.616000000002</v>
      </c>
      <c r="J58" s="169">
        <v>39550</v>
      </c>
      <c r="K58" s="169">
        <v>40049.999999999993</v>
      </c>
      <c r="L58" s="169">
        <v>40249.999999999993</v>
      </c>
      <c r="M58" s="169">
        <v>40300</v>
      </c>
      <c r="N58" s="170">
        <v>40300</v>
      </c>
    </row>
    <row r="59" spans="1:14">
      <c r="A59" s="174"/>
      <c r="B59" s="151" t="s">
        <v>154</v>
      </c>
      <c r="C59" s="8" t="s">
        <v>21</v>
      </c>
      <c r="D59" s="8" t="s">
        <v>116</v>
      </c>
      <c r="E59" s="168">
        <v>33694.693959999997</v>
      </c>
      <c r="F59" s="168">
        <v>30108</v>
      </c>
      <c r="G59" s="168">
        <v>48210</v>
      </c>
      <c r="H59" s="169">
        <v>81721</v>
      </c>
      <c r="I59" s="169">
        <v>55858</v>
      </c>
      <c r="J59" s="169">
        <v>52084.831548220187</v>
      </c>
      <c r="K59" s="169">
        <v>79803.331424317759</v>
      </c>
      <c r="L59" s="169">
        <v>82192.484086883604</v>
      </c>
      <c r="M59" s="169">
        <v>83277.754405714004</v>
      </c>
      <c r="N59" s="170">
        <v>77698.938788465442</v>
      </c>
    </row>
    <row r="60" spans="1:14">
      <c r="A60" s="174"/>
      <c r="B60" s="151" t="s">
        <v>155</v>
      </c>
      <c r="C60" s="8" t="s">
        <v>21</v>
      </c>
      <c r="D60" s="8" t="s">
        <v>116</v>
      </c>
      <c r="E60" s="168">
        <v>23244.420740000001</v>
      </c>
      <c r="F60" s="168">
        <v>12018</v>
      </c>
      <c r="G60" s="168">
        <v>0</v>
      </c>
      <c r="H60" s="169">
        <v>0</v>
      </c>
      <c r="I60" s="169">
        <v>0</v>
      </c>
      <c r="J60" s="169">
        <v>0</v>
      </c>
      <c r="K60" s="169">
        <v>0</v>
      </c>
      <c r="L60" s="169">
        <v>0</v>
      </c>
      <c r="M60" s="169">
        <v>0</v>
      </c>
      <c r="N60" s="170">
        <v>0</v>
      </c>
    </row>
    <row r="61" spans="1:14">
      <c r="A61" s="174"/>
      <c r="B61" s="151"/>
      <c r="N61" s="150"/>
    </row>
    <row r="62" spans="1:14">
      <c r="B62" s="151" t="s">
        <v>156</v>
      </c>
      <c r="C62" s="182"/>
      <c r="D62" s="182"/>
      <c r="E62" s="183">
        <f>E55-SUM(E58:E60)</f>
        <v>-0.24398984685831238</v>
      </c>
      <c r="F62" s="183">
        <f t="shared" ref="F62:N62" si="6">F55-SUM(F58:F60)</f>
        <v>0.46309568233846221</v>
      </c>
      <c r="G62" s="183">
        <f t="shared" si="6"/>
        <v>0.14614866058400366</v>
      </c>
      <c r="H62" s="183">
        <f t="shared" si="6"/>
        <v>-8.2644577778410167E-3</v>
      </c>
      <c r="I62" s="183">
        <f>I55-SUM(I58:I60)</f>
        <v>-0.27218857825209852</v>
      </c>
      <c r="J62" s="183">
        <f t="shared" si="6"/>
        <v>0</v>
      </c>
      <c r="K62" s="183">
        <f t="shared" si="6"/>
        <v>0</v>
      </c>
      <c r="L62" s="183">
        <f t="shared" si="6"/>
        <v>0</v>
      </c>
      <c r="M62" s="183">
        <f t="shared" si="6"/>
        <v>0</v>
      </c>
      <c r="N62" s="184">
        <f t="shared" si="6"/>
        <v>0</v>
      </c>
    </row>
    <row r="63" spans="1:14" ht="14.65" thickBot="1">
      <c r="B63" s="181"/>
      <c r="C63" s="182"/>
      <c r="D63" s="182"/>
      <c r="E63" s="182"/>
      <c r="F63" s="182"/>
      <c r="G63" s="182"/>
      <c r="H63" s="182"/>
      <c r="I63" s="182"/>
      <c r="J63" s="182"/>
      <c r="K63" s="182"/>
      <c r="L63" s="182"/>
      <c r="M63" s="182"/>
      <c r="N63" s="150"/>
    </row>
    <row r="64" spans="1:14">
      <c r="B64" s="144"/>
      <c r="C64" s="145"/>
      <c r="D64" s="145"/>
      <c r="E64" s="145"/>
      <c r="F64" s="145"/>
      <c r="G64" s="145"/>
      <c r="H64" s="145"/>
      <c r="I64" s="145"/>
      <c r="J64" s="145"/>
      <c r="K64" s="145"/>
      <c r="L64" s="145"/>
      <c r="M64" s="145"/>
      <c r="N64" s="147"/>
    </row>
    <row r="65" spans="2:14">
      <c r="B65" s="148" t="s">
        <v>157</v>
      </c>
      <c r="N65" s="150"/>
    </row>
    <row r="66" spans="2:14">
      <c r="B66" s="151" t="s">
        <v>132</v>
      </c>
      <c r="C66" s="8" t="s">
        <v>21</v>
      </c>
      <c r="D66" s="8" t="s">
        <v>116</v>
      </c>
      <c r="E66" s="152">
        <v>3931.6373767176738</v>
      </c>
      <c r="F66" s="152">
        <v>820.1093433333333</v>
      </c>
      <c r="G66" s="152">
        <v>1334.3288029317127</v>
      </c>
      <c r="H66" s="185">
        <v>825.09922000000006</v>
      </c>
      <c r="I66" s="185">
        <v>2606.0504123199494</v>
      </c>
      <c r="J66" s="185">
        <v>8398.2539419351087</v>
      </c>
      <c r="K66" s="185">
        <v>6963.476373804574</v>
      </c>
      <c r="L66" s="185">
        <v>4151.5759731010239</v>
      </c>
      <c r="M66" s="185">
        <v>3640.2547515904371</v>
      </c>
      <c r="N66" s="186">
        <v>3241.9568429364394</v>
      </c>
    </row>
    <row r="67" spans="2:14">
      <c r="B67" s="151" t="s">
        <v>133</v>
      </c>
      <c r="C67" s="8" t="s">
        <v>21</v>
      </c>
      <c r="D67" s="8" t="s">
        <v>116</v>
      </c>
      <c r="E67" s="152">
        <v>0</v>
      </c>
      <c r="F67" s="152">
        <v>0</v>
      </c>
      <c r="G67" s="152">
        <v>0</v>
      </c>
      <c r="H67" s="185">
        <v>0</v>
      </c>
      <c r="I67" s="185">
        <v>25758.172288610051</v>
      </c>
      <c r="J67" s="185">
        <v>0</v>
      </c>
      <c r="K67" s="185">
        <v>0</v>
      </c>
      <c r="L67" s="185">
        <v>0</v>
      </c>
      <c r="M67" s="185">
        <v>0</v>
      </c>
      <c r="N67" s="186">
        <v>0</v>
      </c>
    </row>
    <row r="68" spans="2:14">
      <c r="B68" s="151" t="s">
        <v>134</v>
      </c>
      <c r="C68" s="8" t="s">
        <v>21</v>
      </c>
      <c r="D68" s="8" t="s">
        <v>116</v>
      </c>
      <c r="E68" s="152">
        <v>0</v>
      </c>
      <c r="F68" s="152">
        <v>0</v>
      </c>
      <c r="G68" s="152">
        <v>0</v>
      </c>
      <c r="H68" s="185">
        <v>0</v>
      </c>
      <c r="I68" s="185">
        <v>0</v>
      </c>
      <c r="J68" s="185">
        <v>0</v>
      </c>
      <c r="K68" s="185">
        <v>0</v>
      </c>
      <c r="L68" s="185">
        <v>0</v>
      </c>
      <c r="M68" s="185">
        <v>0</v>
      </c>
      <c r="N68" s="186">
        <v>0</v>
      </c>
    </row>
    <row r="69" spans="2:14">
      <c r="B69" s="151"/>
      <c r="E69" s="155"/>
      <c r="F69" s="155"/>
      <c r="G69" s="155"/>
      <c r="H69" s="155"/>
      <c r="I69" s="155"/>
      <c r="J69" s="155"/>
      <c r="K69" s="155"/>
      <c r="L69" s="155"/>
      <c r="M69" s="155"/>
      <c r="N69" s="156"/>
    </row>
    <row r="70" spans="2:14">
      <c r="B70" s="148" t="s">
        <v>23</v>
      </c>
      <c r="C70" s="8" t="s">
        <v>21</v>
      </c>
      <c r="D70" s="8" t="s">
        <v>116</v>
      </c>
      <c r="E70" s="175">
        <f>SUM(E64:E68)</f>
        <v>3931.6373767176738</v>
      </c>
      <c r="F70" s="175">
        <f t="shared" ref="F70:N70" si="7">SUM(F64:F68)</f>
        <v>820.1093433333333</v>
      </c>
      <c r="G70" s="175">
        <f t="shared" si="7"/>
        <v>1334.3288029317127</v>
      </c>
      <c r="H70" s="176">
        <f t="shared" si="7"/>
        <v>825.09922000000006</v>
      </c>
      <c r="I70" s="176">
        <f t="shared" si="7"/>
        <v>28364.22270093</v>
      </c>
      <c r="J70" s="176">
        <f t="shared" si="7"/>
        <v>8398.2539419351087</v>
      </c>
      <c r="K70" s="176">
        <f t="shared" si="7"/>
        <v>6963.476373804574</v>
      </c>
      <c r="L70" s="176">
        <f t="shared" si="7"/>
        <v>4151.5759731010239</v>
      </c>
      <c r="M70" s="176">
        <f t="shared" si="7"/>
        <v>3640.2547515904371</v>
      </c>
      <c r="N70" s="177">
        <f t="shared" si="7"/>
        <v>3241.9568429364394</v>
      </c>
    </row>
    <row r="71" spans="2:14" ht="14.65" thickBot="1">
      <c r="B71" s="165"/>
      <c r="C71" s="166"/>
      <c r="D71" s="166"/>
      <c r="E71" s="166"/>
      <c r="F71" s="166"/>
      <c r="G71" s="166"/>
      <c r="H71" s="166"/>
      <c r="I71" s="166"/>
      <c r="J71" s="166"/>
      <c r="K71" s="166"/>
      <c r="L71" s="166"/>
      <c r="M71" s="166"/>
      <c r="N71" s="167"/>
    </row>
  </sheetData>
  <mergeCells count="5">
    <mergeCell ref="C10:C11"/>
    <mergeCell ref="D10:D11"/>
    <mergeCell ref="E10:G10"/>
    <mergeCell ref="H10:I10"/>
    <mergeCell ref="J10:N10"/>
  </mergeCells>
  <pageMargins left="0.70866141732283472" right="0.70866141732283472" top="0.74803149606299213" bottom="0.74803149606299213" header="0.31496062992125984" footer="0.31496062992125984"/>
  <pageSetup paperSize="9" scale="69" fitToHeight="2"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59999389629810485"/>
  </sheetPr>
  <dimension ref="A1:O49"/>
  <sheetViews>
    <sheetView showGridLines="0" topLeftCell="B2" zoomScaleNormal="100" workbookViewId="0">
      <pane xSplit="4" ySplit="8" topLeftCell="J10" activePane="bottomRight" state="frozen"/>
      <selection activeCell="B2" sqref="B2"/>
      <selection pane="topRight" activeCell="F2" sqref="F2"/>
      <selection pane="bottomLeft" activeCell="B10" sqref="B10"/>
      <selection pane="bottomRight" activeCell="B8" sqref="B8:B9"/>
    </sheetView>
  </sheetViews>
  <sheetFormatPr defaultColWidth="10.6640625" defaultRowHeight="14.25"/>
  <cols>
    <col min="1" max="1" width="0" style="10" hidden="1" customWidth="1"/>
    <col min="2" max="2" width="25" style="10" customWidth="1"/>
    <col min="3" max="3" width="61.1328125" style="10" customWidth="1"/>
    <col min="4" max="4" width="8.6640625" style="10" customWidth="1"/>
    <col min="5" max="5" width="14.1328125" style="10" customWidth="1"/>
    <col min="6" max="16384" width="10.6640625" style="10"/>
  </cols>
  <sheetData>
    <row r="1" spans="1:15" hidden="1">
      <c r="A1" s="7"/>
      <c r="B1" s="8"/>
      <c r="C1" s="9"/>
      <c r="D1" s="9"/>
      <c r="E1" s="9"/>
      <c r="F1" s="8"/>
      <c r="G1" s="8"/>
      <c r="H1" s="7"/>
      <c r="I1" s="7"/>
    </row>
    <row r="2" spans="1:15">
      <c r="A2" s="7"/>
      <c r="B2" s="8"/>
      <c r="C2" s="9"/>
      <c r="D2" s="9"/>
      <c r="E2" s="9"/>
      <c r="F2" s="8"/>
      <c r="G2" s="8"/>
      <c r="H2" s="8"/>
      <c r="I2" s="8"/>
      <c r="J2" s="8"/>
      <c r="K2" s="8"/>
      <c r="L2" s="8"/>
      <c r="M2" s="8"/>
      <c r="N2" s="8"/>
      <c r="O2" s="8"/>
    </row>
    <row r="3" spans="1:15">
      <c r="A3" s="7"/>
      <c r="B3" s="8"/>
      <c r="C3" s="9"/>
      <c r="D3" s="9"/>
      <c r="E3" s="9"/>
      <c r="F3" s="8"/>
      <c r="G3" s="8"/>
      <c r="H3" s="7"/>
      <c r="I3" s="7"/>
    </row>
    <row r="4" spans="1:15">
      <c r="A4" s="7"/>
      <c r="B4" s="8"/>
      <c r="C4" s="9"/>
      <c r="D4" s="9"/>
      <c r="E4" s="9"/>
      <c r="F4" s="8"/>
      <c r="G4" s="8"/>
      <c r="H4" s="7"/>
      <c r="I4" s="7"/>
    </row>
    <row r="5" spans="1:15">
      <c r="A5" s="7"/>
      <c r="B5" s="8"/>
      <c r="C5" s="9"/>
      <c r="D5" s="9"/>
      <c r="E5" s="9"/>
      <c r="F5" s="8"/>
      <c r="G5" s="8"/>
      <c r="H5" s="7"/>
      <c r="I5" s="7"/>
    </row>
    <row r="6" spans="1:15" ht="23.25">
      <c r="A6" s="7"/>
      <c r="B6" s="11" t="s">
        <v>92</v>
      </c>
      <c r="C6" s="9"/>
      <c r="D6" s="9"/>
      <c r="E6" s="9"/>
      <c r="F6" s="8"/>
      <c r="G6" s="8"/>
      <c r="H6" s="7"/>
      <c r="I6" s="7"/>
    </row>
    <row r="7" spans="1:15" hidden="1"/>
    <row r="8" spans="1:15">
      <c r="B8" s="481"/>
      <c r="C8" s="481" t="s">
        <v>28</v>
      </c>
      <c r="D8" s="12" t="s">
        <v>10</v>
      </c>
      <c r="E8" s="12" t="s">
        <v>11</v>
      </c>
      <c r="F8" s="483" t="s">
        <v>93</v>
      </c>
      <c r="G8" s="484"/>
      <c r="H8" s="484"/>
      <c r="I8" s="484"/>
      <c r="J8" s="485"/>
      <c r="K8" s="486" t="s">
        <v>31</v>
      </c>
      <c r="L8" s="486"/>
      <c r="M8" s="486"/>
      <c r="N8" s="486"/>
      <c r="O8" s="486"/>
    </row>
    <row r="9" spans="1:15" ht="18" customHeight="1">
      <c r="B9" s="482"/>
      <c r="C9" s="482" t="s">
        <v>27</v>
      </c>
      <c r="D9" s="76"/>
      <c r="E9" s="76"/>
      <c r="F9" s="77" t="s">
        <v>0</v>
      </c>
      <c r="G9" s="78" t="s">
        <v>1</v>
      </c>
      <c r="H9" s="78" t="s">
        <v>2</v>
      </c>
      <c r="I9" s="78" t="s">
        <v>3</v>
      </c>
      <c r="J9" s="78" t="s">
        <v>4</v>
      </c>
      <c r="K9" s="78" t="s">
        <v>5</v>
      </c>
      <c r="L9" s="78" t="s">
        <v>6</v>
      </c>
      <c r="M9" s="78" t="s">
        <v>7</v>
      </c>
      <c r="N9" s="78" t="s">
        <v>8</v>
      </c>
      <c r="O9" s="79" t="s">
        <v>9</v>
      </c>
    </row>
    <row r="10" spans="1:15" ht="15" customHeight="1">
      <c r="B10" s="487" t="s">
        <v>94</v>
      </c>
      <c r="C10" s="80"/>
      <c r="D10" s="80"/>
      <c r="E10" s="80"/>
      <c r="F10" s="81"/>
      <c r="G10" s="82"/>
      <c r="H10" s="82"/>
      <c r="I10" s="82"/>
      <c r="J10" s="82"/>
      <c r="K10" s="82"/>
      <c r="L10" s="82"/>
      <c r="M10" s="82"/>
      <c r="N10" s="82"/>
      <c r="O10" s="83"/>
    </row>
    <row r="11" spans="1:15" ht="15" customHeight="1">
      <c r="B11" s="488"/>
      <c r="C11" s="84" t="s">
        <v>68</v>
      </c>
      <c r="D11" s="84" t="s">
        <v>12</v>
      </c>
      <c r="E11" s="84"/>
      <c r="F11" s="85">
        <v>0.55000000000000004</v>
      </c>
      <c r="G11" s="86">
        <v>0.55000000000000004</v>
      </c>
      <c r="H11" s="86">
        <v>0.55000000000000004</v>
      </c>
      <c r="I11" s="87">
        <v>0.55000000000000004</v>
      </c>
      <c r="J11" s="87">
        <v>0.55000000000000004</v>
      </c>
      <c r="K11" s="87">
        <v>0.55000000000000004</v>
      </c>
      <c r="L11" s="87">
        <v>0.55000000000000004</v>
      </c>
      <c r="M11" s="87">
        <v>0.55000000000000004</v>
      </c>
      <c r="N11" s="87">
        <v>0.55000000000000004</v>
      </c>
      <c r="O11" s="88">
        <v>0.55000000000000004</v>
      </c>
    </row>
    <row r="12" spans="1:15" ht="15" customHeight="1">
      <c r="B12" s="488"/>
      <c r="C12" s="84" t="s">
        <v>95</v>
      </c>
      <c r="D12" s="84" t="s">
        <v>12</v>
      </c>
      <c r="E12" s="84"/>
      <c r="F12" s="89">
        <v>1.2500000000000001E-2</v>
      </c>
      <c r="G12" s="90">
        <v>1.2500000000000001E-2</v>
      </c>
      <c r="H12" s="90">
        <v>1.2500000000000001E-2</v>
      </c>
      <c r="I12" s="91">
        <v>1.2500000000000001E-2</v>
      </c>
      <c r="J12" s="91">
        <v>1.2500000000000001E-2</v>
      </c>
      <c r="K12" s="92">
        <v>-6.0000000000000001E-3</v>
      </c>
      <c r="L12" s="92">
        <v>-6.0000000000000001E-3</v>
      </c>
      <c r="M12" s="92">
        <v>-6.0000000000000001E-3</v>
      </c>
      <c r="N12" s="92">
        <v>-6.0000000000000001E-3</v>
      </c>
      <c r="O12" s="93">
        <v>-6.0000000000000001E-3</v>
      </c>
    </row>
    <row r="13" spans="1:15" ht="15" customHeight="1">
      <c r="B13" s="488"/>
      <c r="C13" s="94" t="s">
        <v>96</v>
      </c>
      <c r="D13" s="84" t="s">
        <v>12</v>
      </c>
      <c r="E13" s="84"/>
      <c r="F13" s="89">
        <v>5.2499999999999998E-2</v>
      </c>
      <c r="G13" s="90">
        <v>5.2499999999999998E-2</v>
      </c>
      <c r="H13" s="90">
        <v>5.2499999999999998E-2</v>
      </c>
      <c r="I13" s="91">
        <v>5.2499999999999998E-2</v>
      </c>
      <c r="J13" s="91">
        <v>5.2499999999999998E-2</v>
      </c>
      <c r="K13" s="91">
        <f>(0.066+0.076)/2</f>
        <v>7.1000000000000008E-2</v>
      </c>
      <c r="L13" s="91">
        <v>7.1000000000000008E-2</v>
      </c>
      <c r="M13" s="91">
        <v>7.1000000000000008E-2</v>
      </c>
      <c r="N13" s="91">
        <v>7.1000000000000008E-2</v>
      </c>
      <c r="O13" s="95">
        <v>7.1000000000000008E-2</v>
      </c>
    </row>
    <row r="14" spans="1:15" ht="15" customHeight="1">
      <c r="B14" s="488"/>
      <c r="C14" s="94" t="s">
        <v>97</v>
      </c>
      <c r="D14" s="84"/>
      <c r="E14" s="84"/>
      <c r="F14" s="96">
        <v>0.1</v>
      </c>
      <c r="G14" s="97">
        <v>0.1</v>
      </c>
      <c r="H14" s="97">
        <v>0.1</v>
      </c>
      <c r="I14" s="98">
        <v>0.1</v>
      </c>
      <c r="J14" s="98">
        <v>0.1</v>
      </c>
      <c r="K14" s="98">
        <v>0.15</v>
      </c>
      <c r="L14" s="98">
        <v>0.15</v>
      </c>
      <c r="M14" s="98">
        <v>0.15</v>
      </c>
      <c r="N14" s="98">
        <v>0.15</v>
      </c>
      <c r="O14" s="99">
        <v>0.15</v>
      </c>
    </row>
    <row r="15" spans="1:15" ht="15" customHeight="1">
      <c r="B15" s="488"/>
      <c r="C15" s="94" t="s">
        <v>98</v>
      </c>
      <c r="D15" s="84"/>
      <c r="E15" s="84"/>
      <c r="F15" s="96">
        <v>0.6</v>
      </c>
      <c r="G15" s="97">
        <v>0.6</v>
      </c>
      <c r="H15" s="97">
        <v>0.6</v>
      </c>
      <c r="I15" s="98">
        <v>0.6</v>
      </c>
      <c r="J15" s="98">
        <v>0.6</v>
      </c>
      <c r="K15" s="98">
        <f t="shared" ref="K15:O15" si="0">(0.54+0.61)/2</f>
        <v>0.57499999999999996</v>
      </c>
      <c r="L15" s="98">
        <f t="shared" si="0"/>
        <v>0.57499999999999996</v>
      </c>
      <c r="M15" s="98">
        <f t="shared" si="0"/>
        <v>0.57499999999999996</v>
      </c>
      <c r="N15" s="98">
        <f t="shared" si="0"/>
        <v>0.57499999999999996</v>
      </c>
      <c r="O15" s="99">
        <f t="shared" si="0"/>
        <v>0.57499999999999996</v>
      </c>
    </row>
    <row r="16" spans="1:15" ht="15" customHeight="1">
      <c r="B16" s="488"/>
      <c r="C16" s="94" t="s">
        <v>99</v>
      </c>
      <c r="D16" s="84"/>
      <c r="E16" s="84"/>
      <c r="F16" s="96">
        <v>1.21</v>
      </c>
      <c r="G16" s="97">
        <v>1.21</v>
      </c>
      <c r="H16" s="97">
        <v>1.21</v>
      </c>
      <c r="I16" s="98">
        <v>1.21</v>
      </c>
      <c r="J16" s="98">
        <v>1.21</v>
      </c>
      <c r="K16" s="98">
        <f t="shared" ref="K16:O16" si="1">(1.02+1.17)/2</f>
        <v>1.095</v>
      </c>
      <c r="L16" s="98">
        <f t="shared" si="1"/>
        <v>1.095</v>
      </c>
      <c r="M16" s="98">
        <f t="shared" si="1"/>
        <v>1.095</v>
      </c>
      <c r="N16" s="98">
        <f t="shared" si="1"/>
        <v>1.095</v>
      </c>
      <c r="O16" s="99">
        <f t="shared" si="1"/>
        <v>1.095</v>
      </c>
    </row>
    <row r="17" spans="2:15" ht="15" customHeight="1">
      <c r="B17" s="488"/>
      <c r="C17" s="94" t="s">
        <v>100</v>
      </c>
      <c r="D17" s="84" t="s">
        <v>12</v>
      </c>
      <c r="E17" s="84"/>
      <c r="F17" s="89">
        <v>2.9499999999999998E-2</v>
      </c>
      <c r="G17" s="90">
        <v>2.9499999999999998E-2</v>
      </c>
      <c r="H17" s="90">
        <v>2.9499999999999998E-2</v>
      </c>
      <c r="I17" s="91">
        <v>2.9499999999999998E-2</v>
      </c>
      <c r="J17" s="91">
        <v>2.9499999999999998E-2</v>
      </c>
      <c r="K17" s="91">
        <v>2.1399999999999999E-2</v>
      </c>
      <c r="L17" s="91">
        <v>2.1399999999999999E-2</v>
      </c>
      <c r="M17" s="91">
        <v>2.1399999999999999E-2</v>
      </c>
      <c r="N17" s="91">
        <v>2.1399999999999999E-2</v>
      </c>
      <c r="O17" s="95">
        <v>2.1399999999999999E-2</v>
      </c>
    </row>
    <row r="18" spans="2:15" ht="15" customHeight="1">
      <c r="B18" s="488"/>
      <c r="C18" s="100" t="s">
        <v>101</v>
      </c>
      <c r="D18" s="84" t="s">
        <v>12</v>
      </c>
      <c r="E18" s="84"/>
      <c r="F18" s="85">
        <v>0.2</v>
      </c>
      <c r="G18" s="86">
        <v>0.2</v>
      </c>
      <c r="H18" s="86">
        <v>0.2</v>
      </c>
      <c r="I18" s="87">
        <v>0.2</v>
      </c>
      <c r="J18" s="87">
        <v>0.2</v>
      </c>
      <c r="K18" s="87">
        <v>0.17</v>
      </c>
      <c r="L18" s="87">
        <v>0.17</v>
      </c>
      <c r="M18" s="87">
        <v>0.17</v>
      </c>
      <c r="N18" s="87">
        <v>0.17</v>
      </c>
      <c r="O18" s="88">
        <v>0.17</v>
      </c>
    </row>
    <row r="19" spans="2:15" ht="15" customHeight="1">
      <c r="B19" s="488"/>
      <c r="C19" s="94" t="s">
        <v>102</v>
      </c>
      <c r="D19" s="84" t="s">
        <v>12</v>
      </c>
      <c r="E19" s="84"/>
      <c r="F19" s="89">
        <v>7.6100000000000001E-2</v>
      </c>
      <c r="G19" s="90">
        <v>7.6100000000000001E-2</v>
      </c>
      <c r="H19" s="90">
        <v>7.6100000000000001E-2</v>
      </c>
      <c r="I19" s="91">
        <v>7.6100000000000001E-2</v>
      </c>
      <c r="J19" s="91">
        <v>7.6100000000000001E-2</v>
      </c>
      <c r="K19" s="91">
        <f>(0.0611+0.083)/2</f>
        <v>7.2050000000000003E-2</v>
      </c>
      <c r="L19" s="91">
        <v>7.2050000000000003E-2</v>
      </c>
      <c r="M19" s="91">
        <v>7.2050000000000003E-2</v>
      </c>
      <c r="N19" s="91">
        <v>7.2050000000000003E-2</v>
      </c>
      <c r="O19" s="95">
        <v>7.2050000000000003E-2</v>
      </c>
    </row>
    <row r="20" spans="2:15" ht="15" customHeight="1">
      <c r="B20" s="488"/>
      <c r="C20" s="94" t="s">
        <v>103</v>
      </c>
      <c r="D20" s="84" t="s">
        <v>12</v>
      </c>
      <c r="E20" s="84"/>
      <c r="F20" s="89">
        <v>9.5100000000000004E-2</v>
      </c>
      <c r="G20" s="90">
        <v>9.5100000000000004E-2</v>
      </c>
      <c r="H20" s="90">
        <v>9.5100000000000004E-2</v>
      </c>
      <c r="I20" s="91">
        <v>9.5100000000000004E-2</v>
      </c>
      <c r="J20" s="91">
        <v>9.5100000000000004E-2</v>
      </c>
      <c r="K20" s="91">
        <f>(0.0736+0.0999)/2</f>
        <v>8.6749999999999994E-2</v>
      </c>
      <c r="L20" s="91">
        <v>8.6749999999999994E-2</v>
      </c>
      <c r="M20" s="91">
        <v>8.6749999999999994E-2</v>
      </c>
      <c r="N20" s="91">
        <v>8.6749999999999994E-2</v>
      </c>
      <c r="O20" s="95">
        <v>8.6749999999999994E-2</v>
      </c>
    </row>
    <row r="21" spans="2:15" ht="15" hidden="1" customHeight="1">
      <c r="B21" s="488"/>
      <c r="C21" s="94" t="s">
        <v>100</v>
      </c>
      <c r="D21" s="84" t="s">
        <v>12</v>
      </c>
      <c r="E21" s="84"/>
      <c r="F21" s="85"/>
      <c r="G21" s="86"/>
      <c r="H21" s="86"/>
      <c r="I21" s="87"/>
      <c r="J21" s="87"/>
      <c r="K21" s="87"/>
      <c r="L21" s="87"/>
      <c r="M21" s="87"/>
      <c r="N21" s="87"/>
      <c r="O21" s="88"/>
    </row>
    <row r="22" spans="2:15" ht="15" customHeight="1">
      <c r="B22" s="488"/>
      <c r="C22" s="101" t="s">
        <v>104</v>
      </c>
      <c r="D22" s="84" t="s">
        <v>12</v>
      </c>
      <c r="E22" s="84"/>
      <c r="F22" s="89">
        <v>5.0500000000000003E-2</v>
      </c>
      <c r="G22" s="90">
        <v>5.0500000000000003E-2</v>
      </c>
      <c r="H22" s="90">
        <v>5.0500000000000003E-2</v>
      </c>
      <c r="I22" s="91">
        <v>5.0500000000000003E-2</v>
      </c>
      <c r="J22" s="91">
        <v>5.0500000000000003E-2</v>
      </c>
      <c r="K22" s="91">
        <f>(0.0393+0.0491)/2</f>
        <v>4.4200000000000003E-2</v>
      </c>
      <c r="L22" s="91">
        <v>4.4200000000000003E-2</v>
      </c>
      <c r="M22" s="91">
        <v>4.4200000000000003E-2</v>
      </c>
      <c r="N22" s="91">
        <v>4.4200000000000003E-2</v>
      </c>
      <c r="O22" s="95">
        <v>4.4200000000000003E-2</v>
      </c>
    </row>
    <row r="23" spans="2:15" ht="15" customHeight="1">
      <c r="B23" s="488"/>
      <c r="C23" s="84" t="s">
        <v>105</v>
      </c>
      <c r="D23" s="84" t="s">
        <v>12</v>
      </c>
      <c r="E23" s="84"/>
      <c r="F23" s="89">
        <v>5.8999999999999997E-2</v>
      </c>
      <c r="G23" s="90">
        <v>5.8999999999999997E-2</v>
      </c>
      <c r="H23" s="90">
        <v>5.8999999999999997E-2</v>
      </c>
      <c r="I23" s="91">
        <v>5.8999999999999997E-2</v>
      </c>
      <c r="J23" s="91">
        <v>5.8999999999999997E-2</v>
      </c>
      <c r="K23" s="91">
        <f>(0.0449+0.0567)/2</f>
        <v>5.0799999999999998E-2</v>
      </c>
      <c r="L23" s="91">
        <v>5.0799999999999998E-2</v>
      </c>
      <c r="M23" s="91">
        <v>5.0799999999999998E-2</v>
      </c>
      <c r="N23" s="91">
        <v>5.0799999999999998E-2</v>
      </c>
      <c r="O23" s="95">
        <v>5.0799999999999998E-2</v>
      </c>
    </row>
    <row r="24" spans="2:15" ht="15" customHeight="1">
      <c r="B24" s="489"/>
      <c r="C24" s="84"/>
      <c r="D24" s="84"/>
      <c r="E24" s="84"/>
      <c r="F24" s="102"/>
      <c r="G24" s="103"/>
      <c r="H24" s="103"/>
      <c r="I24" s="103"/>
      <c r="J24" s="103"/>
      <c r="K24" s="103"/>
      <c r="L24" s="103"/>
      <c r="M24" s="103"/>
      <c r="N24" s="103"/>
      <c r="O24" s="104"/>
    </row>
    <row r="25" spans="2:15" ht="15" customHeight="1">
      <c r="B25" s="487" t="s">
        <v>106</v>
      </c>
      <c r="C25" s="105"/>
      <c r="D25" s="105"/>
      <c r="E25" s="105"/>
      <c r="F25" s="81"/>
      <c r="G25" s="82"/>
      <c r="H25" s="82"/>
      <c r="I25" s="82"/>
      <c r="J25" s="103"/>
      <c r="K25" s="103"/>
      <c r="L25" s="103"/>
      <c r="M25" s="103"/>
      <c r="N25" s="82"/>
      <c r="O25" s="83"/>
    </row>
    <row r="26" spans="2:15" ht="15" customHeight="1">
      <c r="B26" s="488"/>
      <c r="C26" s="94" t="s">
        <v>107</v>
      </c>
      <c r="D26" s="84"/>
      <c r="E26" s="84"/>
      <c r="F26" s="106">
        <v>100.6</v>
      </c>
      <c r="G26" s="107">
        <v>103.2</v>
      </c>
      <c r="H26" s="107">
        <v>105.5</v>
      </c>
      <c r="I26" s="108">
        <v>107.6</v>
      </c>
      <c r="J26" s="108">
        <v>109.752</v>
      </c>
      <c r="K26" s="108">
        <v>111.94704</v>
      </c>
      <c r="L26" s="108">
        <v>114.18598080000001</v>
      </c>
      <c r="M26" s="108">
        <v>116.46970041600001</v>
      </c>
      <c r="N26" s="108">
        <v>118.79909442432002</v>
      </c>
      <c r="O26" s="109">
        <v>121.17507631280642</v>
      </c>
    </row>
    <row r="27" spans="2:15" ht="15" customHeight="1">
      <c r="B27" s="488"/>
      <c r="C27" s="94" t="s">
        <v>108</v>
      </c>
      <c r="D27" s="84" t="s">
        <v>12</v>
      </c>
      <c r="E27" s="84"/>
      <c r="F27" s="110"/>
      <c r="G27" s="90">
        <f>(G26-F26)/F26</f>
        <v>2.5844930417495117E-2</v>
      </c>
      <c r="H27" s="90">
        <f t="shared" ref="H27:O27" si="2">(H26-G26)/G26</f>
        <v>2.2286821705426327E-2</v>
      </c>
      <c r="I27" s="91">
        <f t="shared" si="2"/>
        <v>1.9905213270142125E-2</v>
      </c>
      <c r="J27" s="91">
        <f t="shared" si="2"/>
        <v>2.0000000000000011E-2</v>
      </c>
      <c r="K27" s="91">
        <f t="shared" si="2"/>
        <v>2.0000000000000056E-2</v>
      </c>
      <c r="L27" s="91">
        <f t="shared" si="2"/>
        <v>2.000000000000008E-2</v>
      </c>
      <c r="M27" s="91">
        <f t="shared" si="2"/>
        <v>1.999999999999999E-2</v>
      </c>
      <c r="N27" s="91">
        <f t="shared" si="2"/>
        <v>2.000000000000007E-2</v>
      </c>
      <c r="O27" s="95">
        <f t="shared" si="2"/>
        <v>2.0000000000000059E-2</v>
      </c>
    </row>
    <row r="28" spans="2:15" ht="15" customHeight="1">
      <c r="B28" s="488"/>
      <c r="C28" s="111"/>
      <c r="D28" s="84"/>
      <c r="E28" s="84"/>
      <c r="F28" s="102"/>
      <c r="G28" s="103"/>
      <c r="H28" s="103"/>
      <c r="I28" s="103"/>
      <c r="J28" s="103"/>
      <c r="K28" s="103"/>
      <c r="L28" s="103"/>
      <c r="M28" s="103"/>
      <c r="N28" s="103"/>
      <c r="O28" s="104"/>
    </row>
    <row r="29" spans="2:15" ht="15" customHeight="1">
      <c r="B29" s="488"/>
      <c r="C29" s="94" t="s">
        <v>109</v>
      </c>
      <c r="D29" s="84"/>
      <c r="E29" s="84"/>
      <c r="F29" s="106">
        <v>261.39999999999998</v>
      </c>
      <c r="G29" s="107">
        <v>270.60000000000002</v>
      </c>
      <c r="H29" s="107">
        <v>279.7</v>
      </c>
      <c r="I29" s="108">
        <v>288.2</v>
      </c>
      <c r="J29" s="108">
        <v>293.964</v>
      </c>
      <c r="K29" s="108">
        <v>299.84327999999999</v>
      </c>
      <c r="L29" s="108">
        <v>305.84014559999997</v>
      </c>
      <c r="M29" s="108">
        <v>311.956948512</v>
      </c>
      <c r="N29" s="108">
        <v>318.19608748223999</v>
      </c>
      <c r="O29" s="109">
        <v>324.56000923188481</v>
      </c>
    </row>
    <row r="30" spans="2:15" ht="15" customHeight="1">
      <c r="B30" s="488"/>
      <c r="C30" s="94" t="s">
        <v>110</v>
      </c>
      <c r="D30" s="84" t="s">
        <v>12</v>
      </c>
      <c r="E30" s="84"/>
      <c r="F30" s="110"/>
      <c r="G30" s="90">
        <f>(G29-F29)/F29</f>
        <v>3.5195103289977221E-2</v>
      </c>
      <c r="H30" s="90">
        <f t="shared" ref="H30:O30" si="3">(H29-G29)/G29</f>
        <v>3.3628972653362767E-2</v>
      </c>
      <c r="I30" s="91">
        <f t="shared" si="3"/>
        <v>3.0389703253485879E-2</v>
      </c>
      <c r="J30" s="91">
        <f t="shared" si="3"/>
        <v>2.0000000000000035E-2</v>
      </c>
      <c r="K30" s="91">
        <f t="shared" si="3"/>
        <v>1.999999999999998E-2</v>
      </c>
      <c r="L30" s="91">
        <f t="shared" si="3"/>
        <v>1.9999999999999928E-2</v>
      </c>
      <c r="M30" s="91">
        <f t="shared" si="3"/>
        <v>2.0000000000000087E-2</v>
      </c>
      <c r="N30" s="91">
        <f t="shared" si="3"/>
        <v>1.9999999999999976E-2</v>
      </c>
      <c r="O30" s="95">
        <f t="shared" si="3"/>
        <v>2.0000000000000052E-2</v>
      </c>
    </row>
    <row r="31" spans="2:15" ht="15" customHeight="1">
      <c r="B31" s="488"/>
      <c r="C31" s="111"/>
      <c r="D31" s="84"/>
      <c r="E31" s="84"/>
      <c r="F31" s="102"/>
      <c r="G31" s="103"/>
      <c r="H31" s="103"/>
      <c r="I31" s="103"/>
      <c r="J31" s="103"/>
      <c r="K31" s="103"/>
      <c r="L31" s="103"/>
      <c r="M31" s="103"/>
      <c r="N31" s="103"/>
      <c r="O31" s="104"/>
    </row>
    <row r="32" spans="2:15" ht="15" customHeight="1">
      <c r="B32" s="488"/>
      <c r="C32" s="94" t="s">
        <v>111</v>
      </c>
      <c r="D32" s="84"/>
      <c r="E32" s="84"/>
      <c r="F32" s="106">
        <v>100.2</v>
      </c>
      <c r="G32" s="107">
        <v>102.9</v>
      </c>
      <c r="H32" s="107">
        <v>105.4</v>
      </c>
      <c r="I32" s="112">
        <v>107.6</v>
      </c>
      <c r="J32" s="108">
        <f>I32*(1+J33)</f>
        <v>109.64439999999999</v>
      </c>
      <c r="K32" s="108">
        <f t="shared" ref="K32:O32" si="4">J32*(1+K33)</f>
        <v>111.83728799999999</v>
      </c>
      <c r="L32" s="108">
        <f t="shared" si="4"/>
        <v>114.07403375999999</v>
      </c>
      <c r="M32" s="108">
        <f t="shared" si="4"/>
        <v>116.35551443519999</v>
      </c>
      <c r="N32" s="108">
        <f t="shared" si="4"/>
        <v>118.682624723904</v>
      </c>
      <c r="O32" s="109">
        <f t="shared" si="4"/>
        <v>121.05627721838208</v>
      </c>
    </row>
    <row r="33" spans="2:15" ht="15" customHeight="1">
      <c r="B33" s="488"/>
      <c r="C33" s="94" t="s">
        <v>112</v>
      </c>
      <c r="D33" s="84" t="s">
        <v>12</v>
      </c>
      <c r="E33" s="84"/>
      <c r="F33" s="110"/>
      <c r="G33" s="90">
        <f>(G32-F32)/F32</f>
        <v>2.6946107784431166E-2</v>
      </c>
      <c r="H33" s="90">
        <f t="shared" ref="H33:I33" si="5">(H32-G32)/G32</f>
        <v>2.4295432458697763E-2</v>
      </c>
      <c r="I33" s="91">
        <f t="shared" si="5"/>
        <v>2.0872865275142205E-2</v>
      </c>
      <c r="J33" s="91">
        <v>1.9E-2</v>
      </c>
      <c r="K33" s="91">
        <v>0.02</v>
      </c>
      <c r="L33" s="91">
        <v>0.02</v>
      </c>
      <c r="M33" s="91">
        <v>0.02</v>
      </c>
      <c r="N33" s="91">
        <v>0.02</v>
      </c>
      <c r="O33" s="95">
        <v>0.02</v>
      </c>
    </row>
    <row r="34" spans="2:15" ht="15" customHeight="1">
      <c r="B34" s="489"/>
      <c r="C34" s="113"/>
      <c r="D34" s="113"/>
      <c r="E34" s="113"/>
      <c r="F34" s="114"/>
      <c r="G34" s="115"/>
      <c r="H34" s="115"/>
      <c r="I34" s="115"/>
      <c r="J34" s="115"/>
      <c r="K34" s="115"/>
      <c r="L34" s="115"/>
      <c r="M34" s="115"/>
      <c r="N34" s="115"/>
      <c r="O34" s="116"/>
    </row>
    <row r="35" spans="2:15" ht="15" customHeight="1">
      <c r="B35" s="117" t="s">
        <v>113</v>
      </c>
      <c r="C35" s="118"/>
      <c r="D35" s="80"/>
      <c r="E35" s="80"/>
      <c r="F35" s="103"/>
      <c r="G35" s="103"/>
      <c r="H35" s="103"/>
      <c r="I35" s="103"/>
      <c r="J35" s="103"/>
      <c r="K35" s="103"/>
      <c r="L35" s="103"/>
      <c r="M35" s="103"/>
      <c r="N35" s="103"/>
      <c r="O35" s="104"/>
    </row>
    <row r="36" spans="2:15" ht="15" customHeight="1">
      <c r="B36" s="119" t="s">
        <v>114</v>
      </c>
      <c r="C36" s="84" t="s">
        <v>115</v>
      </c>
      <c r="D36" s="84" t="s">
        <v>40</v>
      </c>
      <c r="E36" s="84" t="s">
        <v>116</v>
      </c>
      <c r="F36" s="120">
        <v>33794.973969999999</v>
      </c>
      <c r="G36" s="120">
        <v>32922.405579999999</v>
      </c>
      <c r="H36" s="120">
        <v>43209.344809999995</v>
      </c>
      <c r="I36" s="121">
        <v>47753</v>
      </c>
      <c r="J36" s="121">
        <v>51410.411508287929</v>
      </c>
      <c r="K36" s="121">
        <v>44872</v>
      </c>
      <c r="L36" s="121">
        <v>45372</v>
      </c>
      <c r="M36" s="121">
        <v>45572</v>
      </c>
      <c r="N36" s="121">
        <v>45622</v>
      </c>
      <c r="O36" s="122">
        <v>45622</v>
      </c>
    </row>
    <row r="37" spans="2:15" ht="15" customHeight="1">
      <c r="B37" s="119"/>
      <c r="C37" s="84" t="s">
        <v>117</v>
      </c>
      <c r="D37" s="84" t="s">
        <v>40</v>
      </c>
      <c r="E37" s="84" t="s">
        <v>116</v>
      </c>
      <c r="F37" s="120">
        <v>19969.620932655856</v>
      </c>
      <c r="G37" s="120">
        <v>27563.951889991255</v>
      </c>
      <c r="H37" s="120">
        <v>28171.023173400001</v>
      </c>
      <c r="I37" s="121">
        <v>44489.900858394423</v>
      </c>
      <c r="J37" s="121">
        <v>32458.081359295124</v>
      </c>
      <c r="K37" s="121">
        <v>38715.457900000001</v>
      </c>
      <c r="L37" s="121">
        <v>48472.437299999998</v>
      </c>
      <c r="M37" s="121">
        <v>49722.842517651741</v>
      </c>
      <c r="N37" s="121">
        <v>50013.491609453406</v>
      </c>
      <c r="O37" s="122">
        <v>50296.457340743604</v>
      </c>
    </row>
    <row r="38" spans="2:15" ht="15" customHeight="1">
      <c r="B38" s="119"/>
      <c r="C38" s="84" t="s">
        <v>118</v>
      </c>
      <c r="D38" s="84" t="s">
        <v>40</v>
      </c>
      <c r="E38" s="84" t="s">
        <v>116</v>
      </c>
      <c r="F38" s="120">
        <v>35483.021423106497</v>
      </c>
      <c r="G38" s="120">
        <v>29477.315225425002</v>
      </c>
      <c r="H38" s="120">
        <v>38843.453276571097</v>
      </c>
      <c r="I38" s="121">
        <v>66527.5</v>
      </c>
      <c r="J38" s="121">
        <v>60965</v>
      </c>
      <c r="K38" s="121">
        <v>50062.5</v>
      </c>
      <c r="L38" s="121">
        <v>50062.5</v>
      </c>
      <c r="M38" s="121">
        <v>50062.5</v>
      </c>
      <c r="N38" s="121">
        <v>50062.5</v>
      </c>
      <c r="O38" s="122">
        <v>50062.5</v>
      </c>
    </row>
    <row r="39" spans="2:15" ht="15" hidden="1" customHeight="1">
      <c r="B39" s="119"/>
      <c r="C39" s="84" t="s">
        <v>119</v>
      </c>
      <c r="D39" s="84" t="s">
        <v>40</v>
      </c>
      <c r="E39" s="84" t="s">
        <v>116</v>
      </c>
      <c r="F39" s="123"/>
      <c r="G39" s="123"/>
      <c r="H39" s="123"/>
      <c r="I39" s="124"/>
      <c r="J39" s="124"/>
      <c r="K39" s="124"/>
      <c r="L39" s="124"/>
      <c r="M39" s="124"/>
      <c r="N39" s="124"/>
      <c r="O39" s="125"/>
    </row>
    <row r="40" spans="2:15" ht="15" hidden="1" customHeight="1">
      <c r="B40" s="119"/>
      <c r="C40" s="84" t="s">
        <v>119</v>
      </c>
      <c r="D40" s="84" t="s">
        <v>40</v>
      </c>
      <c r="E40" s="84" t="s">
        <v>116</v>
      </c>
      <c r="F40" s="123"/>
      <c r="G40" s="123"/>
      <c r="H40" s="123"/>
      <c r="I40" s="124"/>
      <c r="J40" s="124"/>
      <c r="K40" s="124"/>
      <c r="L40" s="124"/>
      <c r="M40" s="124"/>
      <c r="N40" s="124"/>
      <c r="O40" s="125"/>
    </row>
    <row r="41" spans="2:15" ht="15" customHeight="1">
      <c r="B41" s="119"/>
      <c r="C41" s="126" t="s">
        <v>120</v>
      </c>
      <c r="D41" s="84" t="s">
        <v>40</v>
      </c>
      <c r="E41" s="84" t="s">
        <v>116</v>
      </c>
      <c r="F41" s="127">
        <f>SUM(F36:F40)</f>
        <v>89247.616325762356</v>
      </c>
      <c r="G41" s="120">
        <f t="shared" ref="G41:O41" si="6">SUM(G36:G40)</f>
        <v>89963.672695416259</v>
      </c>
      <c r="H41" s="120">
        <f t="shared" si="6"/>
        <v>110223.8212599711</v>
      </c>
      <c r="I41" s="121">
        <f t="shared" si="6"/>
        <v>158770.40085839442</v>
      </c>
      <c r="J41" s="121">
        <f t="shared" si="6"/>
        <v>144833.49286758306</v>
      </c>
      <c r="K41" s="121">
        <f t="shared" si="6"/>
        <v>133649.95790000001</v>
      </c>
      <c r="L41" s="121">
        <f t="shared" si="6"/>
        <v>143906.93729999999</v>
      </c>
      <c r="M41" s="121">
        <f t="shared" si="6"/>
        <v>145357.34251765173</v>
      </c>
      <c r="N41" s="121">
        <f t="shared" si="6"/>
        <v>145697.9916094534</v>
      </c>
      <c r="O41" s="122">
        <f t="shared" si="6"/>
        <v>145980.9573407436</v>
      </c>
    </row>
    <row r="42" spans="2:15" ht="15" customHeight="1">
      <c r="B42" s="119"/>
      <c r="C42" s="84"/>
      <c r="D42" s="84"/>
      <c r="E42" s="84"/>
      <c r="O42" s="26"/>
    </row>
    <row r="43" spans="2:15" ht="15" customHeight="1">
      <c r="B43" s="119" t="s">
        <v>113</v>
      </c>
      <c r="C43" s="84" t="s">
        <v>121</v>
      </c>
      <c r="D43" s="84" t="s">
        <v>12</v>
      </c>
      <c r="E43" s="84"/>
      <c r="F43" s="128">
        <v>5.0000000000000001E-3</v>
      </c>
      <c r="G43" s="128">
        <v>5.0000000000000001E-3</v>
      </c>
      <c r="H43" s="128">
        <v>5.0000000000000001E-3</v>
      </c>
      <c r="I43" s="129">
        <v>5.0000000000000001E-3</v>
      </c>
      <c r="J43" s="129">
        <v>5.0000000000000001E-3</v>
      </c>
      <c r="K43" s="129">
        <v>6.0000000000000001E-3</v>
      </c>
      <c r="L43" s="129">
        <v>6.0000000000000001E-3</v>
      </c>
      <c r="M43" s="129">
        <v>6.0000000000000001E-3</v>
      </c>
      <c r="N43" s="129">
        <v>6.0000000000000001E-3</v>
      </c>
      <c r="O43" s="130">
        <v>6.0000000000000001E-3</v>
      </c>
    </row>
    <row r="44" spans="2:15" ht="15" customHeight="1">
      <c r="B44" s="131"/>
      <c r="C44" s="113" t="s">
        <v>113</v>
      </c>
      <c r="D44" s="113" t="s">
        <v>40</v>
      </c>
      <c r="E44" s="113" t="s">
        <v>116</v>
      </c>
      <c r="F44" s="132">
        <f>F41*F43</f>
        <v>446.23808162881181</v>
      </c>
      <c r="G44" s="132">
        <f t="shared" ref="G44:O44" si="7">G41*G43</f>
        <v>449.81836347708128</v>
      </c>
      <c r="H44" s="132">
        <f t="shared" si="7"/>
        <v>551.1191062998555</v>
      </c>
      <c r="I44" s="133">
        <f t="shared" si="7"/>
        <v>793.85200429197209</v>
      </c>
      <c r="J44" s="133">
        <f t="shared" si="7"/>
        <v>724.16746433791536</v>
      </c>
      <c r="K44" s="133">
        <f t="shared" si="7"/>
        <v>801.89974740000002</v>
      </c>
      <c r="L44" s="133">
        <f t="shared" si="7"/>
        <v>863.4416238</v>
      </c>
      <c r="M44" s="133">
        <f t="shared" si="7"/>
        <v>872.14405510591041</v>
      </c>
      <c r="N44" s="133">
        <f t="shared" si="7"/>
        <v>874.18794965672043</v>
      </c>
      <c r="O44" s="134">
        <f t="shared" si="7"/>
        <v>875.8857440444616</v>
      </c>
    </row>
    <row r="45" spans="2:15" ht="15" customHeight="1">
      <c r="B45" s="117" t="s">
        <v>122</v>
      </c>
      <c r="C45" s="118"/>
      <c r="D45" s="118"/>
      <c r="E45" s="118"/>
      <c r="F45" s="103"/>
      <c r="G45" s="103"/>
      <c r="H45" s="103"/>
      <c r="I45" s="103"/>
      <c r="J45" s="103"/>
      <c r="K45" s="103"/>
      <c r="L45" s="103"/>
      <c r="M45" s="103"/>
      <c r="N45" s="103"/>
      <c r="O45" s="104"/>
    </row>
    <row r="46" spans="2:15" ht="15" customHeight="1">
      <c r="B46" s="479" t="s">
        <v>123</v>
      </c>
      <c r="C46" s="479" t="s">
        <v>124</v>
      </c>
      <c r="D46" s="84" t="s">
        <v>40</v>
      </c>
      <c r="E46" s="84" t="s">
        <v>116</v>
      </c>
      <c r="F46" s="120">
        <v>10000</v>
      </c>
      <c r="G46" s="120">
        <v>10000</v>
      </c>
      <c r="H46" s="120">
        <v>10000</v>
      </c>
      <c r="I46" s="121">
        <v>10000</v>
      </c>
      <c r="J46" s="121">
        <v>10000</v>
      </c>
      <c r="K46" s="121">
        <v>10000</v>
      </c>
      <c r="L46" s="121">
        <v>10000</v>
      </c>
      <c r="M46" s="121">
        <v>10000</v>
      </c>
      <c r="N46" s="121">
        <v>10000</v>
      </c>
      <c r="O46" s="122">
        <v>10000</v>
      </c>
    </row>
    <row r="47" spans="2:15" ht="15" customHeight="1">
      <c r="B47" s="479"/>
      <c r="C47" s="479"/>
      <c r="D47" s="84"/>
      <c r="E47" s="84"/>
      <c r="O47" s="26"/>
    </row>
    <row r="48" spans="2:15" ht="15" customHeight="1">
      <c r="B48" s="479" t="s">
        <v>125</v>
      </c>
      <c r="C48" s="84" t="s">
        <v>126</v>
      </c>
      <c r="D48" s="84" t="s">
        <v>12</v>
      </c>
      <c r="E48" s="84"/>
      <c r="F48" s="135">
        <v>1.7500000000000002E-2</v>
      </c>
      <c r="G48" s="135">
        <v>1.7500000000000002E-2</v>
      </c>
      <c r="H48" s="135">
        <v>1.7500000000000002E-2</v>
      </c>
      <c r="I48" s="136">
        <v>1.7500000000000002E-2</v>
      </c>
      <c r="J48" s="136">
        <v>1.7500000000000002E-2</v>
      </c>
      <c r="K48" s="136">
        <v>1.7500000000000002E-2</v>
      </c>
      <c r="L48" s="136">
        <v>1.7500000000000002E-2</v>
      </c>
      <c r="M48" s="136">
        <v>1.7500000000000002E-2</v>
      </c>
      <c r="N48" s="136">
        <v>1.7500000000000002E-2</v>
      </c>
      <c r="O48" s="137">
        <v>1.7500000000000002E-2</v>
      </c>
    </row>
    <row r="49" spans="2:15" ht="15" customHeight="1">
      <c r="B49" s="480"/>
      <c r="C49" s="113" t="s">
        <v>125</v>
      </c>
      <c r="D49" s="113" t="s">
        <v>40</v>
      </c>
      <c r="E49" s="113" t="s">
        <v>116</v>
      </c>
      <c r="F49" s="132">
        <v>184.39639639639643</v>
      </c>
      <c r="G49" s="132">
        <v>183.11332007952291</v>
      </c>
      <c r="H49" s="132">
        <v>178.50000000000003</v>
      </c>
      <c r="I49" s="133">
        <v>175.00000000000003</v>
      </c>
      <c r="J49" s="133">
        <v>171.56862745098042</v>
      </c>
      <c r="K49" s="133">
        <v>168.20453671664743</v>
      </c>
      <c r="L49" s="133">
        <v>164.9064085457328</v>
      </c>
      <c r="M49" s="133">
        <v>161.67294955463998</v>
      </c>
      <c r="N49" s="133">
        <v>158.50289172023528</v>
      </c>
      <c r="O49" s="134">
        <v>155.39499188258358</v>
      </c>
    </row>
  </sheetData>
  <mergeCells count="9">
    <mergeCell ref="B48:B49"/>
    <mergeCell ref="B8:B9"/>
    <mergeCell ref="C8:C9"/>
    <mergeCell ref="F8:J8"/>
    <mergeCell ref="K8:O8"/>
    <mergeCell ref="B10:B24"/>
    <mergeCell ref="B25:B34"/>
    <mergeCell ref="B46:B47"/>
    <mergeCell ref="C46:C47"/>
  </mergeCells>
  <pageMargins left="0.7" right="0.7" top="0.75" bottom="0.75" header="0.3" footer="0.3"/>
  <pageSetup paperSize="9" scale="5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59999389629810485"/>
    <pageSetUpPr fitToPage="1"/>
  </sheetPr>
  <dimension ref="A1:W48"/>
  <sheetViews>
    <sheetView showGridLines="0" topLeftCell="B1" zoomScaleNormal="100" workbookViewId="0">
      <pane xSplit="4" ySplit="8" topLeftCell="F9" activePane="bottomRight" state="frozen"/>
      <selection activeCell="B1" sqref="B1"/>
      <selection pane="topRight" activeCell="F1" sqref="F1"/>
      <selection pane="bottomLeft" activeCell="B10" sqref="B10"/>
      <selection pane="bottomRight" activeCell="B7" sqref="B7:B8"/>
    </sheetView>
  </sheetViews>
  <sheetFormatPr defaultColWidth="10.6640625" defaultRowHeight="14.25"/>
  <cols>
    <col min="1" max="1" width="0" style="10" hidden="1" customWidth="1"/>
    <col min="2" max="2" width="23.46484375" style="10" customWidth="1"/>
    <col min="3" max="3" width="30" style="10" customWidth="1"/>
    <col min="4" max="5" width="13" style="10" customWidth="1"/>
    <col min="6" max="11" width="10.6640625" style="10" hidden="1" customWidth="1"/>
    <col min="12" max="12" width="0" style="10" hidden="1" customWidth="1"/>
    <col min="13" max="16384" width="10.6640625" style="10"/>
  </cols>
  <sheetData>
    <row r="1" spans="1:23">
      <c r="A1" s="7"/>
      <c r="B1" s="8"/>
      <c r="C1" s="9"/>
      <c r="D1" s="9"/>
      <c r="E1" s="9"/>
      <c r="F1" s="9"/>
      <c r="G1" s="9"/>
      <c r="H1" s="9"/>
      <c r="I1" s="9"/>
      <c r="J1" s="9"/>
      <c r="K1" s="9"/>
      <c r="L1" s="9"/>
      <c r="M1" s="8"/>
      <c r="N1" s="8"/>
      <c r="O1" s="8"/>
      <c r="P1" s="7"/>
      <c r="Q1" s="7"/>
    </row>
    <row r="2" spans="1:23">
      <c r="A2" s="7"/>
      <c r="B2" s="8"/>
      <c r="C2" s="9"/>
      <c r="D2" s="9"/>
      <c r="E2" s="9"/>
      <c r="F2" s="9"/>
      <c r="G2" s="9"/>
      <c r="H2" s="9"/>
      <c r="I2" s="9"/>
      <c r="J2" s="9"/>
      <c r="K2" s="9"/>
      <c r="L2" s="9"/>
      <c r="M2" s="8"/>
      <c r="N2" s="8"/>
      <c r="O2" s="8"/>
      <c r="P2" s="7"/>
      <c r="Q2" s="7"/>
    </row>
    <row r="3" spans="1:23">
      <c r="A3" s="7"/>
      <c r="B3" s="8"/>
      <c r="C3" s="9"/>
      <c r="D3" s="9"/>
      <c r="E3" s="9"/>
      <c r="F3" s="9"/>
      <c r="G3" s="9"/>
      <c r="H3" s="9"/>
      <c r="I3" s="9"/>
      <c r="J3" s="9"/>
      <c r="K3" s="9"/>
      <c r="L3" s="9"/>
      <c r="M3" s="8"/>
      <c r="N3" s="8"/>
      <c r="O3" s="8"/>
      <c r="P3" s="7"/>
      <c r="Q3" s="7"/>
    </row>
    <row r="4" spans="1:23">
      <c r="A4" s="7"/>
      <c r="B4" s="8"/>
      <c r="C4" s="9"/>
      <c r="D4" s="9"/>
      <c r="E4" s="9"/>
      <c r="F4" s="9"/>
      <c r="G4" s="9"/>
      <c r="H4" s="9"/>
      <c r="I4" s="9"/>
      <c r="J4" s="9"/>
      <c r="K4" s="9"/>
      <c r="L4" s="9"/>
      <c r="M4" s="8"/>
      <c r="N4" s="8"/>
      <c r="O4" s="8"/>
      <c r="P4" s="7"/>
      <c r="Q4" s="7"/>
    </row>
    <row r="5" spans="1:23" ht="23.25">
      <c r="A5" s="7"/>
      <c r="B5" s="11" t="s">
        <v>26</v>
      </c>
      <c r="C5" s="9"/>
      <c r="D5" s="9"/>
      <c r="E5" s="9"/>
      <c r="F5" s="9"/>
      <c r="G5" s="9"/>
      <c r="H5" s="9"/>
      <c r="I5" s="9"/>
      <c r="J5" s="9"/>
      <c r="K5" s="9"/>
      <c r="L5" s="9"/>
      <c r="M5" s="8"/>
      <c r="N5" s="8"/>
      <c r="O5" s="8"/>
      <c r="P5" s="7"/>
      <c r="Q5" s="7"/>
    </row>
    <row r="7" spans="1:23">
      <c r="B7" s="481" t="s">
        <v>27</v>
      </c>
      <c r="C7" s="481" t="s">
        <v>28</v>
      </c>
      <c r="D7" s="12" t="s">
        <v>10</v>
      </c>
      <c r="E7" s="12" t="s">
        <v>11</v>
      </c>
      <c r="F7" s="490" t="s">
        <v>29</v>
      </c>
      <c r="G7" s="490"/>
      <c r="H7" s="490"/>
      <c r="I7" s="490"/>
      <c r="J7" s="490"/>
      <c r="K7" s="490"/>
      <c r="L7" s="490"/>
      <c r="M7" s="490"/>
      <c r="N7" s="490"/>
      <c r="O7" s="490"/>
      <c r="P7" s="490"/>
      <c r="Q7" s="490" t="s">
        <v>30</v>
      </c>
      <c r="R7" s="490"/>
      <c r="S7" s="490" t="s">
        <v>31</v>
      </c>
      <c r="T7" s="490"/>
      <c r="U7" s="490"/>
      <c r="V7" s="490"/>
      <c r="W7" s="490"/>
    </row>
    <row r="8" spans="1:23" ht="18" customHeight="1">
      <c r="B8" s="481" t="s">
        <v>27</v>
      </c>
      <c r="C8" s="481" t="s">
        <v>27</v>
      </c>
      <c r="D8" s="13"/>
      <c r="E8" s="13"/>
      <c r="F8" s="14" t="s">
        <v>32</v>
      </c>
      <c r="G8" s="14" t="s">
        <v>33</v>
      </c>
      <c r="H8" s="14" t="s">
        <v>34</v>
      </c>
      <c r="I8" s="14" t="s">
        <v>35</v>
      </c>
      <c r="J8" s="14" t="s">
        <v>36</v>
      </c>
      <c r="K8" s="14" t="s">
        <v>37</v>
      </c>
      <c r="L8" s="14" t="s">
        <v>15</v>
      </c>
      <c r="M8" s="14" t="s">
        <v>16</v>
      </c>
      <c r="N8" s="14" t="s">
        <v>0</v>
      </c>
      <c r="O8" s="14" t="s">
        <v>1</v>
      </c>
      <c r="P8" s="14" t="s">
        <v>2</v>
      </c>
      <c r="Q8" s="14" t="s">
        <v>3</v>
      </c>
      <c r="R8" s="14" t="s">
        <v>4</v>
      </c>
      <c r="S8" s="14" t="s">
        <v>5</v>
      </c>
      <c r="T8" s="14" t="s">
        <v>6</v>
      </c>
      <c r="U8" s="14" t="s">
        <v>7</v>
      </c>
      <c r="V8" s="14" t="s">
        <v>8</v>
      </c>
      <c r="W8" s="14" t="s">
        <v>9</v>
      </c>
    </row>
    <row r="9" spans="1:23">
      <c r="B9" s="15" t="s">
        <v>38</v>
      </c>
      <c r="C9" s="16" t="s">
        <v>39</v>
      </c>
      <c r="D9" s="17" t="s">
        <v>40</v>
      </c>
      <c r="E9" s="18" t="s">
        <v>22</v>
      </c>
      <c r="F9" s="19"/>
      <c r="G9" s="19"/>
      <c r="H9" s="19"/>
      <c r="I9" s="19"/>
      <c r="J9" s="19"/>
      <c r="K9" s="19"/>
      <c r="L9" s="20"/>
      <c r="M9" s="20"/>
      <c r="N9" s="20">
        <v>3708.7453635684433</v>
      </c>
      <c r="O9" s="20">
        <v>3584.700505978265</v>
      </c>
      <c r="P9" s="21">
        <v>3447.7427916968099</v>
      </c>
      <c r="Q9" s="22">
        <v>3355.1942301830795</v>
      </c>
      <c r="R9" s="23">
        <v>3198.8039607720307</v>
      </c>
      <c r="S9" s="22">
        <v>3090.3915434910191</v>
      </c>
      <c r="T9" s="24">
        <v>4574.9970115403839</v>
      </c>
      <c r="U9" s="24">
        <v>4415.5107233497492</v>
      </c>
      <c r="V9" s="24">
        <v>4253.7108803816745</v>
      </c>
      <c r="W9" s="23">
        <v>4089.583601307495</v>
      </c>
    </row>
    <row r="10" spans="1:23">
      <c r="B10" s="25"/>
      <c r="C10" s="10" t="s">
        <v>41</v>
      </c>
      <c r="D10" s="25" t="s">
        <v>40</v>
      </c>
      <c r="E10" s="26" t="s">
        <v>22</v>
      </c>
      <c r="F10" s="27"/>
      <c r="G10" s="27"/>
      <c r="H10" s="27"/>
      <c r="I10" s="27"/>
      <c r="J10" s="27"/>
      <c r="K10" s="27"/>
      <c r="L10" s="28"/>
      <c r="M10" s="28"/>
      <c r="N10" s="28">
        <v>29.1779346977812</v>
      </c>
      <c r="O10" s="28">
        <v>16.597018373983737</v>
      </c>
      <c r="P10" s="29">
        <v>62.589909703253483</v>
      </c>
      <c r="Q10" s="30">
        <v>0</v>
      </c>
      <c r="R10" s="31">
        <v>0</v>
      </c>
      <c r="S10" s="30">
        <v>1677.002</v>
      </c>
      <c r="T10" s="32">
        <v>67.806411999999995</v>
      </c>
      <c r="U10" s="32">
        <v>68.213250471999999</v>
      </c>
      <c r="V10" s="32">
        <v>68.622529974832005</v>
      </c>
      <c r="W10" s="31">
        <v>69.034265154680995</v>
      </c>
    </row>
    <row r="11" spans="1:23">
      <c r="B11" s="25"/>
      <c r="C11" s="10" t="s">
        <v>42</v>
      </c>
      <c r="D11" s="25" t="s">
        <v>40</v>
      </c>
      <c r="E11" s="26" t="s">
        <v>22</v>
      </c>
      <c r="F11" s="27"/>
      <c r="G11" s="27"/>
      <c r="H11" s="27"/>
      <c r="I11" s="27"/>
      <c r="J11" s="27"/>
      <c r="K11" s="27"/>
      <c r="L11" s="28"/>
      <c r="M11" s="28"/>
      <c r="N11" s="28"/>
      <c r="O11" s="28"/>
      <c r="P11" s="29"/>
      <c r="Q11" s="30"/>
      <c r="R11" s="31"/>
      <c r="S11" s="30"/>
      <c r="T11" s="32"/>
      <c r="U11" s="32"/>
      <c r="V11" s="32"/>
      <c r="W11" s="31"/>
    </row>
    <row r="12" spans="1:23">
      <c r="B12" s="25"/>
      <c r="C12" s="10" t="s">
        <v>43</v>
      </c>
      <c r="D12" s="25" t="s">
        <v>40</v>
      </c>
      <c r="E12" s="26" t="s">
        <v>22</v>
      </c>
      <c r="F12" s="27"/>
      <c r="G12" s="27"/>
      <c r="H12" s="27"/>
      <c r="I12" s="27"/>
      <c r="J12" s="27"/>
      <c r="K12" s="27"/>
      <c r="L12" s="28"/>
      <c r="M12" s="28"/>
      <c r="N12" s="28"/>
      <c r="O12" s="28"/>
      <c r="P12" s="29"/>
      <c r="Q12" s="30"/>
      <c r="R12" s="31"/>
      <c r="S12" s="30"/>
      <c r="T12" s="32"/>
      <c r="U12" s="32"/>
      <c r="V12" s="32"/>
      <c r="W12" s="31"/>
    </row>
    <row r="13" spans="1:23">
      <c r="B13" s="25"/>
      <c r="C13" s="10" t="s">
        <v>44</v>
      </c>
      <c r="D13" s="25" t="s">
        <v>40</v>
      </c>
      <c r="E13" s="26" t="s">
        <v>22</v>
      </c>
      <c r="F13" s="27"/>
      <c r="G13" s="27"/>
      <c r="H13" s="27"/>
      <c r="I13" s="27"/>
      <c r="J13" s="27"/>
      <c r="K13" s="27"/>
      <c r="L13" s="28"/>
      <c r="M13" s="28"/>
      <c r="N13" s="28">
        <v>153.22279228795929</v>
      </c>
      <c r="O13" s="28">
        <v>153.55473265543898</v>
      </c>
      <c r="P13" s="29">
        <v>155.1384712169837</v>
      </c>
      <c r="Q13" s="30">
        <v>156.39026941104879</v>
      </c>
      <c r="R13" s="31">
        <v>156.39026941104879</v>
      </c>
      <c r="S13" s="30">
        <v>192.39653195063499</v>
      </c>
      <c r="T13" s="32">
        <v>227.29270019063497</v>
      </c>
      <c r="U13" s="32">
        <v>230.01309344007498</v>
      </c>
      <c r="V13" s="32">
        <v>232.74980904901162</v>
      </c>
      <c r="W13" s="31">
        <v>235.5029449516019</v>
      </c>
    </row>
    <row r="14" spans="1:23">
      <c r="B14" s="25"/>
      <c r="C14" s="10" t="s">
        <v>45</v>
      </c>
      <c r="D14" s="25" t="s">
        <v>40</v>
      </c>
      <c r="E14" s="26" t="s">
        <v>22</v>
      </c>
      <c r="F14" s="27"/>
      <c r="G14" s="27"/>
      <c r="H14" s="27"/>
      <c r="I14" s="27"/>
      <c r="J14" s="27"/>
      <c r="K14" s="27"/>
      <c r="L14" s="28"/>
      <c r="M14" s="28">
        <v>3708.7453635684433</v>
      </c>
      <c r="N14" s="28">
        <v>3584.700505978265</v>
      </c>
      <c r="O14" s="28">
        <v>3447.7427916968099</v>
      </c>
      <c r="P14" s="29">
        <v>3355.1942301830795</v>
      </c>
      <c r="Q14" s="30">
        <v>3198.8039607720307</v>
      </c>
      <c r="R14" s="31">
        <v>3042.4136913609818</v>
      </c>
      <c r="S14" s="30">
        <v>4574.9970115403839</v>
      </c>
      <c r="T14" s="32">
        <v>4415.5107233497492</v>
      </c>
      <c r="U14" s="32">
        <v>4253.7108803816745</v>
      </c>
      <c r="V14" s="32">
        <v>4089.583601307495</v>
      </c>
      <c r="W14" s="31">
        <v>3923.1149215105738</v>
      </c>
    </row>
    <row r="15" spans="1:23">
      <c r="B15" s="33"/>
      <c r="C15" s="34" t="s">
        <v>46</v>
      </c>
      <c r="D15" s="33" t="s">
        <v>40</v>
      </c>
      <c r="E15" s="35" t="s">
        <v>22</v>
      </c>
      <c r="F15" s="36"/>
      <c r="G15" s="36"/>
      <c r="H15" s="36"/>
      <c r="I15" s="36"/>
      <c r="J15" s="36"/>
      <c r="K15" s="36"/>
      <c r="L15" s="37"/>
      <c r="M15" s="37"/>
      <c r="N15" s="37">
        <v>3646.7229347733542</v>
      </c>
      <c r="O15" s="37">
        <v>3516.2216488375375</v>
      </c>
      <c r="P15" s="38">
        <v>3401.4685109399447</v>
      </c>
      <c r="Q15" s="39">
        <v>3276.9990954775549</v>
      </c>
      <c r="R15" s="40">
        <v>3120.6088260665065</v>
      </c>
      <c r="S15" s="39">
        <v>3832.6942775157013</v>
      </c>
      <c r="T15" s="41">
        <v>4495.2538674450661</v>
      </c>
      <c r="U15" s="41">
        <v>4334.6108018657123</v>
      </c>
      <c r="V15" s="41">
        <v>4171.6472408445843</v>
      </c>
      <c r="W15" s="40">
        <v>4006.3492614090346</v>
      </c>
    </row>
    <row r="16" spans="1:23">
      <c r="B16" s="42"/>
      <c r="C16" s="43"/>
      <c r="D16" s="44"/>
      <c r="E16" s="44"/>
      <c r="F16" s="45"/>
      <c r="G16" s="46"/>
      <c r="H16" s="46"/>
      <c r="I16" s="46"/>
      <c r="J16" s="46"/>
      <c r="K16" s="46"/>
      <c r="L16" s="47"/>
      <c r="M16" s="47"/>
      <c r="N16" s="47"/>
      <c r="O16" s="47"/>
      <c r="P16" s="48"/>
      <c r="Q16" s="49"/>
      <c r="R16" s="48"/>
      <c r="S16" s="49"/>
      <c r="T16" s="47"/>
      <c r="U16" s="47"/>
      <c r="V16" s="47"/>
      <c r="W16" s="48"/>
    </row>
    <row r="17" spans="2:23">
      <c r="B17" s="15" t="s">
        <v>47</v>
      </c>
      <c r="C17" s="18" t="s">
        <v>39</v>
      </c>
      <c r="D17" s="17" t="s">
        <v>40</v>
      </c>
      <c r="E17" s="18" t="s">
        <v>22</v>
      </c>
      <c r="F17" s="50"/>
      <c r="G17" s="19"/>
      <c r="H17" s="19"/>
      <c r="I17" s="19"/>
      <c r="J17" s="19"/>
      <c r="K17" s="19"/>
      <c r="L17" s="20"/>
      <c r="M17" s="20"/>
      <c r="N17" s="20">
        <v>8463.3620280238392</v>
      </c>
      <c r="O17" s="20">
        <v>8318.2814068435891</v>
      </c>
      <c r="P17" s="21">
        <v>6778.2509357764211</v>
      </c>
      <c r="Q17" s="22">
        <v>5524.3884169944122</v>
      </c>
      <c r="R17" s="23">
        <v>4111.9524941935806</v>
      </c>
      <c r="S17" s="22">
        <v>4773.7377739461499</v>
      </c>
      <c r="T17" s="24">
        <v>9016.755805600751</v>
      </c>
      <c r="U17" s="24">
        <v>12667.643925283634</v>
      </c>
      <c r="V17" s="24">
        <v>12740.576558824232</v>
      </c>
      <c r="W17" s="23">
        <v>11801.7481648428</v>
      </c>
    </row>
    <row r="18" spans="2:23">
      <c r="B18" s="25"/>
      <c r="C18" s="26" t="s">
        <v>41</v>
      </c>
      <c r="D18" s="25" t="s">
        <v>40</v>
      </c>
      <c r="E18" s="26" t="s">
        <v>22</v>
      </c>
      <c r="F18" s="51"/>
      <c r="G18" s="27"/>
      <c r="H18" s="27"/>
      <c r="I18" s="27"/>
      <c r="J18" s="27"/>
      <c r="K18" s="27"/>
      <c r="L18" s="28"/>
      <c r="M18" s="28"/>
      <c r="N18" s="28">
        <v>3902.4594420198928</v>
      </c>
      <c r="O18" s="28">
        <v>803.5123249593496</v>
      </c>
      <c r="P18" s="29">
        <v>1271.7388932284593</v>
      </c>
      <c r="Q18" s="30">
        <v>825.09922000000006</v>
      </c>
      <c r="R18" s="31">
        <v>2606.0504123199494</v>
      </c>
      <c r="S18" s="30">
        <v>6721.2519419351092</v>
      </c>
      <c r="T18" s="32">
        <v>6895.6699618045741</v>
      </c>
      <c r="U18" s="32">
        <v>4083.3627226290241</v>
      </c>
      <c r="V18" s="32">
        <v>3571.632221615605</v>
      </c>
      <c r="W18" s="31">
        <v>3172.9225777817583</v>
      </c>
    </row>
    <row r="19" spans="2:23">
      <c r="B19" s="25"/>
      <c r="C19" s="10" t="s">
        <v>42</v>
      </c>
      <c r="D19" s="25" t="s">
        <v>40</v>
      </c>
      <c r="E19" s="26" t="s">
        <v>22</v>
      </c>
      <c r="F19" s="51"/>
      <c r="G19" s="27"/>
      <c r="H19" s="27"/>
      <c r="I19" s="27"/>
      <c r="J19" s="27"/>
      <c r="K19" s="27"/>
      <c r="L19" s="28"/>
      <c r="M19" s="28"/>
      <c r="N19" s="28"/>
      <c r="O19" s="28"/>
      <c r="P19" s="29"/>
      <c r="Q19" s="30"/>
      <c r="R19" s="31"/>
      <c r="S19" s="30"/>
      <c r="T19" s="32"/>
      <c r="U19" s="32"/>
      <c r="V19" s="32"/>
      <c r="W19" s="31"/>
    </row>
    <row r="20" spans="2:23">
      <c r="B20" s="25"/>
      <c r="C20" s="10" t="s">
        <v>43</v>
      </c>
      <c r="D20" s="25" t="s">
        <v>40</v>
      </c>
      <c r="E20" s="26" t="s">
        <v>22</v>
      </c>
      <c r="F20" s="51"/>
      <c r="G20" s="27"/>
      <c r="H20" s="27"/>
      <c r="I20" s="27"/>
      <c r="J20" s="27"/>
      <c r="K20" s="27"/>
      <c r="L20" s="28"/>
      <c r="M20" s="28"/>
      <c r="N20" s="28"/>
      <c r="O20" s="28"/>
      <c r="P20" s="29"/>
      <c r="Q20" s="30"/>
      <c r="R20" s="31"/>
      <c r="S20" s="30"/>
      <c r="T20" s="32"/>
      <c r="U20" s="32"/>
      <c r="V20" s="32"/>
      <c r="W20" s="31"/>
    </row>
    <row r="21" spans="2:23">
      <c r="B21" s="25"/>
      <c r="C21" s="10" t="s">
        <v>44</v>
      </c>
      <c r="D21" s="25" t="s">
        <v>40</v>
      </c>
      <c r="E21" s="26" t="s">
        <v>22</v>
      </c>
      <c r="F21" s="51"/>
      <c r="G21" s="27"/>
      <c r="H21" s="27"/>
      <c r="I21" s="27"/>
      <c r="J21" s="27"/>
      <c r="K21" s="27"/>
      <c r="L21" s="28"/>
      <c r="M21" s="28"/>
      <c r="N21" s="28">
        <v>4047.5400632001488</v>
      </c>
      <c r="O21" s="28">
        <v>2343.5427960265174</v>
      </c>
      <c r="P21" s="29">
        <v>2525.6014120104683</v>
      </c>
      <c r="Q21" s="30">
        <v>2237.5351428008316</v>
      </c>
      <c r="R21" s="31">
        <v>2018.3766753291225</v>
      </c>
      <c r="S21" s="30">
        <v>2478.233910280509</v>
      </c>
      <c r="T21" s="32">
        <v>3244.781842121693</v>
      </c>
      <c r="U21" s="32">
        <v>4010.4300890884251</v>
      </c>
      <c r="V21" s="32">
        <v>4510.4606155970359</v>
      </c>
      <c r="W21" s="31">
        <v>4836.3903234406516</v>
      </c>
    </row>
    <row r="22" spans="2:23">
      <c r="B22" s="25"/>
      <c r="C22" s="26" t="s">
        <v>45</v>
      </c>
      <c r="D22" s="25" t="s">
        <v>40</v>
      </c>
      <c r="E22" s="26" t="s">
        <v>22</v>
      </c>
      <c r="F22" s="51"/>
      <c r="G22" s="27"/>
      <c r="H22" s="27"/>
      <c r="I22" s="27"/>
      <c r="J22" s="27"/>
      <c r="K22" s="27"/>
      <c r="L22" s="28"/>
      <c r="M22" s="28">
        <v>8463.3620280238447</v>
      </c>
      <c r="N22" s="28">
        <v>8318.2814068435891</v>
      </c>
      <c r="O22" s="28">
        <v>6778.2509357764211</v>
      </c>
      <c r="P22" s="29">
        <v>5524.3884169944122</v>
      </c>
      <c r="Q22" s="30">
        <v>4111.9524941935806</v>
      </c>
      <c r="R22" s="31">
        <v>4699.6262311844075</v>
      </c>
      <c r="S22" s="30">
        <v>9016.755805600751</v>
      </c>
      <c r="T22" s="32">
        <v>12667.643925283634</v>
      </c>
      <c r="U22" s="32">
        <v>12740.576558824232</v>
      </c>
      <c r="V22" s="32">
        <v>11801.7481648428</v>
      </c>
      <c r="W22" s="31">
        <v>10138.280419183908</v>
      </c>
    </row>
    <row r="23" spans="2:23">
      <c r="B23" s="33"/>
      <c r="C23" s="35" t="s">
        <v>46</v>
      </c>
      <c r="D23" s="33" t="s">
        <v>40</v>
      </c>
      <c r="E23" s="35" t="s">
        <v>22</v>
      </c>
      <c r="F23" s="52"/>
      <c r="G23" s="36"/>
      <c r="H23" s="36"/>
      <c r="I23" s="36"/>
      <c r="J23" s="36"/>
      <c r="K23" s="36"/>
      <c r="L23" s="37"/>
      <c r="M23" s="37"/>
      <c r="N23" s="37">
        <v>8390.8217174337169</v>
      </c>
      <c r="O23" s="37">
        <v>7548.2661713100051</v>
      </c>
      <c r="P23" s="38">
        <v>6151.3196763854166</v>
      </c>
      <c r="Q23" s="39">
        <v>4818.1704555939959</v>
      </c>
      <c r="R23" s="40">
        <v>4405.7893626889945</v>
      </c>
      <c r="S23" s="39">
        <v>6895.2467897734505</v>
      </c>
      <c r="T23" s="41">
        <v>10842.199865442191</v>
      </c>
      <c r="U23" s="41">
        <v>12704.110242053932</v>
      </c>
      <c r="V23" s="41">
        <v>12271.162361833516</v>
      </c>
      <c r="W23" s="40">
        <v>10970.014292013355</v>
      </c>
    </row>
    <row r="24" spans="2:23">
      <c r="B24" s="42"/>
      <c r="C24" s="43"/>
      <c r="D24" s="42"/>
      <c r="E24" s="43"/>
      <c r="F24" s="45"/>
      <c r="G24" s="46"/>
      <c r="H24" s="46"/>
      <c r="I24" s="46"/>
      <c r="J24" s="46"/>
      <c r="K24" s="46"/>
      <c r="L24" s="47"/>
      <c r="M24" s="47"/>
      <c r="N24" s="47"/>
      <c r="O24" s="47"/>
      <c r="P24" s="48"/>
      <c r="Q24" s="49"/>
      <c r="R24" s="48"/>
      <c r="S24" s="49"/>
      <c r="T24" s="47"/>
      <c r="U24" s="47"/>
      <c r="V24" s="47"/>
      <c r="W24" s="48"/>
    </row>
    <row r="25" spans="2:23">
      <c r="B25" s="15" t="s">
        <v>48</v>
      </c>
      <c r="C25" s="18" t="s">
        <v>39</v>
      </c>
      <c r="D25" s="17" t="s">
        <v>40</v>
      </c>
      <c r="E25" s="18" t="s">
        <v>22</v>
      </c>
      <c r="F25" s="50"/>
      <c r="G25" s="19"/>
      <c r="H25" s="19"/>
      <c r="I25" s="19"/>
      <c r="J25" s="19"/>
      <c r="K25" s="19"/>
      <c r="L25" s="20"/>
      <c r="M25" s="20"/>
      <c r="N25" s="20">
        <v>0</v>
      </c>
      <c r="O25" s="20">
        <v>0</v>
      </c>
      <c r="P25" s="21">
        <v>0</v>
      </c>
      <c r="Q25" s="22">
        <v>0</v>
      </c>
      <c r="R25" s="23">
        <v>0</v>
      </c>
      <c r="S25" s="22">
        <v>20931.496079586988</v>
      </c>
      <c r="T25" s="24">
        <v>15698.622059690242</v>
      </c>
      <c r="U25" s="24">
        <v>10465.748039793496</v>
      </c>
      <c r="V25" s="24">
        <v>5232.8740198967489</v>
      </c>
      <c r="W25" s="23">
        <v>0</v>
      </c>
    </row>
    <row r="26" spans="2:23">
      <c r="B26" s="25"/>
      <c r="C26" s="26" t="s">
        <v>41</v>
      </c>
      <c r="D26" s="25" t="s">
        <v>40</v>
      </c>
      <c r="E26" s="26" t="s">
        <v>22</v>
      </c>
      <c r="F26" s="51"/>
      <c r="G26" s="27"/>
      <c r="H26" s="27"/>
      <c r="I26" s="27"/>
      <c r="J26" s="27"/>
      <c r="K26" s="27"/>
      <c r="L26" s="28"/>
      <c r="M26" s="28"/>
      <c r="N26" s="28">
        <v>0</v>
      </c>
      <c r="O26" s="28">
        <v>0</v>
      </c>
      <c r="P26" s="29">
        <v>0</v>
      </c>
      <c r="Q26" s="30">
        <v>0</v>
      </c>
      <c r="R26" s="31">
        <v>25758.172288610051</v>
      </c>
      <c r="S26" s="30">
        <v>0</v>
      </c>
      <c r="T26" s="32">
        <v>0</v>
      </c>
      <c r="U26" s="32">
        <v>0</v>
      </c>
      <c r="V26" s="32">
        <v>0</v>
      </c>
      <c r="W26" s="31">
        <v>0</v>
      </c>
    </row>
    <row r="27" spans="2:23">
      <c r="B27" s="25"/>
      <c r="C27" s="26" t="s">
        <v>42</v>
      </c>
      <c r="D27" s="25" t="s">
        <v>40</v>
      </c>
      <c r="E27" s="26" t="s">
        <v>22</v>
      </c>
      <c r="F27" s="51"/>
      <c r="G27" s="27"/>
      <c r="H27" s="27"/>
      <c r="I27" s="27"/>
      <c r="J27" s="27"/>
      <c r="K27" s="27"/>
      <c r="L27" s="28"/>
      <c r="M27" s="28"/>
      <c r="N27" s="28"/>
      <c r="O27" s="28"/>
      <c r="P27" s="29"/>
      <c r="Q27" s="30"/>
      <c r="R27" s="31"/>
      <c r="S27" s="30"/>
      <c r="T27" s="32"/>
      <c r="U27" s="32"/>
      <c r="V27" s="32"/>
      <c r="W27" s="31"/>
    </row>
    <row r="28" spans="2:23">
      <c r="B28" s="25"/>
      <c r="C28" s="26" t="s">
        <v>49</v>
      </c>
      <c r="D28" s="25" t="s">
        <v>40</v>
      </c>
      <c r="E28" s="26" t="s">
        <v>22</v>
      </c>
      <c r="F28" s="51"/>
      <c r="G28" s="27"/>
      <c r="H28" s="27"/>
      <c r="I28" s="27"/>
      <c r="J28" s="27"/>
      <c r="K28" s="27"/>
      <c r="L28" s="28"/>
      <c r="M28" s="28"/>
      <c r="N28" s="28"/>
      <c r="O28" s="28"/>
      <c r="P28" s="29"/>
      <c r="Q28" s="30"/>
      <c r="R28" s="31"/>
      <c r="S28" s="30"/>
      <c r="T28" s="32"/>
      <c r="U28" s="32"/>
      <c r="V28" s="32"/>
      <c r="W28" s="31"/>
    </row>
    <row r="29" spans="2:23">
      <c r="B29" s="25"/>
      <c r="C29" s="10" t="s">
        <v>44</v>
      </c>
      <c r="D29" s="25" t="s">
        <v>40</v>
      </c>
      <c r="E29" s="26" t="s">
        <v>22</v>
      </c>
      <c r="F29" s="51"/>
      <c r="G29" s="27"/>
      <c r="H29" s="27"/>
      <c r="I29" s="27"/>
      <c r="J29" s="27"/>
      <c r="K29" s="27"/>
      <c r="L29" s="28"/>
      <c r="M29" s="28"/>
      <c r="N29" s="28">
        <v>0</v>
      </c>
      <c r="O29" s="28">
        <v>0</v>
      </c>
      <c r="P29" s="29">
        <v>0</v>
      </c>
      <c r="Q29" s="30">
        <v>0</v>
      </c>
      <c r="R29" s="31">
        <v>5151.6344577220098</v>
      </c>
      <c r="S29" s="30">
        <v>5232.8740198967471</v>
      </c>
      <c r="T29" s="32">
        <v>5232.8740198967471</v>
      </c>
      <c r="U29" s="32">
        <v>5232.8740198967471</v>
      </c>
      <c r="V29" s="32">
        <v>5232.8740198967471</v>
      </c>
      <c r="W29" s="31">
        <v>0</v>
      </c>
    </row>
    <row r="30" spans="2:23">
      <c r="B30" s="25"/>
      <c r="C30" s="26" t="s">
        <v>45</v>
      </c>
      <c r="D30" s="25" t="s">
        <v>40</v>
      </c>
      <c r="E30" s="26" t="s">
        <v>22</v>
      </c>
      <c r="F30" s="51"/>
      <c r="G30" s="27"/>
      <c r="H30" s="27"/>
      <c r="I30" s="27"/>
      <c r="J30" s="27"/>
      <c r="K30" s="27"/>
      <c r="L30" s="28"/>
      <c r="M30" s="28">
        <v>0</v>
      </c>
      <c r="N30" s="28">
        <v>0</v>
      </c>
      <c r="O30" s="28">
        <v>0</v>
      </c>
      <c r="P30" s="29">
        <v>0</v>
      </c>
      <c r="Q30" s="30">
        <v>0</v>
      </c>
      <c r="R30" s="31">
        <v>20606.537830888039</v>
      </c>
      <c r="S30" s="30">
        <v>15698.622059690242</v>
      </c>
      <c r="T30" s="32">
        <v>10465.748039793496</v>
      </c>
      <c r="U30" s="32">
        <v>5232.8740198967489</v>
      </c>
      <c r="V30" s="32">
        <v>0</v>
      </c>
      <c r="W30" s="31">
        <v>0</v>
      </c>
    </row>
    <row r="31" spans="2:23">
      <c r="B31" s="33"/>
      <c r="C31" s="35" t="s">
        <v>46</v>
      </c>
      <c r="D31" s="33" t="s">
        <v>40</v>
      </c>
      <c r="E31" s="35" t="s">
        <v>22</v>
      </c>
      <c r="F31" s="52"/>
      <c r="G31" s="36"/>
      <c r="H31" s="36"/>
      <c r="I31" s="36"/>
      <c r="J31" s="36"/>
      <c r="K31" s="36"/>
      <c r="L31" s="37"/>
      <c r="M31" s="37"/>
      <c r="N31" s="37">
        <v>0</v>
      </c>
      <c r="O31" s="37">
        <v>0</v>
      </c>
      <c r="P31" s="38">
        <v>0</v>
      </c>
      <c r="Q31" s="39">
        <v>0</v>
      </c>
      <c r="R31" s="40">
        <v>10303.26891544402</v>
      </c>
      <c r="S31" s="39">
        <v>18315.059069638613</v>
      </c>
      <c r="T31" s="41">
        <v>13082.185049741869</v>
      </c>
      <c r="U31" s="41">
        <v>7849.3110298451229</v>
      </c>
      <c r="V31" s="41">
        <v>2616.4370099483745</v>
      </c>
      <c r="W31" s="40">
        <v>0</v>
      </c>
    </row>
    <row r="32" spans="2:23">
      <c r="B32" s="44"/>
      <c r="C32" s="44"/>
      <c r="D32" s="44"/>
      <c r="E32" s="44"/>
      <c r="F32" s="53"/>
      <c r="G32" s="54"/>
      <c r="H32" s="54"/>
      <c r="I32" s="54"/>
      <c r="J32" s="54"/>
      <c r="K32" s="54"/>
      <c r="L32" s="55"/>
      <c r="M32" s="55"/>
      <c r="N32" s="55"/>
      <c r="O32" s="55"/>
      <c r="P32" s="56"/>
      <c r="Q32" s="47"/>
      <c r="R32" s="47"/>
      <c r="S32" s="47"/>
      <c r="T32" s="47"/>
      <c r="U32" s="47"/>
      <c r="V32" s="47"/>
      <c r="W32" s="47"/>
    </row>
    <row r="33" spans="2:23">
      <c r="B33" s="15" t="s">
        <v>20</v>
      </c>
      <c r="C33" s="18" t="s">
        <v>39</v>
      </c>
      <c r="D33" s="17" t="s">
        <v>40</v>
      </c>
      <c r="E33" s="16" t="s">
        <v>22</v>
      </c>
      <c r="F33" s="50"/>
      <c r="G33" s="19"/>
      <c r="H33" s="19"/>
      <c r="I33" s="19"/>
      <c r="J33" s="27"/>
      <c r="K33" s="27"/>
      <c r="L33" s="28"/>
      <c r="M33" s="20">
        <v>0</v>
      </c>
      <c r="N33" s="20">
        <v>12172.107391592288</v>
      </c>
      <c r="O33" s="20">
        <v>11902.981912821855</v>
      </c>
      <c r="P33" s="21">
        <v>10225.993727473231</v>
      </c>
      <c r="Q33" s="24">
        <v>8879.5826471774926</v>
      </c>
      <c r="R33" s="23">
        <v>7310.7564549656108</v>
      </c>
      <c r="S33" s="22">
        <v>28795.62539702416</v>
      </c>
      <c r="T33" s="24">
        <v>29290.374876831378</v>
      </c>
      <c r="U33" s="24">
        <v>27548.902688426879</v>
      </c>
      <c r="V33" s="24">
        <v>22227.161459102655</v>
      </c>
      <c r="W33" s="23">
        <v>15891.331766150295</v>
      </c>
    </row>
    <row r="34" spans="2:23">
      <c r="B34" s="25"/>
      <c r="C34" s="26" t="s">
        <v>41</v>
      </c>
      <c r="D34" s="25" t="s">
        <v>40</v>
      </c>
      <c r="E34" s="10" t="s">
        <v>22</v>
      </c>
      <c r="F34" s="51"/>
      <c r="G34" s="27"/>
      <c r="H34" s="27"/>
      <c r="I34" s="27"/>
      <c r="J34" s="27"/>
      <c r="K34" s="27"/>
      <c r="L34" s="28"/>
      <c r="M34" s="28">
        <v>0</v>
      </c>
      <c r="N34" s="28">
        <v>3931.6373767176738</v>
      </c>
      <c r="O34" s="28">
        <v>820.1093433333333</v>
      </c>
      <c r="P34" s="29">
        <v>1334.3288029317127</v>
      </c>
      <c r="Q34" s="32">
        <v>825.09922000000006</v>
      </c>
      <c r="R34" s="31">
        <v>28364.22270093</v>
      </c>
      <c r="S34" s="30">
        <v>8398.2539419351087</v>
      </c>
      <c r="T34" s="32">
        <v>6963.476373804574</v>
      </c>
      <c r="U34" s="32">
        <v>4151.5759731010239</v>
      </c>
      <c r="V34" s="32">
        <v>3640.2547515904371</v>
      </c>
      <c r="W34" s="31">
        <v>3241.9568429364394</v>
      </c>
    </row>
    <row r="35" spans="2:23">
      <c r="B35" s="25"/>
      <c r="C35" s="26" t="s">
        <v>42</v>
      </c>
      <c r="D35" s="25" t="s">
        <v>40</v>
      </c>
      <c r="E35" s="10" t="s">
        <v>22</v>
      </c>
      <c r="F35" s="51"/>
      <c r="G35" s="27"/>
      <c r="H35" s="27"/>
      <c r="I35" s="27"/>
      <c r="J35" s="27"/>
      <c r="K35" s="27"/>
      <c r="L35" s="28"/>
      <c r="M35" s="28">
        <v>0</v>
      </c>
      <c r="N35" s="28">
        <v>0</v>
      </c>
      <c r="O35" s="28">
        <v>0</v>
      </c>
      <c r="P35" s="29">
        <v>0</v>
      </c>
      <c r="Q35" s="32">
        <v>0</v>
      </c>
      <c r="R35" s="31">
        <v>0</v>
      </c>
      <c r="S35" s="30">
        <v>0</v>
      </c>
      <c r="T35" s="32">
        <v>0</v>
      </c>
      <c r="U35" s="32">
        <v>0</v>
      </c>
      <c r="V35" s="32">
        <v>0</v>
      </c>
      <c r="W35" s="31">
        <v>0</v>
      </c>
    </row>
    <row r="36" spans="2:23">
      <c r="B36" s="25"/>
      <c r="C36" s="26" t="s">
        <v>49</v>
      </c>
      <c r="D36" s="25" t="s">
        <v>40</v>
      </c>
      <c r="E36" s="10" t="s">
        <v>22</v>
      </c>
      <c r="F36" s="51"/>
      <c r="G36" s="27"/>
      <c r="H36" s="27"/>
      <c r="I36" s="27"/>
      <c r="J36" s="27"/>
      <c r="K36" s="27"/>
      <c r="L36" s="28"/>
      <c r="M36" s="28">
        <v>0</v>
      </c>
      <c r="N36" s="28">
        <v>0</v>
      </c>
      <c r="O36" s="28">
        <v>0</v>
      </c>
      <c r="P36" s="29">
        <v>0</v>
      </c>
      <c r="Q36" s="32">
        <v>0</v>
      </c>
      <c r="R36" s="31">
        <v>0</v>
      </c>
      <c r="S36" s="30">
        <v>0</v>
      </c>
      <c r="T36" s="32">
        <v>0</v>
      </c>
      <c r="U36" s="32">
        <v>0</v>
      </c>
      <c r="V36" s="32">
        <v>0</v>
      </c>
      <c r="W36" s="31">
        <v>0</v>
      </c>
    </row>
    <row r="37" spans="2:23">
      <c r="B37" s="25"/>
      <c r="C37" s="10" t="s">
        <v>44</v>
      </c>
      <c r="D37" s="25" t="s">
        <v>40</v>
      </c>
      <c r="E37" s="10" t="s">
        <v>22</v>
      </c>
      <c r="F37" s="51"/>
      <c r="G37" s="27"/>
      <c r="H37" s="27"/>
      <c r="I37" s="27"/>
      <c r="J37" s="27"/>
      <c r="K37" s="27"/>
      <c r="L37" s="28"/>
      <c r="M37" s="28">
        <v>0</v>
      </c>
      <c r="N37" s="28">
        <v>4200.7628554881085</v>
      </c>
      <c r="O37" s="28">
        <v>2497.0975286819562</v>
      </c>
      <c r="P37" s="29">
        <v>2680.7398832274521</v>
      </c>
      <c r="Q37" s="32">
        <v>2393.9254122118805</v>
      </c>
      <c r="R37" s="31">
        <v>7326.4014024621811</v>
      </c>
      <c r="S37" s="30">
        <v>7903.5044621278912</v>
      </c>
      <c r="T37" s="32">
        <v>8704.948562209076</v>
      </c>
      <c r="U37" s="32">
        <v>9473.3172024252472</v>
      </c>
      <c r="V37" s="32">
        <v>9976.0844445427938</v>
      </c>
      <c r="W37" s="31">
        <v>5071.893268392254</v>
      </c>
    </row>
    <row r="38" spans="2:23">
      <c r="B38" s="25"/>
      <c r="C38" s="26" t="s">
        <v>45</v>
      </c>
      <c r="D38" s="25" t="s">
        <v>40</v>
      </c>
      <c r="E38" s="10" t="s">
        <v>22</v>
      </c>
      <c r="F38" s="51"/>
      <c r="G38" s="27"/>
      <c r="H38" s="27"/>
      <c r="I38" s="27"/>
      <c r="J38" s="27"/>
      <c r="K38" s="27"/>
      <c r="L38" s="28"/>
      <c r="M38" s="28">
        <v>12172.107391592288</v>
      </c>
      <c r="N38" s="28">
        <v>11902.981912821855</v>
      </c>
      <c r="O38" s="28">
        <v>10225.993727473231</v>
      </c>
      <c r="P38" s="29">
        <v>8879.5826471774926</v>
      </c>
      <c r="Q38" s="32">
        <v>7310.7564549656108</v>
      </c>
      <c r="R38" s="31">
        <v>28348.577753433427</v>
      </c>
      <c r="S38" s="30">
        <v>29290.374876831378</v>
      </c>
      <c r="T38" s="32">
        <v>27548.902688426879</v>
      </c>
      <c r="U38" s="32">
        <v>22227.161459102655</v>
      </c>
      <c r="V38" s="32">
        <v>15891.331766150295</v>
      </c>
      <c r="W38" s="31">
        <v>14061.395340694482</v>
      </c>
    </row>
    <row r="39" spans="2:23">
      <c r="B39" s="33"/>
      <c r="C39" s="35" t="s">
        <v>46</v>
      </c>
      <c r="D39" s="33" t="s">
        <v>40</v>
      </c>
      <c r="E39" s="34" t="s">
        <v>22</v>
      </c>
      <c r="F39" s="52"/>
      <c r="G39" s="36"/>
      <c r="H39" s="36"/>
      <c r="I39" s="36"/>
      <c r="J39" s="36"/>
      <c r="K39" s="36"/>
      <c r="L39" s="37"/>
      <c r="M39" s="37">
        <v>0</v>
      </c>
      <c r="N39" s="37">
        <v>12037.544652207071</v>
      </c>
      <c r="O39" s="37">
        <v>11064.487820147542</v>
      </c>
      <c r="P39" s="38">
        <v>9552.7881873253609</v>
      </c>
      <c r="Q39" s="41">
        <v>8095.1695510715508</v>
      </c>
      <c r="R39" s="40">
        <v>17829.667104199521</v>
      </c>
      <c r="S39" s="39">
        <v>29043.000136927767</v>
      </c>
      <c r="T39" s="41">
        <v>28419.638782629125</v>
      </c>
      <c r="U39" s="41">
        <v>24888.032073764763</v>
      </c>
      <c r="V39" s="41">
        <v>19059.246612626474</v>
      </c>
      <c r="W39" s="40">
        <v>14976.36355342239</v>
      </c>
    </row>
    <row r="40" spans="2:23">
      <c r="B40" s="42"/>
      <c r="C40" s="43"/>
      <c r="D40" s="44"/>
      <c r="E40" s="44"/>
      <c r="F40" s="45"/>
      <c r="G40" s="46"/>
      <c r="H40" s="46"/>
      <c r="I40" s="46"/>
      <c r="J40" s="46"/>
      <c r="K40" s="46"/>
      <c r="L40" s="47"/>
      <c r="M40" s="47"/>
      <c r="N40" s="47"/>
      <c r="O40" s="47"/>
      <c r="P40" s="48"/>
      <c r="Q40" s="49"/>
      <c r="R40" s="48"/>
      <c r="S40" s="49"/>
      <c r="T40" s="47"/>
      <c r="U40" s="47"/>
      <c r="V40" s="47"/>
      <c r="W40" s="48"/>
    </row>
    <row r="41" spans="2:23">
      <c r="B41" s="15" t="s">
        <v>50</v>
      </c>
      <c r="C41" s="18" t="s">
        <v>39</v>
      </c>
      <c r="D41" s="17" t="s">
        <v>40</v>
      </c>
      <c r="E41" s="18" t="s">
        <v>22</v>
      </c>
      <c r="F41" s="50"/>
      <c r="G41" s="19"/>
      <c r="H41" s="19"/>
      <c r="I41" s="19"/>
      <c r="J41" s="19"/>
      <c r="K41" s="19"/>
      <c r="L41" s="20"/>
      <c r="M41" s="20"/>
      <c r="N41" s="20">
        <v>2408</v>
      </c>
      <c r="O41" s="20">
        <v>4166.7631199650732</v>
      </c>
      <c r="P41" s="21">
        <v>6817.2840750240912</v>
      </c>
      <c r="Q41" s="22">
        <v>8641.7504318240899</v>
      </c>
      <c r="R41" s="23">
        <v>10005.953973642272</v>
      </c>
      <c r="S41" s="22">
        <v>12480.189982867885</v>
      </c>
      <c r="T41" s="24">
        <v>16635.220752098652</v>
      </c>
      <c r="U41" s="24">
        <v>19633.443829021729</v>
      </c>
      <c r="V41" s="24">
        <v>21221.066905944808</v>
      </c>
      <c r="W41" s="23">
        <v>15393.789982867886</v>
      </c>
    </row>
    <row r="42" spans="2:23">
      <c r="B42" s="25"/>
      <c r="C42" s="26" t="s">
        <v>41</v>
      </c>
      <c r="D42" s="25" t="s">
        <v>40</v>
      </c>
      <c r="E42" s="26" t="s">
        <v>22</v>
      </c>
      <c r="F42" s="51"/>
      <c r="G42" s="27"/>
      <c r="H42" s="27"/>
      <c r="I42" s="27"/>
      <c r="J42" s="27"/>
      <c r="K42" s="27"/>
      <c r="L42" s="28"/>
      <c r="M42" s="28"/>
      <c r="N42" s="28">
        <v>1758.7631199650732</v>
      </c>
      <c r="O42" s="28">
        <v>2650.520955059018</v>
      </c>
      <c r="P42" s="29">
        <v>1824.4663567999996</v>
      </c>
      <c r="Q42" s="30">
        <v>1364.203541818182</v>
      </c>
      <c r="R42" s="31">
        <v>3478.3346234349551</v>
      </c>
      <c r="S42" s="30">
        <v>5074.2615384615383</v>
      </c>
      <c r="T42" s="32">
        <v>3991.1461538461544</v>
      </c>
      <c r="U42" s="32">
        <v>3299.6846153846159</v>
      </c>
      <c r="V42" s="32">
        <v>2784.1153846153852</v>
      </c>
      <c r="W42" s="31">
        <v>2149.7307692307691</v>
      </c>
    </row>
    <row r="43" spans="2:23">
      <c r="B43" s="25"/>
      <c r="C43" s="26" t="s">
        <v>51</v>
      </c>
      <c r="D43" s="25" t="s">
        <v>40</v>
      </c>
      <c r="E43" s="26" t="s">
        <v>22</v>
      </c>
      <c r="F43" s="51"/>
      <c r="G43" s="27"/>
      <c r="H43" s="27"/>
      <c r="I43" s="27"/>
      <c r="J43" s="27"/>
      <c r="K43" s="27"/>
      <c r="L43" s="28"/>
      <c r="M43" s="28"/>
      <c r="N43" s="28">
        <v>0</v>
      </c>
      <c r="O43" s="28">
        <v>0</v>
      </c>
      <c r="P43" s="29">
        <v>0</v>
      </c>
      <c r="Q43" s="30">
        <v>0</v>
      </c>
      <c r="R43" s="31">
        <v>824.30899999999997</v>
      </c>
      <c r="S43" s="30">
        <v>919.23076923076917</v>
      </c>
      <c r="T43" s="32">
        <v>992.92307692307702</v>
      </c>
      <c r="U43" s="32">
        <v>1712.0615384615387</v>
      </c>
      <c r="V43" s="32">
        <v>8611.3923076923093</v>
      </c>
      <c r="W43" s="31">
        <v>9013.3538461538483</v>
      </c>
    </row>
    <row r="44" spans="2:23">
      <c r="B44" s="25"/>
      <c r="C44" s="26" t="s">
        <v>49</v>
      </c>
      <c r="D44" s="25" t="s">
        <v>40</v>
      </c>
      <c r="E44" s="26" t="s">
        <v>22</v>
      </c>
      <c r="F44" s="51"/>
      <c r="G44" s="27"/>
      <c r="H44" s="27"/>
      <c r="I44" s="27"/>
      <c r="J44" s="27"/>
      <c r="K44" s="27"/>
      <c r="L44" s="28"/>
      <c r="M44" s="28"/>
      <c r="N44" s="28">
        <v>0</v>
      </c>
      <c r="O44" s="28">
        <v>0</v>
      </c>
      <c r="P44" s="29">
        <v>0</v>
      </c>
      <c r="Q44" s="30">
        <v>0</v>
      </c>
      <c r="R44" s="31">
        <v>386.92464999999993</v>
      </c>
      <c r="S44" s="30">
        <v>0</v>
      </c>
      <c r="T44" s="32">
        <v>0</v>
      </c>
      <c r="U44" s="32">
        <v>0</v>
      </c>
      <c r="V44" s="32">
        <v>0</v>
      </c>
      <c r="W44" s="31">
        <v>0</v>
      </c>
    </row>
    <row r="45" spans="2:23">
      <c r="B45" s="25"/>
      <c r="C45" s="10" t="s">
        <v>44</v>
      </c>
      <c r="D45" s="25" t="s">
        <v>40</v>
      </c>
      <c r="E45" s="26" t="s">
        <v>22</v>
      </c>
      <c r="F45" s="51"/>
      <c r="G45" s="27"/>
      <c r="H45" s="27"/>
      <c r="I45" s="27"/>
      <c r="J45" s="27"/>
      <c r="K45" s="27"/>
      <c r="L45" s="28"/>
      <c r="M45" s="28"/>
      <c r="N45" s="28"/>
      <c r="O45" s="28"/>
      <c r="P45" s="29"/>
      <c r="Q45" s="30"/>
      <c r="R45" s="31"/>
      <c r="S45" s="30"/>
      <c r="T45" s="32"/>
      <c r="U45" s="32"/>
      <c r="V45" s="32"/>
      <c r="W45" s="31"/>
    </row>
    <row r="46" spans="2:23">
      <c r="B46" s="25"/>
      <c r="C46" s="26" t="s">
        <v>45</v>
      </c>
      <c r="D46" s="25" t="s">
        <v>40</v>
      </c>
      <c r="E46" s="26" t="s">
        <v>22</v>
      </c>
      <c r="F46" s="51"/>
      <c r="G46" s="27"/>
      <c r="H46" s="27"/>
      <c r="I46" s="27"/>
      <c r="J46" s="27"/>
      <c r="K46" s="27"/>
      <c r="L46" s="28"/>
      <c r="M46" s="28">
        <v>2408</v>
      </c>
      <c r="N46" s="28">
        <v>4166.7631199650732</v>
      </c>
      <c r="O46" s="28">
        <v>6817.2840750240912</v>
      </c>
      <c r="P46" s="29">
        <v>8641.7504318240899</v>
      </c>
      <c r="Q46" s="30">
        <v>10005.953973642272</v>
      </c>
      <c r="R46" s="31">
        <v>12273.054947077228</v>
      </c>
      <c r="S46" s="30">
        <v>16635.220752098652</v>
      </c>
      <c r="T46" s="32">
        <v>19633.443829021729</v>
      </c>
      <c r="U46" s="32">
        <v>21221.066905944808</v>
      </c>
      <c r="V46" s="32">
        <v>15393.789982867886</v>
      </c>
      <c r="W46" s="31">
        <v>8530.1669059448068</v>
      </c>
    </row>
    <row r="47" spans="2:23">
      <c r="B47" s="33"/>
      <c r="C47" s="26" t="s">
        <v>46</v>
      </c>
      <c r="D47" s="33" t="s">
        <v>40</v>
      </c>
      <c r="E47" s="35" t="s">
        <v>22</v>
      </c>
      <c r="F47" s="52"/>
      <c r="G47" s="36"/>
      <c r="H47" s="36"/>
      <c r="I47" s="36"/>
      <c r="J47" s="36"/>
      <c r="K47" s="36"/>
      <c r="L47" s="37"/>
      <c r="M47" s="37"/>
      <c r="N47" s="37">
        <v>3287.3815599825366</v>
      </c>
      <c r="O47" s="37">
        <v>5492.0235974945826</v>
      </c>
      <c r="P47" s="38">
        <v>7729.5172534240901</v>
      </c>
      <c r="Q47" s="30">
        <v>9323.8522027331819</v>
      </c>
      <c r="R47" s="31">
        <v>11139.504460359749</v>
      </c>
      <c r="S47" s="39">
        <v>14557.705367483268</v>
      </c>
      <c r="T47" s="41">
        <v>18134.332290560189</v>
      </c>
      <c r="U47" s="41">
        <v>20427.255367483267</v>
      </c>
      <c r="V47" s="41">
        <v>18307.428444406345</v>
      </c>
      <c r="W47" s="40">
        <v>11961.978444406346</v>
      </c>
    </row>
    <row r="48" spans="2:23">
      <c r="B48" s="25"/>
      <c r="C48" s="16"/>
      <c r="F48" s="57"/>
      <c r="G48" s="58"/>
      <c r="H48" s="58"/>
      <c r="I48" s="58"/>
      <c r="J48" s="58"/>
      <c r="K48" s="58"/>
      <c r="L48" s="59"/>
      <c r="M48" s="59"/>
      <c r="N48" s="59"/>
      <c r="O48" s="59"/>
      <c r="P48" s="59"/>
      <c r="Q48" s="60"/>
      <c r="R48" s="60"/>
      <c r="S48" s="59"/>
      <c r="T48" s="59"/>
      <c r="U48" s="59"/>
      <c r="V48" s="59"/>
      <c r="W48" s="61"/>
    </row>
  </sheetData>
  <mergeCells count="5">
    <mergeCell ref="B7:B8"/>
    <mergeCell ref="C7:C8"/>
    <mergeCell ref="F7:P7"/>
    <mergeCell ref="Q7:R7"/>
    <mergeCell ref="S7:W7"/>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
  <sheetViews>
    <sheetView showGridLines="0" workbookViewId="0">
      <selection activeCell="E14" sqref="E14"/>
    </sheetView>
  </sheetViews>
  <sheetFormatPr defaultColWidth="8.6640625" defaultRowHeight="14.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H27"/>
  <sheetViews>
    <sheetView showGridLines="0" zoomScale="80" zoomScaleNormal="80" workbookViewId="0"/>
  </sheetViews>
  <sheetFormatPr defaultColWidth="8.6640625" defaultRowHeight="14.25"/>
  <cols>
    <col min="1" max="1" width="58.6640625" customWidth="1"/>
    <col min="2" max="2" width="8.6640625" customWidth="1"/>
    <col min="3" max="3" width="10.6640625" customWidth="1"/>
    <col min="4" max="23" width="10.33203125" customWidth="1"/>
  </cols>
  <sheetData>
    <row r="1" spans="1:14" ht="18">
      <c r="A1" s="267" t="s">
        <v>277</v>
      </c>
      <c r="B1" s="268"/>
    </row>
    <row r="2" spans="1:14">
      <c r="B2" s="1" t="s">
        <v>14</v>
      </c>
      <c r="C2" s="228" t="s">
        <v>15</v>
      </c>
      <c r="D2" s="228" t="s">
        <v>16</v>
      </c>
      <c r="E2" s="228" t="s">
        <v>0</v>
      </c>
      <c r="F2" s="228" t="s">
        <v>1</v>
      </c>
      <c r="G2" s="228" t="s">
        <v>2</v>
      </c>
      <c r="H2" s="228" t="s">
        <v>3</v>
      </c>
      <c r="I2" s="228" t="s">
        <v>4</v>
      </c>
      <c r="J2" s="228"/>
      <c r="K2" s="228"/>
      <c r="L2" s="228"/>
      <c r="M2" s="228"/>
      <c r="N2" s="228"/>
    </row>
    <row r="3" spans="1:14">
      <c r="A3" t="s">
        <v>299</v>
      </c>
      <c r="B3" t="s">
        <v>13</v>
      </c>
      <c r="C3" s="232">
        <v>99.641000000000005</v>
      </c>
      <c r="D3" s="232">
        <v>99.897000000000006</v>
      </c>
      <c r="E3" s="232">
        <v>100.58199999999999</v>
      </c>
      <c r="F3" s="232">
        <v>103.226</v>
      </c>
      <c r="G3" s="232">
        <v>105.524</v>
      </c>
      <c r="H3" s="232">
        <v>107.639</v>
      </c>
      <c r="I3" s="232">
        <v>108.6</v>
      </c>
      <c r="J3" s="232"/>
      <c r="K3" s="232"/>
      <c r="L3" s="232"/>
      <c r="M3" s="232"/>
      <c r="N3" s="232"/>
    </row>
    <row r="4" spans="1:14">
      <c r="C4" s="232"/>
      <c r="D4" s="232"/>
      <c r="E4" s="232"/>
      <c r="F4" s="232"/>
      <c r="G4" s="232"/>
      <c r="H4" s="232"/>
      <c r="I4" s="232"/>
      <c r="J4" s="232"/>
      <c r="K4" s="232"/>
      <c r="L4" s="232"/>
      <c r="M4" s="232"/>
      <c r="N4" s="232"/>
    </row>
    <row r="5" spans="1:14">
      <c r="B5" s="1"/>
      <c r="C5" s="228" t="s">
        <v>35</v>
      </c>
      <c r="D5" s="228" t="s">
        <v>36</v>
      </c>
      <c r="E5" s="228" t="s">
        <v>37</v>
      </c>
      <c r="F5" s="228" t="s">
        <v>15</v>
      </c>
      <c r="G5" s="228" t="s">
        <v>16</v>
      </c>
      <c r="H5" s="228" t="s">
        <v>0</v>
      </c>
      <c r="I5" s="228" t="s">
        <v>1</v>
      </c>
      <c r="J5" s="228" t="s">
        <v>2</v>
      </c>
      <c r="K5" s="228" t="s">
        <v>3</v>
      </c>
      <c r="L5" s="228" t="s">
        <v>4</v>
      </c>
      <c r="M5" s="228"/>
      <c r="N5" s="228"/>
    </row>
    <row r="6" spans="1:14">
      <c r="A6" t="s">
        <v>256</v>
      </c>
      <c r="B6" t="s">
        <v>13</v>
      </c>
      <c r="C6">
        <v>234.4</v>
      </c>
      <c r="D6">
        <v>242.5</v>
      </c>
      <c r="E6">
        <v>249.5</v>
      </c>
      <c r="F6" s="232">
        <v>255.7</v>
      </c>
      <c r="G6" s="232">
        <v>258</v>
      </c>
      <c r="H6" s="232">
        <v>261.39999999999998</v>
      </c>
      <c r="I6" s="232">
        <v>270.60000000000002</v>
      </c>
      <c r="J6" s="232">
        <v>279.7</v>
      </c>
      <c r="K6" s="232">
        <v>288.2</v>
      </c>
      <c r="L6" s="232">
        <v>292.60000000000002</v>
      </c>
      <c r="M6" s="232"/>
      <c r="N6" s="232"/>
    </row>
    <row r="8" spans="1:14">
      <c r="A8" s="1" t="s">
        <v>424</v>
      </c>
      <c r="C8" s="228" t="s">
        <v>5</v>
      </c>
      <c r="D8" s="228" t="s">
        <v>6</v>
      </c>
      <c r="E8" s="228" t="s">
        <v>7</v>
      </c>
      <c r="F8" s="228" t="s">
        <v>8</v>
      </c>
      <c r="G8" s="228" t="s">
        <v>9</v>
      </c>
      <c r="H8" s="228" t="s">
        <v>237</v>
      </c>
    </row>
    <row r="9" spans="1:14">
      <c r="A9" t="s">
        <v>426</v>
      </c>
      <c r="B9" t="s">
        <v>12</v>
      </c>
      <c r="C9" s="2">
        <v>1.3536834766858305E-2</v>
      </c>
      <c r="D9" s="2">
        <v>1.9239273649797325E-2</v>
      </c>
      <c r="E9" s="2">
        <v>2.0691206388117535E-2</v>
      </c>
      <c r="F9" s="2">
        <v>2.0390606350913176E-2</v>
      </c>
      <c r="G9" s="2">
        <v>2.0171591099533686E-2</v>
      </c>
      <c r="H9" s="4"/>
      <c r="I9" s="4"/>
    </row>
    <row r="10" spans="1:14">
      <c r="A10" t="s">
        <v>425</v>
      </c>
      <c r="B10" s="299" t="s">
        <v>12</v>
      </c>
      <c r="C10" s="2">
        <v>1.3999999999999999E-2</v>
      </c>
      <c r="D10" s="2">
        <v>1.8000000000000002E-2</v>
      </c>
      <c r="E10" s="2">
        <v>0.02</v>
      </c>
      <c r="F10" s="2"/>
      <c r="G10" s="2"/>
    </row>
    <row r="11" spans="1:14">
      <c r="A11" t="s">
        <v>427</v>
      </c>
      <c r="B11" s="299" t="s">
        <v>12</v>
      </c>
      <c r="C11" s="2">
        <v>1.1000000000000001E-2</v>
      </c>
      <c r="D11" s="2">
        <v>1.8000000000000002E-2</v>
      </c>
      <c r="E11" s="2"/>
      <c r="F11" s="2"/>
      <c r="G11" s="2"/>
    </row>
    <row r="12" spans="1:14">
      <c r="B12" s="299"/>
      <c r="C12" s="2"/>
      <c r="D12" s="2"/>
      <c r="E12" s="2"/>
      <c r="F12" s="2"/>
      <c r="G12" s="2"/>
    </row>
    <row r="13" spans="1:14" s="299" customFormat="1">
      <c r="A13" s="299" t="s">
        <v>237</v>
      </c>
      <c r="B13" s="299" t="s">
        <v>12</v>
      </c>
      <c r="C13" s="2">
        <v>1.2845611588952768E-2</v>
      </c>
      <c r="D13" s="2">
        <v>1.8413091216599106E-2</v>
      </c>
      <c r="E13" s="2">
        <v>2.0345603194058769E-2</v>
      </c>
      <c r="F13" s="2">
        <v>2.0390606350913176E-2</v>
      </c>
      <c r="G13" s="2">
        <v>2.0171591099533686E-2</v>
      </c>
      <c r="H13" s="2">
        <f>AVERAGE(C13:G13)</f>
        <v>1.8433300690011502E-2</v>
      </c>
    </row>
    <row r="15" spans="1:14">
      <c r="A15" s="1" t="s">
        <v>428</v>
      </c>
    </row>
    <row r="16" spans="1:14">
      <c r="A16" t="s">
        <v>799</v>
      </c>
      <c r="B16" t="s">
        <v>12</v>
      </c>
      <c r="C16" s="2">
        <v>0.02</v>
      </c>
    </row>
    <row r="20" spans="3:34">
      <c r="D20" s="299"/>
      <c r="E20" s="299"/>
      <c r="F20" s="299"/>
      <c r="G20" s="299"/>
    </row>
    <row r="21" spans="3:34">
      <c r="C21" s="299"/>
      <c r="D21" s="299"/>
      <c r="E21" s="299"/>
      <c r="F21" s="299"/>
      <c r="G21" s="299"/>
    </row>
    <row r="22" spans="3:34">
      <c r="C22" s="299"/>
      <c r="D22" s="299"/>
      <c r="E22" s="299"/>
      <c r="F22" s="299"/>
      <c r="G22" s="299"/>
    </row>
    <row r="23" spans="3:34">
      <c r="C23" s="299"/>
      <c r="D23" s="299"/>
      <c r="E23" s="299"/>
      <c r="F23" s="299"/>
      <c r="G23" s="299"/>
    </row>
    <row r="24" spans="3:34">
      <c r="C24" s="299"/>
      <c r="D24" s="299"/>
      <c r="E24" s="299"/>
      <c r="F24" s="299"/>
      <c r="G24" s="299"/>
    </row>
    <row r="27" spans="3:34">
      <c r="AA27" s="222"/>
      <c r="AB27" s="222"/>
      <c r="AC27" s="222"/>
      <c r="AD27" s="222"/>
      <c r="AE27" s="222"/>
      <c r="AF27" s="222"/>
      <c r="AG27" s="222"/>
      <c r="AH27" s="222"/>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Z117"/>
  <sheetViews>
    <sheetView showGridLines="0" topLeftCell="A74" zoomScale="80" zoomScaleNormal="80" workbookViewId="0"/>
  </sheetViews>
  <sheetFormatPr defaultColWidth="8.6640625" defaultRowHeight="14.25"/>
  <cols>
    <col min="1" max="1" width="62" customWidth="1"/>
    <col min="3" max="3" width="11.6640625" customWidth="1"/>
    <col min="4" max="23" width="11.46484375" customWidth="1"/>
  </cols>
  <sheetData>
    <row r="1" spans="1:26" ht="21">
      <c r="A1" s="315" t="s">
        <v>476</v>
      </c>
      <c r="B1" s="267"/>
    </row>
    <row r="3" spans="1:26" ht="18">
      <c r="A3" s="267" t="s">
        <v>339</v>
      </c>
      <c r="B3" s="268"/>
    </row>
    <row r="4" spans="1:26">
      <c r="B4" s="1" t="s">
        <v>10</v>
      </c>
      <c r="C4" s="1" t="s">
        <v>11</v>
      </c>
    </row>
    <row r="5" spans="1:26">
      <c r="A5" s="1" t="s">
        <v>349</v>
      </c>
      <c r="B5" s="63" t="s">
        <v>40</v>
      </c>
      <c r="C5" s="222" t="s">
        <v>218</v>
      </c>
      <c r="D5" s="257">
        <v>16552.87475049901</v>
      </c>
      <c r="X5" s="222"/>
      <c r="Y5" s="222"/>
      <c r="Z5" s="222"/>
    </row>
    <row r="7" spans="1:26">
      <c r="C7" s="270" t="s">
        <v>290</v>
      </c>
      <c r="D7" s="229">
        <v>39387</v>
      </c>
      <c r="E7" s="229">
        <v>39539</v>
      </c>
      <c r="F7" s="229">
        <v>39722</v>
      </c>
      <c r="G7" s="229">
        <v>40087</v>
      </c>
      <c r="H7" s="229">
        <v>40269</v>
      </c>
      <c r="I7" s="229">
        <v>40452</v>
      </c>
      <c r="J7" s="229">
        <v>40817</v>
      </c>
      <c r="K7" s="229">
        <v>41183</v>
      </c>
      <c r="L7" s="229">
        <v>41548</v>
      </c>
      <c r="M7" s="229">
        <v>41913</v>
      </c>
      <c r="N7" s="229">
        <v>42278</v>
      </c>
      <c r="O7" s="229">
        <v>42644</v>
      </c>
      <c r="P7" s="229">
        <v>43009</v>
      </c>
      <c r="Q7" s="229">
        <v>43374</v>
      </c>
      <c r="R7" s="229">
        <v>43739</v>
      </c>
    </row>
    <row r="8" spans="1:26">
      <c r="C8" s="270" t="s">
        <v>291</v>
      </c>
      <c r="D8" s="229">
        <v>39538</v>
      </c>
      <c r="E8" s="229">
        <v>39721</v>
      </c>
      <c r="F8" s="229">
        <v>40086</v>
      </c>
      <c r="G8" s="229">
        <v>40268</v>
      </c>
      <c r="H8" s="229">
        <v>40451</v>
      </c>
      <c r="I8" s="229">
        <v>40816</v>
      </c>
      <c r="J8" s="229">
        <v>41182</v>
      </c>
      <c r="K8" s="229">
        <v>41547</v>
      </c>
      <c r="L8" s="229">
        <v>41912</v>
      </c>
      <c r="M8" s="229">
        <v>42277</v>
      </c>
      <c r="N8" s="229">
        <v>42643</v>
      </c>
      <c r="O8" s="229">
        <v>43008</v>
      </c>
      <c r="P8" s="229">
        <v>43373</v>
      </c>
      <c r="Q8" s="229">
        <v>43738</v>
      </c>
      <c r="R8" s="229">
        <v>44104</v>
      </c>
    </row>
    <row r="9" spans="1:26">
      <c r="B9" s="1" t="s">
        <v>10</v>
      </c>
      <c r="C9" s="1" t="s">
        <v>11</v>
      </c>
    </row>
    <row r="10" spans="1:26">
      <c r="A10" s="1" t="s">
        <v>292</v>
      </c>
      <c r="B10" s="1"/>
      <c r="C10" s="1"/>
    </row>
    <row r="11" spans="1:26">
      <c r="A11" t="s">
        <v>219</v>
      </c>
      <c r="B11" s="63" t="s">
        <v>40</v>
      </c>
      <c r="C11" s="222" t="s">
        <v>218</v>
      </c>
      <c r="D11" s="66">
        <v>2116.7832446290081</v>
      </c>
      <c r="E11" s="66">
        <v>1262.6801421709006</v>
      </c>
      <c r="F11" s="66">
        <v>2346.1860374137109</v>
      </c>
      <c r="G11" s="66">
        <v>1466.300982890592</v>
      </c>
      <c r="H11" s="66"/>
      <c r="I11" s="66"/>
      <c r="J11" s="66"/>
      <c r="K11" s="66"/>
      <c r="L11" s="66"/>
      <c r="M11" s="66"/>
      <c r="N11" s="66"/>
      <c r="O11" s="66"/>
      <c r="P11" s="66"/>
      <c r="Q11" s="66"/>
      <c r="R11" s="66"/>
    </row>
    <row r="12" spans="1:26">
      <c r="A12" t="s">
        <v>293</v>
      </c>
      <c r="B12" s="63" t="s">
        <v>40</v>
      </c>
      <c r="C12" s="222" t="s">
        <v>218</v>
      </c>
      <c r="D12" s="66"/>
      <c r="E12" s="66"/>
      <c r="F12" s="66">
        <v>1308.4658697862565</v>
      </c>
      <c r="G12" s="66">
        <v>1568.8724418280337</v>
      </c>
      <c r="H12" s="66"/>
      <c r="I12" s="66"/>
      <c r="J12" s="66"/>
      <c r="K12" s="66"/>
      <c r="L12" s="66"/>
      <c r="M12" s="66"/>
      <c r="N12" s="66"/>
      <c r="O12" s="66"/>
      <c r="P12" s="66"/>
      <c r="Q12" s="66"/>
      <c r="R12" s="66"/>
    </row>
    <row r="13" spans="1:26">
      <c r="A13" t="s">
        <v>279</v>
      </c>
      <c r="B13" s="63" t="s">
        <v>40</v>
      </c>
      <c r="C13" s="222" t="s">
        <v>218</v>
      </c>
      <c r="D13" s="66"/>
      <c r="E13" s="66"/>
      <c r="F13" s="66"/>
      <c r="G13" s="66"/>
      <c r="H13" s="66">
        <v>1047.8191202872531</v>
      </c>
      <c r="I13" s="66">
        <v>1013.3891382405744</v>
      </c>
      <c r="J13" s="66">
        <v>1365.722621184919</v>
      </c>
      <c r="K13" s="66">
        <v>281.17818671454216</v>
      </c>
      <c r="L13" s="66">
        <v>1589.5175044883301</v>
      </c>
      <c r="M13" s="66">
        <v>418.89811490125669</v>
      </c>
      <c r="N13" s="66"/>
      <c r="O13" s="66"/>
      <c r="P13" s="66"/>
      <c r="Q13" s="66"/>
      <c r="R13" s="66"/>
    </row>
    <row r="14" spans="1:26">
      <c r="A14" t="s">
        <v>221</v>
      </c>
      <c r="B14" s="63" t="s">
        <v>40</v>
      </c>
      <c r="C14" s="222" t="s">
        <v>218</v>
      </c>
      <c r="D14" s="66">
        <v>687.15121839654023</v>
      </c>
      <c r="E14" s="66">
        <v>827.64373752494998</v>
      </c>
      <c r="F14" s="66">
        <v>1656.5634231536922</v>
      </c>
      <c r="G14" s="66">
        <v>828.28171157684608</v>
      </c>
      <c r="H14" s="66">
        <v>1034.5546719061877</v>
      </c>
      <c r="I14" s="66">
        <v>2069.1093438123753</v>
      </c>
      <c r="J14" s="66">
        <v>2069.1093438123753</v>
      </c>
      <c r="K14" s="66">
        <v>2069.1093438123753</v>
      </c>
      <c r="L14" s="66">
        <v>2069.1093438123753</v>
      </c>
      <c r="M14" s="66">
        <v>2069.1093438123753</v>
      </c>
      <c r="N14" s="66"/>
      <c r="O14" s="66"/>
      <c r="P14" s="66"/>
      <c r="Q14" s="66"/>
      <c r="R14" s="66"/>
    </row>
    <row r="15" spans="1:26">
      <c r="A15" t="s">
        <v>222</v>
      </c>
      <c r="B15" s="63" t="s">
        <v>40</v>
      </c>
      <c r="C15" s="222" t="s">
        <v>218</v>
      </c>
      <c r="D15" s="66"/>
      <c r="E15" s="66"/>
      <c r="F15" s="66">
        <v>71.046407396004938</v>
      </c>
      <c r="G15" s="66">
        <v>65.423293489312812</v>
      </c>
      <c r="H15" s="66"/>
      <c r="I15" s="66"/>
      <c r="J15" s="66"/>
      <c r="K15" s="66"/>
      <c r="L15" s="66"/>
      <c r="M15" s="66"/>
      <c r="N15" s="66"/>
      <c r="O15" s="66"/>
      <c r="P15" s="66"/>
      <c r="Q15" s="66"/>
      <c r="R15" s="66"/>
    </row>
    <row r="16" spans="1:26">
      <c r="A16" t="s">
        <v>223</v>
      </c>
      <c r="B16" s="63" t="s">
        <v>40</v>
      </c>
      <c r="C16" s="222" t="s">
        <v>218</v>
      </c>
      <c r="D16" s="66"/>
      <c r="E16" s="66"/>
      <c r="F16" s="66"/>
      <c r="G16" s="66">
        <v>12.377105725354388</v>
      </c>
      <c r="H16" s="66"/>
      <c r="I16" s="66"/>
      <c r="J16" s="66"/>
      <c r="K16" s="66"/>
      <c r="L16" s="66"/>
      <c r="M16" s="66"/>
      <c r="N16" s="66"/>
      <c r="O16" s="66"/>
      <c r="P16" s="66"/>
      <c r="Q16" s="66"/>
      <c r="R16" s="66"/>
    </row>
    <row r="17" spans="1:18">
      <c r="B17" s="63"/>
      <c r="C17" s="222"/>
      <c r="D17" s="66"/>
      <c r="E17" s="66"/>
      <c r="F17" s="66"/>
      <c r="G17" s="66"/>
      <c r="H17" s="66"/>
      <c r="I17" s="66"/>
      <c r="J17" s="66"/>
      <c r="K17" s="66"/>
      <c r="L17" s="66"/>
      <c r="M17" s="66"/>
      <c r="N17" s="66"/>
      <c r="O17" s="66"/>
      <c r="P17" s="66"/>
      <c r="Q17" s="66"/>
      <c r="R17" s="66"/>
    </row>
    <row r="18" spans="1:18">
      <c r="A18" s="1" t="s">
        <v>294</v>
      </c>
      <c r="C18" s="222"/>
      <c r="D18" s="5"/>
      <c r="E18" s="5"/>
      <c r="F18" s="5"/>
      <c r="G18" s="5"/>
      <c r="H18" s="5"/>
      <c r="I18" s="5"/>
      <c r="J18" s="5"/>
      <c r="K18" s="5"/>
      <c r="L18" s="5"/>
      <c r="M18" s="5"/>
      <c r="N18" s="5"/>
      <c r="O18" s="5"/>
      <c r="P18" s="5"/>
      <c r="Q18" s="5"/>
      <c r="R18" s="5"/>
    </row>
    <row r="19" spans="1:18">
      <c r="A19" t="s">
        <v>224</v>
      </c>
      <c r="B19" s="63" t="s">
        <v>40</v>
      </c>
      <c r="C19" s="222" t="s">
        <v>218</v>
      </c>
      <c r="D19" s="66"/>
      <c r="E19" s="66"/>
      <c r="F19" s="66"/>
      <c r="G19" s="66"/>
      <c r="H19" s="66"/>
      <c r="I19" s="66"/>
      <c r="J19" s="66"/>
      <c r="K19" s="66"/>
      <c r="L19" s="66"/>
      <c r="M19" s="66"/>
      <c r="N19" s="66">
        <v>1408.5</v>
      </c>
      <c r="O19" s="66">
        <v>1304.1000000000001</v>
      </c>
      <c r="P19" s="66">
        <v>1035</v>
      </c>
      <c r="Q19" s="66">
        <v>1369.8</v>
      </c>
      <c r="R19" s="66">
        <v>1717.1999999999998</v>
      </c>
    </row>
    <row r="20" spans="1:18">
      <c r="A20" t="s">
        <v>282</v>
      </c>
      <c r="B20" s="63" t="s">
        <v>40</v>
      </c>
      <c r="C20" s="222" t="s">
        <v>218</v>
      </c>
      <c r="D20" s="66"/>
      <c r="E20" s="66"/>
      <c r="F20" s="66"/>
      <c r="G20" s="66"/>
      <c r="H20" s="66"/>
      <c r="I20" s="66"/>
      <c r="J20" s="66"/>
      <c r="K20" s="66"/>
      <c r="L20" s="66"/>
      <c r="M20" s="66"/>
      <c r="N20" s="66">
        <v>3999.2616251784443</v>
      </c>
      <c r="O20" s="66">
        <v>1762.9726765238149</v>
      </c>
      <c r="P20" s="66">
        <v>1363.870779847397</v>
      </c>
      <c r="Q20" s="66">
        <v>1312.7862152154398</v>
      </c>
      <c r="R20" s="66">
        <v>1272.6674596050275</v>
      </c>
    </row>
    <row r="22" spans="1:18" ht="18">
      <c r="A22" s="267" t="s">
        <v>340</v>
      </c>
      <c r="B22" s="268"/>
    </row>
    <row r="23" spans="1:18">
      <c r="A23" s="1"/>
      <c r="B23" s="1" t="s">
        <v>10</v>
      </c>
      <c r="C23" s="1" t="s">
        <v>11</v>
      </c>
    </row>
    <row r="24" spans="1:18">
      <c r="A24" s="1" t="s">
        <v>350</v>
      </c>
      <c r="B24" s="63" t="s">
        <v>40</v>
      </c>
      <c r="C24" s="222" t="s">
        <v>218</v>
      </c>
      <c r="D24" s="231">
        <v>0</v>
      </c>
    </row>
    <row r="25" spans="1:18">
      <c r="A25" s="1"/>
    </row>
    <row r="26" spans="1:18">
      <c r="C26" s="270" t="s">
        <v>290</v>
      </c>
      <c r="D26" s="229">
        <v>39387</v>
      </c>
      <c r="E26" s="229">
        <v>39539</v>
      </c>
      <c r="F26" s="229">
        <v>39722</v>
      </c>
      <c r="G26" s="229">
        <v>40087</v>
      </c>
      <c r="H26" s="229">
        <v>40269</v>
      </c>
      <c r="I26" s="229">
        <v>40452</v>
      </c>
      <c r="J26" s="229">
        <v>40817</v>
      </c>
      <c r="K26" s="229">
        <v>41183</v>
      </c>
      <c r="L26" s="229">
        <v>41548</v>
      </c>
      <c r="M26" s="229">
        <v>41913</v>
      </c>
      <c r="N26" s="229">
        <v>42278</v>
      </c>
      <c r="O26" s="229">
        <v>42644</v>
      </c>
      <c r="P26" s="229">
        <v>43009</v>
      </c>
      <c r="Q26" s="229">
        <v>43374</v>
      </c>
      <c r="R26" s="229">
        <v>43739</v>
      </c>
    </row>
    <row r="27" spans="1:18">
      <c r="C27" s="270" t="s">
        <v>291</v>
      </c>
      <c r="D27" s="229">
        <v>39538</v>
      </c>
      <c r="E27" s="229">
        <v>39721</v>
      </c>
      <c r="F27" s="229">
        <v>40086</v>
      </c>
      <c r="G27" s="229">
        <v>40268</v>
      </c>
      <c r="H27" s="229">
        <v>40451</v>
      </c>
      <c r="I27" s="229">
        <v>40816</v>
      </c>
      <c r="J27" s="229">
        <v>41182</v>
      </c>
      <c r="K27" s="229">
        <v>41547</v>
      </c>
      <c r="L27" s="229">
        <v>41912</v>
      </c>
      <c r="M27" s="229">
        <v>42277</v>
      </c>
      <c r="N27" s="229">
        <v>42643</v>
      </c>
      <c r="O27" s="229">
        <v>43008</v>
      </c>
      <c r="P27" s="229">
        <v>43373</v>
      </c>
      <c r="Q27" s="229">
        <v>43738</v>
      </c>
      <c r="R27" s="229">
        <v>44104</v>
      </c>
    </row>
    <row r="28" spans="1:18">
      <c r="B28" s="1" t="s">
        <v>10</v>
      </c>
      <c r="C28" s="1" t="s">
        <v>11</v>
      </c>
      <c r="D28" s="5"/>
      <c r="E28" s="5"/>
      <c r="F28" s="5"/>
      <c r="G28" s="5"/>
      <c r="H28" s="5"/>
      <c r="I28" s="5"/>
      <c r="J28" s="5"/>
      <c r="K28" s="5"/>
      <c r="L28" s="5"/>
      <c r="M28" s="5"/>
      <c r="N28" s="5"/>
      <c r="O28" s="5"/>
      <c r="P28" s="5"/>
      <c r="Q28" s="5"/>
      <c r="R28" s="5"/>
    </row>
    <row r="29" spans="1:18">
      <c r="A29" s="1" t="s">
        <v>292</v>
      </c>
      <c r="B29" s="1"/>
      <c r="C29" s="1"/>
      <c r="D29" s="5"/>
      <c r="E29" s="5"/>
      <c r="F29" s="5"/>
      <c r="G29" s="5"/>
      <c r="H29" s="5"/>
      <c r="I29" s="5"/>
      <c r="J29" s="5"/>
      <c r="K29" s="5"/>
      <c r="L29" s="5"/>
      <c r="M29" s="5"/>
      <c r="N29" s="5"/>
      <c r="O29" s="5"/>
      <c r="P29" s="5"/>
      <c r="Q29" s="5"/>
      <c r="R29" s="5"/>
    </row>
    <row r="30" spans="1:18">
      <c r="A30" t="s">
        <v>279</v>
      </c>
      <c r="B30" s="63" t="s">
        <v>40</v>
      </c>
      <c r="C30" s="222" t="s">
        <v>218</v>
      </c>
      <c r="D30" s="66"/>
      <c r="E30" s="66"/>
      <c r="F30" s="66"/>
      <c r="G30" s="66"/>
      <c r="H30" s="66">
        <v>0</v>
      </c>
      <c r="I30" s="66">
        <v>1454.0929084380609</v>
      </c>
      <c r="J30" s="66">
        <v>1454.0929084380609</v>
      </c>
      <c r="K30" s="66">
        <v>0</v>
      </c>
      <c r="L30" s="66">
        <v>0</v>
      </c>
      <c r="M30" s="66">
        <v>0</v>
      </c>
      <c r="N30" s="66"/>
      <c r="O30" s="66"/>
      <c r="P30" s="66"/>
      <c r="Q30" s="66"/>
      <c r="R30" s="66"/>
    </row>
    <row r="31" spans="1:18">
      <c r="A31" t="s">
        <v>280</v>
      </c>
      <c r="B31" s="63" t="s">
        <v>40</v>
      </c>
      <c r="C31" s="222" t="s">
        <v>218</v>
      </c>
      <c r="D31" s="66"/>
      <c r="E31" s="66"/>
      <c r="F31" s="66"/>
      <c r="G31" s="66"/>
      <c r="H31" s="66">
        <v>0</v>
      </c>
      <c r="I31" s="66">
        <v>1454.0929084380609</v>
      </c>
      <c r="J31" s="66">
        <v>1454.0929084380609</v>
      </c>
      <c r="K31" s="66">
        <v>0</v>
      </c>
      <c r="L31" s="66">
        <v>0</v>
      </c>
      <c r="M31" s="66">
        <v>0</v>
      </c>
      <c r="N31" s="66"/>
      <c r="O31" s="66"/>
      <c r="P31" s="66"/>
      <c r="Q31" s="66"/>
      <c r="R31" s="66"/>
    </row>
    <row r="32" spans="1:18">
      <c r="C32" s="222"/>
      <c r="D32" s="5"/>
      <c r="E32" s="5"/>
      <c r="F32" s="5"/>
      <c r="G32" s="5"/>
      <c r="H32" s="5"/>
      <c r="I32" s="5"/>
      <c r="J32" s="5"/>
      <c r="K32" s="5"/>
      <c r="L32" s="5"/>
      <c r="M32" s="5"/>
      <c r="N32" s="5"/>
      <c r="O32" s="5"/>
      <c r="P32" s="5"/>
      <c r="Q32" s="5"/>
      <c r="R32" s="5"/>
    </row>
    <row r="33" spans="1:18">
      <c r="A33" s="1" t="s">
        <v>294</v>
      </c>
      <c r="C33" s="222"/>
      <c r="D33" s="5"/>
      <c r="E33" s="5"/>
      <c r="F33" s="5"/>
      <c r="G33" s="5"/>
      <c r="H33" s="5"/>
      <c r="I33" s="5"/>
      <c r="J33" s="5"/>
      <c r="K33" s="5"/>
      <c r="L33" s="5"/>
      <c r="M33" s="5"/>
      <c r="N33" s="5"/>
      <c r="O33" s="5"/>
      <c r="P33" s="5"/>
      <c r="Q33" s="5"/>
      <c r="R33" s="5"/>
    </row>
    <row r="34" spans="1:18">
      <c r="A34" t="s">
        <v>281</v>
      </c>
      <c r="B34" s="63" t="s">
        <v>40</v>
      </c>
      <c r="C34" s="222" t="s">
        <v>218</v>
      </c>
      <c r="D34" s="274"/>
      <c r="E34" s="274"/>
      <c r="F34" s="274"/>
      <c r="G34" s="274"/>
      <c r="H34" s="274"/>
      <c r="I34" s="274"/>
      <c r="J34" s="274"/>
      <c r="K34" s="274"/>
      <c r="L34" s="274"/>
      <c r="M34" s="274"/>
      <c r="N34" s="274">
        <v>0</v>
      </c>
      <c r="O34" s="274">
        <v>0</v>
      </c>
      <c r="P34" s="274">
        <v>0</v>
      </c>
      <c r="Q34" s="274">
        <v>0</v>
      </c>
      <c r="R34" s="274">
        <v>0</v>
      </c>
    </row>
    <row r="35" spans="1:18">
      <c r="A35" t="s">
        <v>282</v>
      </c>
      <c r="B35" s="63" t="s">
        <v>40</v>
      </c>
      <c r="C35" s="222" t="s">
        <v>218</v>
      </c>
      <c r="D35" s="274"/>
      <c r="E35" s="274"/>
      <c r="F35" s="274"/>
      <c r="G35" s="274"/>
      <c r="H35" s="274"/>
      <c r="I35" s="274"/>
      <c r="J35" s="274"/>
      <c r="K35" s="274"/>
      <c r="L35" s="274"/>
      <c r="M35" s="274"/>
      <c r="N35" s="274">
        <v>116.32743267504486</v>
      </c>
      <c r="O35" s="274">
        <v>116.32743267504486</v>
      </c>
      <c r="P35" s="274">
        <v>116.32743267504486</v>
      </c>
      <c r="Q35" s="274">
        <v>116.32743267504486</v>
      </c>
      <c r="R35" s="274">
        <v>116.32743267504486</v>
      </c>
    </row>
    <row r="36" spans="1:18" s="299" customFormat="1"/>
    <row r="37" spans="1:18" ht="18">
      <c r="A37" s="267" t="s">
        <v>461</v>
      </c>
      <c r="B37" s="268"/>
    </row>
    <row r="38" spans="1:18">
      <c r="B38" s="1" t="s">
        <v>10</v>
      </c>
      <c r="C38" s="1" t="s">
        <v>11</v>
      </c>
      <c r="D38" s="238" t="s">
        <v>0</v>
      </c>
      <c r="E38" s="238" t="s">
        <v>1</v>
      </c>
      <c r="F38" s="238" t="s">
        <v>2</v>
      </c>
      <c r="G38" s="238" t="s">
        <v>3</v>
      </c>
      <c r="H38" s="238" t="s">
        <v>4</v>
      </c>
    </row>
    <row r="39" spans="1:18" s="299" customFormat="1">
      <c r="A39" s="299" t="s">
        <v>462</v>
      </c>
      <c r="B39" s="300" t="s">
        <v>40</v>
      </c>
      <c r="C39" s="222" t="s">
        <v>218</v>
      </c>
      <c r="G39" s="66">
        <v>1700</v>
      </c>
      <c r="H39" s="66"/>
    </row>
    <row r="40" spans="1:18" s="299" customFormat="1">
      <c r="A40" s="299" t="s">
        <v>463</v>
      </c>
      <c r="B40" s="300" t="s">
        <v>40</v>
      </c>
      <c r="C40" s="222" t="s">
        <v>218</v>
      </c>
      <c r="G40" s="66">
        <v>850</v>
      </c>
      <c r="H40" s="66">
        <v>850</v>
      </c>
    </row>
    <row r="41" spans="1:18" s="299" customFormat="1"/>
    <row r="42" spans="1:18">
      <c r="A42" s="1" t="s">
        <v>297</v>
      </c>
    </row>
    <row r="43" spans="1:18">
      <c r="A43" s="1" t="s">
        <v>298</v>
      </c>
      <c r="B43" s="1" t="s">
        <v>10</v>
      </c>
      <c r="C43" s="1" t="s">
        <v>11</v>
      </c>
      <c r="D43" s="228" t="s">
        <v>264</v>
      </c>
    </row>
    <row r="44" spans="1:18">
      <c r="A44" t="s">
        <v>47</v>
      </c>
      <c r="B44" s="63" t="s">
        <v>12</v>
      </c>
      <c r="D44" s="73">
        <v>1</v>
      </c>
    </row>
    <row r="45" spans="1:18">
      <c r="A45" t="s">
        <v>38</v>
      </c>
      <c r="B45" s="300" t="s">
        <v>12</v>
      </c>
      <c r="D45" s="73">
        <f>1-D44</f>
        <v>0</v>
      </c>
    </row>
    <row r="46" spans="1:18">
      <c r="B46" s="63"/>
      <c r="D46" s="66"/>
    </row>
    <row r="47" spans="1:18" s="299" customFormat="1"/>
    <row r="48" spans="1:18" s="299" customFormat="1"/>
    <row r="49" spans="1:23" s="299" customFormat="1" ht="21">
      <c r="A49" s="315" t="s">
        <v>477</v>
      </c>
    </row>
    <row r="50" spans="1:23" s="299" customFormat="1"/>
    <row r="51" spans="1:23" ht="18">
      <c r="A51" s="267" t="s">
        <v>215</v>
      </c>
      <c r="B51" s="268"/>
    </row>
    <row r="52" spans="1:23">
      <c r="C52" s="270" t="s">
        <v>290</v>
      </c>
      <c r="D52" s="229">
        <v>39387</v>
      </c>
      <c r="E52" s="229">
        <v>39539</v>
      </c>
      <c r="F52" s="229">
        <v>39722</v>
      </c>
      <c r="G52" s="229">
        <v>40087</v>
      </c>
      <c r="H52" s="229">
        <v>40269</v>
      </c>
      <c r="I52" s="229">
        <v>40452</v>
      </c>
      <c r="J52" s="229">
        <v>40817</v>
      </c>
      <c r="K52" s="229">
        <v>41183</v>
      </c>
      <c r="L52" s="229">
        <v>41548</v>
      </c>
      <c r="M52" s="229">
        <v>41913</v>
      </c>
      <c r="N52" s="229">
        <v>42278</v>
      </c>
      <c r="O52" s="229">
        <v>42644</v>
      </c>
      <c r="P52" s="229">
        <v>43009</v>
      </c>
      <c r="Q52" s="229">
        <v>43374</v>
      </c>
      <c r="R52" s="229">
        <v>43739</v>
      </c>
      <c r="S52" s="229">
        <v>44105</v>
      </c>
      <c r="T52" s="229">
        <v>44470</v>
      </c>
      <c r="U52" s="229">
        <v>44835</v>
      </c>
      <c r="V52" s="229">
        <v>45200</v>
      </c>
      <c r="W52" s="229">
        <v>45566</v>
      </c>
    </row>
    <row r="53" spans="1:23">
      <c r="B53" s="1" t="s">
        <v>10</v>
      </c>
      <c r="C53" s="270" t="s">
        <v>291</v>
      </c>
      <c r="D53" s="229">
        <v>39538</v>
      </c>
      <c r="E53" s="229">
        <v>39721</v>
      </c>
      <c r="F53" s="229">
        <v>40086</v>
      </c>
      <c r="G53" s="229">
        <v>40268</v>
      </c>
      <c r="H53" s="229">
        <v>40451</v>
      </c>
      <c r="I53" s="229">
        <v>40816</v>
      </c>
      <c r="J53" s="229">
        <v>41182</v>
      </c>
      <c r="K53" s="229">
        <v>41547</v>
      </c>
      <c r="L53" s="229">
        <v>41912</v>
      </c>
      <c r="M53" s="229">
        <v>42277</v>
      </c>
      <c r="N53" s="229">
        <v>42643</v>
      </c>
      <c r="O53" s="229">
        <v>43008</v>
      </c>
      <c r="P53" s="229">
        <v>43373</v>
      </c>
      <c r="Q53" s="229">
        <v>43738</v>
      </c>
      <c r="R53" s="229">
        <v>44104</v>
      </c>
      <c r="S53" s="229">
        <v>44469</v>
      </c>
      <c r="T53" s="229">
        <v>44834</v>
      </c>
      <c r="U53" s="229">
        <v>45199</v>
      </c>
      <c r="V53" s="229">
        <v>45565</v>
      </c>
      <c r="W53" s="229">
        <v>45930</v>
      </c>
    </row>
    <row r="54" spans="1:23">
      <c r="A54" t="s">
        <v>216</v>
      </c>
      <c r="B54" t="s">
        <v>230</v>
      </c>
      <c r="D54" s="222">
        <v>10</v>
      </c>
      <c r="E54" s="222">
        <v>10</v>
      </c>
      <c r="F54" s="222">
        <v>10</v>
      </c>
      <c r="G54" s="222">
        <v>10</v>
      </c>
      <c r="H54" s="222">
        <v>8</v>
      </c>
      <c r="I54" s="222">
        <v>8</v>
      </c>
      <c r="J54" s="222">
        <v>8</v>
      </c>
      <c r="K54" s="222">
        <v>8</v>
      </c>
      <c r="L54" s="222">
        <v>8</v>
      </c>
      <c r="M54" s="222">
        <v>8</v>
      </c>
      <c r="N54" s="222">
        <v>5</v>
      </c>
      <c r="O54" s="222">
        <v>5</v>
      </c>
      <c r="P54" s="222">
        <v>5</v>
      </c>
      <c r="Q54" s="222">
        <v>5</v>
      </c>
      <c r="R54" s="222">
        <v>5</v>
      </c>
      <c r="S54" s="222">
        <v>5</v>
      </c>
      <c r="T54" s="222">
        <v>5</v>
      </c>
      <c r="U54" s="222">
        <v>5</v>
      </c>
      <c r="V54" s="222">
        <v>5</v>
      </c>
      <c r="W54" s="222">
        <v>5</v>
      </c>
    </row>
    <row r="55" spans="1:23">
      <c r="A55" t="s">
        <v>217</v>
      </c>
      <c r="B55" t="s">
        <v>230</v>
      </c>
      <c r="D55" s="222">
        <v>25</v>
      </c>
      <c r="E55" s="222">
        <v>25</v>
      </c>
      <c r="F55" s="222">
        <v>25</v>
      </c>
      <c r="G55" s="222">
        <v>25</v>
      </c>
      <c r="H55" s="222">
        <v>25</v>
      </c>
      <c r="I55" s="222">
        <v>25</v>
      </c>
      <c r="J55" s="222">
        <v>25</v>
      </c>
      <c r="K55" s="222">
        <v>25</v>
      </c>
      <c r="L55" s="222">
        <v>25</v>
      </c>
      <c r="M55" s="222">
        <v>25</v>
      </c>
      <c r="N55" s="222">
        <v>25</v>
      </c>
      <c r="O55" s="222">
        <v>25</v>
      </c>
      <c r="P55" s="222">
        <v>25</v>
      </c>
      <c r="Q55" s="222">
        <v>25</v>
      </c>
      <c r="R55" s="222">
        <v>25</v>
      </c>
      <c r="S55" s="222">
        <v>25</v>
      </c>
      <c r="T55" s="222">
        <v>25</v>
      </c>
      <c r="U55" s="222">
        <v>25</v>
      </c>
      <c r="V55" s="222">
        <v>25</v>
      </c>
      <c r="W55" s="222">
        <v>25</v>
      </c>
    </row>
    <row r="56" spans="1:23">
      <c r="A56" t="s">
        <v>231</v>
      </c>
      <c r="B56" t="s">
        <v>230</v>
      </c>
      <c r="L56">
        <v>5</v>
      </c>
      <c r="M56">
        <v>5</v>
      </c>
      <c r="N56">
        <v>5</v>
      </c>
      <c r="O56">
        <v>5</v>
      </c>
      <c r="P56">
        <v>5</v>
      </c>
      <c r="Q56">
        <v>5</v>
      </c>
      <c r="R56">
        <v>5</v>
      </c>
      <c r="S56">
        <v>5</v>
      </c>
      <c r="T56">
        <v>5</v>
      </c>
      <c r="U56">
        <v>5</v>
      </c>
      <c r="V56">
        <v>5</v>
      </c>
      <c r="W56">
        <v>5</v>
      </c>
    </row>
    <row r="58" spans="1:23" ht="18">
      <c r="A58" s="267" t="s">
        <v>344</v>
      </c>
      <c r="B58" s="268"/>
    </row>
    <row r="59" spans="1:23" ht="17" customHeight="1">
      <c r="A59" s="62"/>
      <c r="B59" s="1" t="s">
        <v>10</v>
      </c>
      <c r="C59" s="1" t="s">
        <v>11</v>
      </c>
    </row>
    <row r="60" spans="1:23">
      <c r="A60" s="1" t="s">
        <v>229</v>
      </c>
      <c r="B60" s="63" t="s">
        <v>40</v>
      </c>
      <c r="C60" s="222" t="s">
        <v>218</v>
      </c>
      <c r="D60">
        <v>0</v>
      </c>
    </row>
    <row r="61" spans="1:23">
      <c r="F61" s="223"/>
      <c r="G61" s="223"/>
      <c r="H61" s="223"/>
      <c r="I61" s="223"/>
    </row>
    <row r="62" spans="1:23">
      <c r="C62" s="270" t="s">
        <v>290</v>
      </c>
      <c r="D62" s="229">
        <v>41760</v>
      </c>
      <c r="E62" s="229">
        <v>41913</v>
      </c>
      <c r="F62" s="229">
        <v>42278</v>
      </c>
      <c r="G62" s="229">
        <v>42644</v>
      </c>
      <c r="H62" s="229">
        <v>43009</v>
      </c>
      <c r="I62" s="229">
        <v>43374</v>
      </c>
      <c r="J62" s="229">
        <v>43739</v>
      </c>
    </row>
    <row r="63" spans="1:23">
      <c r="C63" s="270" t="s">
        <v>291</v>
      </c>
      <c r="D63" s="229">
        <v>41912</v>
      </c>
      <c r="E63" s="229">
        <v>42277</v>
      </c>
      <c r="F63" s="229">
        <v>42643</v>
      </c>
      <c r="G63" s="229">
        <v>43008</v>
      </c>
      <c r="H63" s="229">
        <v>43373</v>
      </c>
      <c r="I63" s="229">
        <v>43738</v>
      </c>
      <c r="J63" s="229">
        <v>44104</v>
      </c>
    </row>
    <row r="64" spans="1:23">
      <c r="A64" s="222" t="s">
        <v>258</v>
      </c>
      <c r="B64" s="63" t="s">
        <v>40</v>
      </c>
      <c r="C64" s="222" t="s">
        <v>218</v>
      </c>
      <c r="D64" s="66">
        <v>0</v>
      </c>
      <c r="E64" s="66">
        <v>1517</v>
      </c>
      <c r="F64" s="66">
        <v>1556.1750526699661</v>
      </c>
      <c r="G64" s="66">
        <v>2220.5283447475522</v>
      </c>
      <c r="H64" s="66">
        <v>1636.3407930830576</v>
      </c>
      <c r="I64" s="66">
        <v>2906.37616078265</v>
      </c>
      <c r="J64" s="66">
        <v>2072.8119438060471</v>
      </c>
    </row>
    <row r="65" spans="1:10">
      <c r="A65" s="222" t="s">
        <v>295</v>
      </c>
      <c r="B65" s="63" t="s">
        <v>40</v>
      </c>
      <c r="C65" s="222" t="s">
        <v>218</v>
      </c>
      <c r="D65" s="66">
        <v>0</v>
      </c>
      <c r="E65" s="66">
        <v>0</v>
      </c>
      <c r="F65" s="66">
        <v>0</v>
      </c>
      <c r="G65" s="66">
        <v>0</v>
      </c>
      <c r="H65" s="66">
        <v>0</v>
      </c>
      <c r="I65" s="66">
        <v>0</v>
      </c>
      <c r="J65" s="66">
        <v>724.25206176266488</v>
      </c>
    </row>
    <row r="66" spans="1:10">
      <c r="A66" s="222" t="s">
        <v>296</v>
      </c>
      <c r="B66" s="63" t="s">
        <v>40</v>
      </c>
      <c r="C66" s="222" t="s">
        <v>218</v>
      </c>
      <c r="D66" s="66">
        <v>0</v>
      </c>
      <c r="E66" s="66">
        <v>0</v>
      </c>
      <c r="F66" s="66">
        <v>0</v>
      </c>
      <c r="G66" s="66">
        <v>0</v>
      </c>
      <c r="H66" s="66">
        <v>0</v>
      </c>
      <c r="I66" s="66">
        <v>0</v>
      </c>
      <c r="J66" s="66">
        <v>281.1784630972445</v>
      </c>
    </row>
    <row r="68" spans="1:10" ht="18">
      <c r="A68" s="267" t="s">
        <v>345</v>
      </c>
      <c r="B68" s="268"/>
    </row>
    <row r="69" spans="1:10">
      <c r="B69" s="1" t="s">
        <v>10</v>
      </c>
      <c r="C69" s="1" t="s">
        <v>11</v>
      </c>
    </row>
    <row r="70" spans="1:10">
      <c r="A70" s="222" t="s">
        <v>229</v>
      </c>
      <c r="B70" s="63" t="s">
        <v>40</v>
      </c>
      <c r="C70" s="222" t="s">
        <v>218</v>
      </c>
      <c r="D70">
        <v>0</v>
      </c>
    </row>
    <row r="71" spans="1:10">
      <c r="F71" s="223"/>
      <c r="G71" s="223"/>
      <c r="H71" s="223"/>
      <c r="I71" s="223"/>
    </row>
    <row r="72" spans="1:10">
      <c r="C72" s="270" t="s">
        <v>290</v>
      </c>
      <c r="D72" s="229">
        <v>41760</v>
      </c>
      <c r="E72" s="229">
        <v>41913</v>
      </c>
      <c r="F72" s="229">
        <v>42278</v>
      </c>
      <c r="G72" s="229">
        <v>42644</v>
      </c>
      <c r="H72" s="229">
        <v>43009</v>
      </c>
      <c r="I72" s="229">
        <v>43374</v>
      </c>
      <c r="J72" s="229">
        <v>43739</v>
      </c>
    </row>
    <row r="73" spans="1:10">
      <c r="C73" s="270" t="s">
        <v>291</v>
      </c>
      <c r="D73" s="229">
        <v>41912</v>
      </c>
      <c r="E73" s="229">
        <v>42277</v>
      </c>
      <c r="F73" s="229">
        <v>42643</v>
      </c>
      <c r="G73" s="229">
        <v>43008</v>
      </c>
      <c r="H73" s="229">
        <v>43373</v>
      </c>
      <c r="I73" s="229">
        <v>43738</v>
      </c>
      <c r="J73" s="229">
        <v>44104</v>
      </c>
    </row>
    <row r="74" spans="1:10">
      <c r="B74" s="1" t="s">
        <v>10</v>
      </c>
      <c r="C74" s="1" t="s">
        <v>11</v>
      </c>
      <c r="D74" s="229"/>
      <c r="E74" s="229"/>
      <c r="F74" s="229"/>
      <c r="G74" s="229"/>
      <c r="H74" s="229"/>
      <c r="I74" s="229"/>
      <c r="J74" s="229"/>
    </row>
    <row r="75" spans="1:10">
      <c r="A75" s="222" t="s">
        <v>258</v>
      </c>
      <c r="B75" s="63" t="s">
        <v>40</v>
      </c>
      <c r="C75" s="222" t="s">
        <v>218</v>
      </c>
      <c r="D75" s="66">
        <v>0</v>
      </c>
      <c r="E75" s="66">
        <v>0</v>
      </c>
      <c r="F75" s="66">
        <v>0</v>
      </c>
      <c r="G75" s="66">
        <v>0</v>
      </c>
      <c r="H75" s="66">
        <v>0</v>
      </c>
      <c r="I75" s="66">
        <v>0</v>
      </c>
      <c r="J75" s="66">
        <v>23410</v>
      </c>
    </row>
    <row r="76" spans="1:10">
      <c r="A76" s="234" t="s">
        <v>257</v>
      </c>
      <c r="B76" s="300" t="s">
        <v>40</v>
      </c>
      <c r="C76" s="222" t="s">
        <v>218</v>
      </c>
      <c r="D76" s="66">
        <v>0</v>
      </c>
      <c r="E76" s="66">
        <v>0</v>
      </c>
      <c r="F76" s="66">
        <f>'SONI BPDT RAB'!D71</f>
        <v>0</v>
      </c>
      <c r="G76" s="66">
        <f>'SONI BPDT RAB'!E71</f>
        <v>0</v>
      </c>
      <c r="H76" s="66">
        <f>'SONI BPDT RAB'!F71</f>
        <v>0</v>
      </c>
      <c r="I76" s="66">
        <f>'SONI BPDT RAB'!G71</f>
        <v>0</v>
      </c>
      <c r="J76" s="66">
        <f>'SONI BPDT RAB'!H71</f>
        <v>22710.757543166063</v>
      </c>
    </row>
    <row r="78" spans="1:10" ht="18">
      <c r="A78" s="267" t="s">
        <v>434</v>
      </c>
    </row>
    <row r="80" spans="1:10">
      <c r="A80" s="1" t="s">
        <v>448</v>
      </c>
      <c r="B80" s="1" t="s">
        <v>10</v>
      </c>
      <c r="C80" s="1" t="s">
        <v>11</v>
      </c>
      <c r="D80" s="238" t="s">
        <v>0</v>
      </c>
      <c r="E80" s="238" t="s">
        <v>1</v>
      </c>
      <c r="F80" s="238" t="s">
        <v>2</v>
      </c>
      <c r="G80" s="238" t="s">
        <v>3</v>
      </c>
      <c r="H80" s="238" t="s">
        <v>4</v>
      </c>
      <c r="I80" s="238" t="s">
        <v>20</v>
      </c>
    </row>
    <row r="81" spans="1:9">
      <c r="A81" t="s">
        <v>58</v>
      </c>
      <c r="B81" s="63" t="s">
        <v>40</v>
      </c>
      <c r="C81" s="222" t="s">
        <v>52</v>
      </c>
      <c r="D81" s="66">
        <f>'SONI BPDT RAB'!D82</f>
        <v>153.22279228795929</v>
      </c>
      <c r="E81" s="66">
        <f>'SONI BPDT RAB'!E82</f>
        <v>153.55473265543898</v>
      </c>
      <c r="F81" s="66">
        <f>'SONI BPDT RAB'!F82</f>
        <v>155.1384712169837</v>
      </c>
      <c r="G81" s="66">
        <f>'SONI BPDT RAB'!G82</f>
        <v>156.39026941104879</v>
      </c>
      <c r="H81" s="66">
        <f>'SONI BPDT RAB'!H82</f>
        <v>157.78652029505938</v>
      </c>
      <c r="I81" s="71">
        <f>SUM(D81:H81)</f>
        <v>776.09278586649009</v>
      </c>
    </row>
    <row r="82" spans="1:9">
      <c r="A82" t="s">
        <v>357</v>
      </c>
      <c r="B82" s="63" t="s">
        <v>40</v>
      </c>
      <c r="C82" s="222" t="s">
        <v>52</v>
      </c>
      <c r="D82" s="66">
        <f>'SONI BPDT RAB'!D83</f>
        <v>4047.5400632001488</v>
      </c>
      <c r="E82" s="66">
        <f>'SONI BPDT RAB'!E83</f>
        <v>2343.5427960265174</v>
      </c>
      <c r="F82" s="66">
        <f>'SONI BPDT RAB'!F83</f>
        <v>2525.6014120104683</v>
      </c>
      <c r="G82" s="66">
        <f>'SONI BPDT RAB'!G83</f>
        <v>2237.5351428008316</v>
      </c>
      <c r="H82" s="66">
        <f>'SONI BPDT RAB'!H83</f>
        <v>2036.3967236851204</v>
      </c>
      <c r="I82" s="71">
        <f>SUM(D82:H82)</f>
        <v>13190.616137723086</v>
      </c>
    </row>
    <row r="83" spans="1:9">
      <c r="A83" t="s">
        <v>232</v>
      </c>
      <c r="B83" s="63" t="s">
        <v>40</v>
      </c>
      <c r="C83" s="222" t="s">
        <v>52</v>
      </c>
      <c r="D83" s="66">
        <f>'SONI BPDT RAB'!D84</f>
        <v>0</v>
      </c>
      <c r="E83" s="66">
        <f>'SONI BPDT RAB'!E84</f>
        <v>0</v>
      </c>
      <c r="F83" s="66">
        <f>'SONI BPDT RAB'!F84</f>
        <v>0</v>
      </c>
      <c r="G83" s="66">
        <f>'SONI BPDT RAB'!G84</f>
        <v>0</v>
      </c>
      <c r="H83" s="66">
        <f>'SONI BPDT RAB'!H84</f>
        <v>5197.6282026831368</v>
      </c>
      <c r="I83" s="71">
        <f>SUM(D83:H83)</f>
        <v>5197.6282026831368</v>
      </c>
    </row>
    <row r="85" spans="1:9">
      <c r="A85" s="1" t="s">
        <v>449</v>
      </c>
      <c r="B85" s="1" t="s">
        <v>10</v>
      </c>
      <c r="C85" s="1" t="s">
        <v>11</v>
      </c>
      <c r="D85" s="238" t="s">
        <v>0</v>
      </c>
      <c r="E85" s="238" t="s">
        <v>1</v>
      </c>
      <c r="F85" s="238" t="s">
        <v>2</v>
      </c>
      <c r="G85" s="238" t="s">
        <v>3</v>
      </c>
      <c r="H85" s="238" t="s">
        <v>4</v>
      </c>
      <c r="I85" s="238" t="s">
        <v>20</v>
      </c>
    </row>
    <row r="86" spans="1:9">
      <c r="A86" s="299" t="s">
        <v>58</v>
      </c>
      <c r="B86" s="300" t="s">
        <v>40</v>
      </c>
      <c r="C86" s="222" t="s">
        <v>422</v>
      </c>
      <c r="D86" s="66">
        <v>152.631864732406</v>
      </c>
      <c r="E86" s="66">
        <v>153.54736379384099</v>
      </c>
      <c r="F86" s="66">
        <v>155.13110235538599</v>
      </c>
      <c r="G86" s="66">
        <v>156.38290054945099</v>
      </c>
      <c r="H86" s="66">
        <v>156.38290054945099</v>
      </c>
      <c r="I86" s="71">
        <f t="shared" ref="I86:I88" si="0">SUM(D86:H86)</f>
        <v>774.07613198053514</v>
      </c>
    </row>
    <row r="87" spans="1:9">
      <c r="A87" s="299" t="s">
        <v>357</v>
      </c>
      <c r="B87" s="300" t="s">
        <v>40</v>
      </c>
      <c r="C87" s="222" t="s">
        <v>422</v>
      </c>
      <c r="D87" s="66">
        <v>4048.0269893478098</v>
      </c>
      <c r="E87" s="66">
        <v>2343.5427960265201</v>
      </c>
      <c r="F87" s="66">
        <v>2525.6014120104701</v>
      </c>
      <c r="G87" s="66">
        <v>2237.5351428008298</v>
      </c>
      <c r="H87" s="66">
        <v>2018.37667532912</v>
      </c>
      <c r="I87" s="71">
        <f t="shared" si="0"/>
        <v>13173.083015514749</v>
      </c>
    </row>
    <row r="88" spans="1:9">
      <c r="A88" s="299" t="s">
        <v>232</v>
      </c>
      <c r="B88" s="300" t="s">
        <v>40</v>
      </c>
      <c r="C88" s="222" t="s">
        <v>422</v>
      </c>
      <c r="D88" s="66">
        <v>0</v>
      </c>
      <c r="E88" s="66">
        <v>0</v>
      </c>
      <c r="F88" s="66">
        <v>0</v>
      </c>
      <c r="G88" s="66">
        <v>0</v>
      </c>
      <c r="H88" s="66">
        <v>5151.6344577220098</v>
      </c>
      <c r="I88" s="71">
        <f t="shared" si="0"/>
        <v>5151.6344577220098</v>
      </c>
    </row>
    <row r="90" spans="1:9">
      <c r="A90" s="1" t="s">
        <v>358</v>
      </c>
      <c r="B90" s="1" t="s">
        <v>10</v>
      </c>
      <c r="C90" s="1" t="s">
        <v>11</v>
      </c>
      <c r="D90" s="238" t="s">
        <v>0</v>
      </c>
      <c r="E90" s="238" t="s">
        <v>1</v>
      </c>
      <c r="F90" s="238" t="s">
        <v>2</v>
      </c>
      <c r="G90" s="238" t="s">
        <v>3</v>
      </c>
      <c r="H90" s="238" t="s">
        <v>4</v>
      </c>
    </row>
    <row r="91" spans="1:9">
      <c r="A91" t="s">
        <v>58</v>
      </c>
      <c r="B91" s="63" t="s">
        <v>40</v>
      </c>
      <c r="C91" s="222" t="s">
        <v>52</v>
      </c>
      <c r="D91" s="66">
        <v>200</v>
      </c>
      <c r="E91" s="66">
        <v>200</v>
      </c>
      <c r="F91" s="66">
        <v>192</v>
      </c>
      <c r="G91" s="66"/>
      <c r="H91" s="66"/>
      <c r="I91" s="71">
        <f>SUM(D91:H91)</f>
        <v>592</v>
      </c>
    </row>
    <row r="92" spans="1:9">
      <c r="A92" t="s">
        <v>357</v>
      </c>
      <c r="B92" s="63" t="s">
        <v>40</v>
      </c>
      <c r="C92" s="222" t="s">
        <v>52</v>
      </c>
      <c r="D92" s="66">
        <v>1800</v>
      </c>
      <c r="E92" s="66">
        <v>1900</v>
      </c>
      <c r="F92" s="66">
        <v>1044</v>
      </c>
      <c r="G92" s="66"/>
      <c r="H92" s="66"/>
      <c r="I92" s="71">
        <f>SUM(D92:H92)</f>
        <v>4744</v>
      </c>
    </row>
    <row r="93" spans="1:9">
      <c r="A93" t="s">
        <v>232</v>
      </c>
      <c r="B93" s="63" t="s">
        <v>40</v>
      </c>
      <c r="C93" s="222" t="s">
        <v>52</v>
      </c>
      <c r="D93" s="66">
        <v>0</v>
      </c>
      <c r="E93" s="66">
        <v>0</v>
      </c>
      <c r="F93" s="66">
        <v>0</v>
      </c>
      <c r="G93" s="66"/>
      <c r="H93" s="66"/>
      <c r="I93" s="71">
        <f>SUM(D93:H93)</f>
        <v>0</v>
      </c>
    </row>
    <row r="95" spans="1:9">
      <c r="A95" s="1" t="s">
        <v>359</v>
      </c>
      <c r="B95" s="1" t="s">
        <v>10</v>
      </c>
      <c r="C95" s="1" t="s">
        <v>11</v>
      </c>
      <c r="D95" s="238" t="s">
        <v>0</v>
      </c>
      <c r="E95" s="238" t="s">
        <v>1</v>
      </c>
      <c r="F95" s="238" t="s">
        <v>2</v>
      </c>
      <c r="G95" s="238" t="s">
        <v>3</v>
      </c>
      <c r="H95" s="238" t="s">
        <v>4</v>
      </c>
    </row>
    <row r="96" spans="1:9">
      <c r="A96" t="s">
        <v>459</v>
      </c>
      <c r="B96" s="63" t="s">
        <v>40</v>
      </c>
      <c r="C96" s="222" t="s">
        <v>52</v>
      </c>
      <c r="D96" s="66"/>
      <c r="E96" s="66"/>
      <c r="F96" s="66">
        <v>1533.43</v>
      </c>
      <c r="G96" s="66"/>
      <c r="H96" s="66"/>
      <c r="I96" s="71">
        <f>SUM(D96:H96)</f>
        <v>1533.43</v>
      </c>
    </row>
    <row r="99" spans="1:9" ht="18">
      <c r="A99" s="267" t="s">
        <v>435</v>
      </c>
    </row>
    <row r="101" spans="1:9">
      <c r="A101" s="1" t="s">
        <v>436</v>
      </c>
      <c r="B101" s="1" t="s">
        <v>10</v>
      </c>
      <c r="C101" s="1" t="s">
        <v>11</v>
      </c>
      <c r="D101" s="238" t="s">
        <v>0</v>
      </c>
      <c r="E101" s="238" t="s">
        <v>1</v>
      </c>
      <c r="F101" s="238" t="s">
        <v>2</v>
      </c>
      <c r="G101" s="238" t="s">
        <v>3</v>
      </c>
      <c r="H101" s="238" t="s">
        <v>4</v>
      </c>
      <c r="I101" s="238" t="s">
        <v>20</v>
      </c>
    </row>
    <row r="102" spans="1:9">
      <c r="A102" s="299" t="s">
        <v>438</v>
      </c>
      <c r="B102" s="300" t="s">
        <v>40</v>
      </c>
      <c r="C102" s="222" t="s">
        <v>52</v>
      </c>
      <c r="D102" s="66">
        <v>935</v>
      </c>
      <c r="E102" s="66">
        <v>761</v>
      </c>
      <c r="F102" s="66">
        <v>432</v>
      </c>
      <c r="G102" s="66">
        <v>1037</v>
      </c>
      <c r="H102" s="66">
        <v>1932</v>
      </c>
      <c r="I102" s="66">
        <v>5096</v>
      </c>
    </row>
    <row r="103" spans="1:9">
      <c r="A103" t="s">
        <v>437</v>
      </c>
      <c r="B103" s="300" t="s">
        <v>40</v>
      </c>
      <c r="C103" s="222" t="s">
        <v>52</v>
      </c>
      <c r="D103" s="66">
        <v>1395</v>
      </c>
      <c r="E103" s="66">
        <v>1338</v>
      </c>
      <c r="F103" s="66">
        <v>1098</v>
      </c>
      <c r="G103" s="66">
        <v>1495</v>
      </c>
      <c r="H103" s="66">
        <v>1931</v>
      </c>
      <c r="I103" s="66">
        <v>7257</v>
      </c>
    </row>
    <row r="105" spans="1:9">
      <c r="A105" s="1" t="s">
        <v>439</v>
      </c>
      <c r="B105" s="1" t="s">
        <v>10</v>
      </c>
      <c r="C105" s="1" t="s">
        <v>11</v>
      </c>
      <c r="D105" s="238" t="s">
        <v>0</v>
      </c>
      <c r="E105" s="238" t="s">
        <v>1</v>
      </c>
      <c r="F105" s="238" t="s">
        <v>2</v>
      </c>
      <c r="G105" s="238" t="s">
        <v>3</v>
      </c>
      <c r="H105" s="238" t="s">
        <v>4</v>
      </c>
      <c r="I105" s="238" t="s">
        <v>20</v>
      </c>
    </row>
    <row r="106" spans="1:9">
      <c r="A106" s="299" t="s">
        <v>440</v>
      </c>
      <c r="B106" s="300" t="s">
        <v>40</v>
      </c>
      <c r="C106" s="222" t="s">
        <v>52</v>
      </c>
      <c r="D106" s="66">
        <v>196</v>
      </c>
      <c r="E106" s="66">
        <v>26</v>
      </c>
      <c r="F106" s="66">
        <v>17</v>
      </c>
      <c r="G106" s="66">
        <v>39</v>
      </c>
      <c r="H106" s="66">
        <v>315</v>
      </c>
      <c r="I106" s="66">
        <v>592</v>
      </c>
    </row>
    <row r="107" spans="1:9">
      <c r="A107" s="299" t="s">
        <v>441</v>
      </c>
      <c r="B107" s="300" t="s">
        <v>40</v>
      </c>
      <c r="C107" s="222" t="s">
        <v>52</v>
      </c>
      <c r="D107" s="66">
        <v>0</v>
      </c>
      <c r="E107" s="66">
        <v>0</v>
      </c>
      <c r="F107" s="66">
        <v>0</v>
      </c>
      <c r="G107" s="66">
        <v>0</v>
      </c>
      <c r="H107" s="66">
        <v>0</v>
      </c>
      <c r="I107" s="66">
        <v>0</v>
      </c>
    </row>
    <row r="109" spans="1:9" ht="18">
      <c r="A109" s="267" t="s">
        <v>715</v>
      </c>
    </row>
    <row r="111" spans="1:9">
      <c r="A111" s="1" t="s">
        <v>444</v>
      </c>
      <c r="B111" s="1" t="s">
        <v>10</v>
      </c>
      <c r="C111" s="1" t="s">
        <v>11</v>
      </c>
      <c r="D111" s="238" t="s">
        <v>0</v>
      </c>
      <c r="E111" s="238" t="s">
        <v>1</v>
      </c>
      <c r="F111" s="238" t="s">
        <v>2</v>
      </c>
      <c r="G111" s="238" t="s">
        <v>3</v>
      </c>
      <c r="H111" s="238" t="s">
        <v>4</v>
      </c>
      <c r="I111" s="238" t="s">
        <v>20</v>
      </c>
    </row>
    <row r="112" spans="1:9">
      <c r="A112" t="s">
        <v>445</v>
      </c>
      <c r="B112" s="300" t="s">
        <v>40</v>
      </c>
      <c r="C112" s="222" t="s">
        <v>422</v>
      </c>
      <c r="D112" s="66">
        <v>3902.45944201989</v>
      </c>
      <c r="E112" s="66">
        <v>803.51232495935005</v>
      </c>
      <c r="F112" s="66">
        <v>1271.73889322846</v>
      </c>
      <c r="G112" s="66">
        <v>825.09921999999995</v>
      </c>
      <c r="H112" s="66">
        <v>2606.0504123199498</v>
      </c>
      <c r="I112" s="66">
        <f>SUM(D112:H112)</f>
        <v>9408.86029252765</v>
      </c>
    </row>
    <row r="113" spans="1:9">
      <c r="A113" t="s">
        <v>446</v>
      </c>
      <c r="B113" s="300" t="s">
        <v>40</v>
      </c>
      <c r="C113" s="222" t="s">
        <v>422</v>
      </c>
      <c r="D113" s="66">
        <v>29</v>
      </c>
      <c r="E113" s="66">
        <v>17</v>
      </c>
      <c r="F113" s="66">
        <v>63</v>
      </c>
      <c r="G113" s="66">
        <v>0</v>
      </c>
      <c r="H113" s="66">
        <v>0</v>
      </c>
      <c r="I113" s="66">
        <f>SUM(D113:H113)</f>
        <v>109</v>
      </c>
    </row>
    <row r="115" spans="1:9">
      <c r="A115" s="1" t="s">
        <v>447</v>
      </c>
      <c r="B115" s="1" t="s">
        <v>10</v>
      </c>
      <c r="C115" s="1" t="s">
        <v>11</v>
      </c>
      <c r="D115" s="238" t="s">
        <v>0</v>
      </c>
      <c r="E115" s="238" t="s">
        <v>1</v>
      </c>
      <c r="F115" s="238" t="s">
        <v>2</v>
      </c>
      <c r="G115" s="238" t="s">
        <v>3</v>
      </c>
      <c r="H115" s="238" t="s">
        <v>4</v>
      </c>
      <c r="I115" s="238" t="s">
        <v>20</v>
      </c>
    </row>
    <row r="116" spans="1:9">
      <c r="A116" s="299" t="s">
        <v>445</v>
      </c>
      <c r="B116" s="300" t="s">
        <v>40</v>
      </c>
      <c r="C116" s="222" t="s">
        <v>52</v>
      </c>
      <c r="D116" s="66">
        <f>'SONI BPDT RAB'!D58</f>
        <v>3902.4594420198928</v>
      </c>
      <c r="E116" s="66">
        <f>'SONI BPDT RAB'!E58</f>
        <v>803.5123249593496</v>
      </c>
      <c r="F116" s="66">
        <f>'SONI BPDT RAB'!F58</f>
        <v>1271.7388932284593</v>
      </c>
      <c r="G116" s="66">
        <f>'SONI BPDT RAB'!G58</f>
        <v>825.09922000000006</v>
      </c>
      <c r="H116" s="66">
        <f>'SONI BPDT RAB'!H58</f>
        <v>2629.317206383806</v>
      </c>
      <c r="I116" s="66">
        <f>SUM(D116:H116)</f>
        <v>9432.1270865915085</v>
      </c>
    </row>
    <row r="117" spans="1:9">
      <c r="A117" s="299" t="s">
        <v>446</v>
      </c>
      <c r="B117" s="300" t="s">
        <v>40</v>
      </c>
      <c r="C117" s="222" t="s">
        <v>52</v>
      </c>
      <c r="D117" s="66">
        <f>'SONI BPDT RAB'!D57</f>
        <v>29.1779346977812</v>
      </c>
      <c r="E117" s="66">
        <f>'SONI BPDT RAB'!E57</f>
        <v>16.597018373983737</v>
      </c>
      <c r="F117" s="66">
        <f>'SONI BPDT RAB'!F57</f>
        <v>62.589909703253483</v>
      </c>
      <c r="G117" s="66">
        <f>'SONI BPDT RAB'!G57</f>
        <v>0</v>
      </c>
      <c r="H117" s="66">
        <f>'SONI BPDT RAB'!H57</f>
        <v>0</v>
      </c>
      <c r="I117" s="66">
        <f>SUM(D117:H117)</f>
        <v>108.36486277501842</v>
      </c>
    </row>
  </sheetData>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N32"/>
  <sheetViews>
    <sheetView showGridLines="0" zoomScale="80" zoomScaleNormal="80" workbookViewId="0">
      <selection activeCell="G34" sqref="G34"/>
    </sheetView>
  </sheetViews>
  <sheetFormatPr defaultColWidth="8.6640625" defaultRowHeight="14.25"/>
  <cols>
    <col min="1" max="1" width="68.1328125" style="299" customWidth="1"/>
    <col min="2" max="2" width="8.6640625" style="299" customWidth="1"/>
    <col min="3" max="3" width="10.6640625" style="299" customWidth="1"/>
    <col min="4" max="23" width="10.33203125" style="299" customWidth="1"/>
    <col min="24" max="16384" width="8.6640625" style="299"/>
  </cols>
  <sheetData>
    <row r="1" spans="1:14" ht="18">
      <c r="A1" s="267" t="s">
        <v>242</v>
      </c>
      <c r="B1" s="268"/>
    </row>
    <row r="2" spans="1:14">
      <c r="B2" s="1"/>
      <c r="C2" s="228"/>
      <c r="D2" s="228"/>
      <c r="E2" s="228"/>
      <c r="F2" s="228"/>
      <c r="G2" s="228"/>
      <c r="H2" s="228"/>
      <c r="I2" s="228"/>
      <c r="J2" s="228"/>
      <c r="K2" s="228"/>
      <c r="L2" s="228"/>
      <c r="M2" s="228"/>
      <c r="N2" s="228"/>
    </row>
    <row r="3" spans="1:14">
      <c r="A3" s="1" t="s">
        <v>474</v>
      </c>
      <c r="C3" s="232"/>
      <c r="D3" s="232"/>
      <c r="E3" s="232"/>
      <c r="F3" s="232"/>
      <c r="G3" s="232"/>
      <c r="H3" s="232"/>
      <c r="I3" s="232"/>
      <c r="J3" s="232"/>
      <c r="K3" s="232"/>
      <c r="L3" s="232"/>
      <c r="M3" s="232"/>
      <c r="N3" s="232"/>
    </row>
    <row r="4" spans="1:14">
      <c r="A4" s="299" t="s">
        <v>68</v>
      </c>
      <c r="B4" s="73">
        <v>0.3</v>
      </c>
      <c r="C4" s="232"/>
      <c r="D4" s="232"/>
      <c r="E4" s="232"/>
      <c r="F4" s="232"/>
      <c r="G4" s="232"/>
      <c r="H4" s="232"/>
      <c r="I4" s="232"/>
      <c r="J4" s="232"/>
      <c r="K4" s="232"/>
      <c r="L4" s="232"/>
      <c r="M4" s="232"/>
      <c r="N4" s="232"/>
    </row>
    <row r="5" spans="1:14">
      <c r="A5" s="299" t="s">
        <v>69</v>
      </c>
      <c r="B5" s="2">
        <v>6.5000000000000002E-2</v>
      </c>
      <c r="C5" s="228"/>
      <c r="D5" s="228"/>
      <c r="E5" s="228"/>
      <c r="F5" s="228"/>
      <c r="G5" s="228"/>
      <c r="H5" s="228"/>
      <c r="I5" s="228"/>
      <c r="J5" s="228"/>
      <c r="K5" s="228"/>
      <c r="L5" s="228"/>
      <c r="M5" s="228"/>
      <c r="N5" s="228"/>
    </row>
    <row r="6" spans="1:14">
      <c r="A6" s="299" t="s">
        <v>70</v>
      </c>
      <c r="B6" s="2">
        <v>-6.0000000000000001E-3</v>
      </c>
      <c r="F6" s="232"/>
      <c r="G6" s="232"/>
      <c r="H6" s="232"/>
      <c r="I6" s="232"/>
      <c r="J6" s="232"/>
      <c r="K6" s="232"/>
      <c r="L6" s="232"/>
      <c r="M6" s="232"/>
      <c r="N6" s="232"/>
    </row>
    <row r="7" spans="1:14">
      <c r="A7" s="299" t="s">
        <v>72</v>
      </c>
      <c r="B7" s="4">
        <v>0.5</v>
      </c>
    </row>
    <row r="8" spans="1:14">
      <c r="A8" s="299" t="s">
        <v>73</v>
      </c>
      <c r="B8" s="4">
        <v>0.125</v>
      </c>
      <c r="C8" s="228"/>
      <c r="D8" s="228"/>
      <c r="E8" s="228"/>
      <c r="F8" s="228"/>
      <c r="G8" s="228"/>
      <c r="H8" s="228"/>
    </row>
    <row r="9" spans="1:14">
      <c r="A9" s="299" t="s">
        <v>74</v>
      </c>
      <c r="B9" s="74">
        <v>1.14E-2</v>
      </c>
      <c r="C9" s="2"/>
      <c r="D9" s="2"/>
      <c r="E9" s="2"/>
      <c r="F9" s="2"/>
      <c r="G9" s="2"/>
      <c r="H9" s="4"/>
      <c r="I9" s="4"/>
    </row>
    <row r="10" spans="1:14">
      <c r="A10" s="299" t="s">
        <v>211</v>
      </c>
      <c r="B10" s="73">
        <v>0.17</v>
      </c>
      <c r="C10" s="2"/>
      <c r="D10" s="2"/>
      <c r="E10" s="2"/>
      <c r="F10" s="2"/>
      <c r="G10" s="2"/>
    </row>
    <row r="11" spans="1:14">
      <c r="C11" s="2"/>
      <c r="D11" s="2"/>
      <c r="E11" s="2"/>
      <c r="F11" s="2"/>
      <c r="G11" s="2"/>
    </row>
    <row r="12" spans="1:14" ht="18">
      <c r="A12" s="267" t="s">
        <v>684</v>
      </c>
      <c r="C12" s="2"/>
      <c r="D12" s="2"/>
      <c r="E12" s="2"/>
      <c r="F12" s="2"/>
      <c r="G12" s="2"/>
    </row>
    <row r="13" spans="1:14">
      <c r="C13" s="2"/>
      <c r="D13" s="2"/>
      <c r="E13" s="2"/>
      <c r="F13" s="2"/>
      <c r="G13" s="2"/>
      <c r="H13" s="2"/>
    </row>
    <row r="14" spans="1:14">
      <c r="A14" s="1" t="s">
        <v>673</v>
      </c>
    </row>
    <row r="15" spans="1:14">
      <c r="A15" s="299" t="s">
        <v>674</v>
      </c>
      <c r="B15" s="4">
        <v>0.625</v>
      </c>
      <c r="C15" s="228"/>
      <c r="D15" s="228"/>
      <c r="E15" s="228"/>
      <c r="F15" s="228"/>
      <c r="G15" s="228"/>
    </row>
    <row r="16" spans="1:14">
      <c r="A16" s="299" t="s">
        <v>675</v>
      </c>
      <c r="B16" s="4">
        <v>0.85333333333333339</v>
      </c>
      <c r="C16" s="2"/>
      <c r="D16" s="2"/>
      <c r="E16" s="2"/>
      <c r="F16" s="2"/>
      <c r="G16" s="2"/>
      <c r="H16" s="283"/>
    </row>
    <row r="17" spans="1:8">
      <c r="A17" s="299" t="s">
        <v>676</v>
      </c>
      <c r="B17" s="4">
        <v>0.125</v>
      </c>
      <c r="C17" s="2"/>
      <c r="D17" s="2"/>
      <c r="E17" s="2"/>
      <c r="F17" s="2"/>
      <c r="G17" s="2"/>
      <c r="H17" s="283"/>
    </row>
    <row r="18" spans="1:8">
      <c r="A18" s="299" t="s">
        <v>677</v>
      </c>
      <c r="B18" s="4">
        <f>B15*B17+(1-B15)*B16</f>
        <v>0.39812500000000001</v>
      </c>
      <c r="C18" s="2"/>
      <c r="D18" s="2"/>
      <c r="E18" s="2"/>
      <c r="F18" s="2"/>
      <c r="G18" s="2"/>
      <c r="H18" s="2"/>
    </row>
    <row r="19" spans="1:8">
      <c r="A19" s="299" t="s">
        <v>678</v>
      </c>
      <c r="B19" s="4">
        <v>0.45</v>
      </c>
    </row>
    <row r="20" spans="1:8">
      <c r="A20" s="1"/>
    </row>
    <row r="21" spans="1:8">
      <c r="A21" s="1" t="s">
        <v>679</v>
      </c>
      <c r="C21" s="2"/>
    </row>
    <row r="22" spans="1:8">
      <c r="A22" s="299" t="s">
        <v>674</v>
      </c>
      <c r="B22" s="4">
        <v>0.54200000000000004</v>
      </c>
      <c r="C22" s="2"/>
    </row>
    <row r="23" spans="1:8">
      <c r="A23" s="299" t="s">
        <v>675</v>
      </c>
      <c r="B23" s="4">
        <v>0.63</v>
      </c>
      <c r="C23" s="74"/>
    </row>
    <row r="24" spans="1:8">
      <c r="A24" s="299" t="s">
        <v>676</v>
      </c>
      <c r="B24" s="4">
        <v>0.125</v>
      </c>
    </row>
    <row r="25" spans="1:8">
      <c r="A25" s="299" t="s">
        <v>677</v>
      </c>
      <c r="B25" s="4">
        <f>B22*B24+(1-B22)*B23</f>
        <v>0.35629</v>
      </c>
    </row>
    <row r="26" spans="1:8">
      <c r="A26" s="299" t="s">
        <v>678</v>
      </c>
      <c r="B26" s="4">
        <f>E32</f>
        <v>0.50608941673181718</v>
      </c>
    </row>
    <row r="28" spans="1:8">
      <c r="A28" s="1" t="s">
        <v>821</v>
      </c>
      <c r="B28" s="228" t="s">
        <v>404</v>
      </c>
      <c r="C28" s="228" t="s">
        <v>405</v>
      </c>
      <c r="D28" s="228" t="s">
        <v>406</v>
      </c>
      <c r="E28" s="228" t="s">
        <v>237</v>
      </c>
    </row>
    <row r="29" spans="1:8">
      <c r="A29" s="299" t="s">
        <v>680</v>
      </c>
      <c r="B29" s="5">
        <v>1130.9000000000001</v>
      </c>
      <c r="C29" s="5">
        <v>397.3</v>
      </c>
      <c r="D29" s="5">
        <v>1354.8000000000002</v>
      </c>
    </row>
    <row r="30" spans="1:8">
      <c r="A30" s="299" t="s">
        <v>681</v>
      </c>
      <c r="B30" s="5">
        <v>7298.1</v>
      </c>
      <c r="C30" s="5">
        <v>2386.3000000000002</v>
      </c>
      <c r="D30" s="5">
        <v>7753.9</v>
      </c>
    </row>
    <row r="31" spans="1:8">
      <c r="A31" s="299" t="s">
        <v>682</v>
      </c>
      <c r="B31" s="5">
        <v>2271.3599999999997</v>
      </c>
      <c r="C31" s="5">
        <v>809.7</v>
      </c>
      <c r="D31" s="5">
        <v>2881</v>
      </c>
    </row>
    <row r="32" spans="1:8">
      <c r="A32" s="299" t="s">
        <v>683</v>
      </c>
      <c r="B32" s="226">
        <f>(B29+B31)/B30</f>
        <v>0.46618434935120096</v>
      </c>
      <c r="C32" s="226">
        <f>(C29+C31)/C30</f>
        <v>0.50580396429619068</v>
      </c>
      <c r="D32" s="226">
        <f>(D29+D31)/D30</f>
        <v>0.54627993654805973</v>
      </c>
      <c r="E32" s="4">
        <f>AVERAGE(B32:D32)</f>
        <v>0.50608941673181718</v>
      </c>
    </row>
  </sheetData>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L52"/>
  <sheetViews>
    <sheetView showGridLines="0" zoomScale="80" zoomScaleNormal="80" workbookViewId="0"/>
  </sheetViews>
  <sheetFormatPr defaultColWidth="8.6640625" defaultRowHeight="14.25"/>
  <cols>
    <col min="1" max="1" width="73" customWidth="1"/>
    <col min="3" max="3" width="14.33203125" customWidth="1"/>
    <col min="4" max="8" width="9.1328125" bestFit="1" customWidth="1"/>
    <col min="9" max="9" width="10.1328125" bestFit="1" customWidth="1"/>
  </cols>
  <sheetData>
    <row r="1" spans="1:9" ht="18">
      <c r="A1" s="267" t="s">
        <v>808</v>
      </c>
      <c r="B1" s="268"/>
    </row>
    <row r="3" spans="1:9" s="299" customFormat="1" ht="18">
      <c r="A3" s="267" t="s">
        <v>478</v>
      </c>
    </row>
    <row r="4" spans="1:9" s="299" customFormat="1"/>
    <row r="5" spans="1:9" s="299" customFormat="1">
      <c r="A5" s="299" t="s">
        <v>515</v>
      </c>
      <c r="B5" s="73">
        <v>0.75</v>
      </c>
    </row>
    <row r="6" spans="1:9" s="299" customFormat="1"/>
    <row r="7" spans="1:9" s="299" customFormat="1">
      <c r="A7" s="1" t="s">
        <v>502</v>
      </c>
      <c r="B7" s="1" t="s">
        <v>10</v>
      </c>
      <c r="C7" s="1" t="s">
        <v>11</v>
      </c>
      <c r="D7" s="228" t="s">
        <v>5</v>
      </c>
      <c r="E7" s="228" t="s">
        <v>6</v>
      </c>
      <c r="F7" s="228" t="s">
        <v>7</v>
      </c>
      <c r="G7" s="228" t="s">
        <v>8</v>
      </c>
      <c r="H7" s="228" t="s">
        <v>9</v>
      </c>
      <c r="I7" s="228" t="s">
        <v>20</v>
      </c>
    </row>
    <row r="8" spans="1:9" s="299" customFormat="1">
      <c r="A8" s="299" t="s">
        <v>479</v>
      </c>
      <c r="B8" s="63" t="s">
        <v>40</v>
      </c>
      <c r="C8" t="s">
        <v>54</v>
      </c>
      <c r="D8" s="257">
        <v>7810.6327485819911</v>
      </c>
      <c r="E8" s="257">
        <v>7804.5596443461891</v>
      </c>
      <c r="F8" s="257">
        <v>7844.7542548287738</v>
      </c>
      <c r="G8" s="257">
        <v>7769.1857478447473</v>
      </c>
      <c r="H8" s="257">
        <v>7743.3094810429939</v>
      </c>
      <c r="I8" s="66">
        <f t="shared" ref="I8:I12" si="0">SUM(D8:H8)</f>
        <v>38972.441876644691</v>
      </c>
    </row>
    <row r="9" spans="1:9" s="299" customFormat="1">
      <c r="A9" t="s">
        <v>243</v>
      </c>
      <c r="B9" s="63" t="s">
        <v>40</v>
      </c>
      <c r="C9" t="s">
        <v>54</v>
      </c>
      <c r="D9" s="257">
        <v>3111.7872799999996</v>
      </c>
      <c r="E9" s="257">
        <v>3108.5302799999999</v>
      </c>
      <c r="F9" s="257">
        <v>3509.2042799999999</v>
      </c>
      <c r="G9" s="257">
        <v>3718.3682799999997</v>
      </c>
      <c r="H9" s="257">
        <v>2561.6772799999999</v>
      </c>
      <c r="I9" s="66">
        <f t="shared" si="0"/>
        <v>16009.5674</v>
      </c>
    </row>
    <row r="10" spans="1:9" s="299" customFormat="1">
      <c r="A10" t="s">
        <v>244</v>
      </c>
      <c r="B10" s="63" t="s">
        <v>40</v>
      </c>
      <c r="C10" t="s">
        <v>54</v>
      </c>
      <c r="D10" s="257">
        <v>1831.9188446937378</v>
      </c>
      <c r="E10" s="257">
        <v>1854.7484337471778</v>
      </c>
      <c r="F10" s="257">
        <v>1878.4912063627562</v>
      </c>
      <c r="G10" s="257">
        <v>2303.1836898829552</v>
      </c>
      <c r="H10" s="257">
        <v>2028.6692102262259</v>
      </c>
      <c r="I10" s="66">
        <f t="shared" si="0"/>
        <v>9897.0113849128538</v>
      </c>
    </row>
    <row r="11" spans="1:9" s="299" customFormat="1">
      <c r="A11" s="299" t="s">
        <v>499</v>
      </c>
      <c r="B11" s="300" t="s">
        <v>40</v>
      </c>
      <c r="C11" s="299" t="s">
        <v>54</v>
      </c>
      <c r="D11" s="257">
        <v>19.886243559462354</v>
      </c>
      <c r="E11" s="257">
        <v>29.869503563695915</v>
      </c>
      <c r="F11" s="257">
        <v>41.253745684613889</v>
      </c>
      <c r="G11" s="257">
        <v>53.696386532810443</v>
      </c>
      <c r="H11" s="257">
        <v>57.80494086603175</v>
      </c>
      <c r="I11" s="66">
        <f t="shared" si="0"/>
        <v>202.51082020661437</v>
      </c>
    </row>
    <row r="12" spans="1:9" s="299" customFormat="1">
      <c r="A12" s="1" t="s">
        <v>20</v>
      </c>
      <c r="B12" s="300" t="s">
        <v>40</v>
      </c>
      <c r="C12" s="299" t="s">
        <v>54</v>
      </c>
      <c r="D12" s="316">
        <f>SUM(D8:D11)</f>
        <v>12774.225116835189</v>
      </c>
      <c r="E12" s="316">
        <f>SUM(E8:E11)</f>
        <v>12797.707861657063</v>
      </c>
      <c r="F12" s="316">
        <f>SUM(F8:F11)</f>
        <v>13273.703486876142</v>
      </c>
      <c r="G12" s="316">
        <f>SUM(G8:G11)</f>
        <v>13844.434104260514</v>
      </c>
      <c r="H12" s="316">
        <f>SUM(H8:H11)</f>
        <v>12391.460912135251</v>
      </c>
      <c r="I12" s="256">
        <f t="shared" si="0"/>
        <v>65081.531481764163</v>
      </c>
    </row>
    <row r="13" spans="1:9" s="299" customFormat="1"/>
    <row r="14" spans="1:9" s="299" customFormat="1">
      <c r="A14" s="1" t="s">
        <v>503</v>
      </c>
      <c r="B14" s="1" t="s">
        <v>10</v>
      </c>
      <c r="C14" s="1" t="s">
        <v>11</v>
      </c>
      <c r="D14" s="228" t="s">
        <v>5</v>
      </c>
      <c r="E14" s="228" t="s">
        <v>6</v>
      </c>
      <c r="F14" s="228" t="s">
        <v>7</v>
      </c>
      <c r="G14" s="228" t="s">
        <v>8</v>
      </c>
      <c r="H14" s="228" t="s">
        <v>9</v>
      </c>
      <c r="I14" s="228" t="s">
        <v>20</v>
      </c>
    </row>
    <row r="15" spans="1:9" s="299" customFormat="1">
      <c r="A15" s="222" t="s">
        <v>480</v>
      </c>
      <c r="B15" s="300" t="s">
        <v>40</v>
      </c>
      <c r="C15" s="299" t="s">
        <v>54</v>
      </c>
      <c r="D15" s="257">
        <v>216.5</v>
      </c>
      <c r="E15" s="257">
        <v>300.20000000000005</v>
      </c>
      <c r="F15" s="257">
        <v>268</v>
      </c>
      <c r="G15" s="257">
        <v>151.90000000000009</v>
      </c>
      <c r="H15" s="257">
        <v>111.70000000000005</v>
      </c>
      <c r="I15" s="66">
        <f t="shared" ref="I15:I33" si="1">SUM(D15:H15)</f>
        <v>1048.3000000000002</v>
      </c>
    </row>
    <row r="16" spans="1:9" s="299" customFormat="1">
      <c r="A16" s="222" t="s">
        <v>481</v>
      </c>
      <c r="B16" s="300" t="s">
        <v>40</v>
      </c>
      <c r="C16" s="299" t="s">
        <v>54</v>
      </c>
      <c r="D16" s="257">
        <v>251.3</v>
      </c>
      <c r="E16" s="257">
        <v>210.8</v>
      </c>
      <c r="F16" s="257">
        <v>110</v>
      </c>
      <c r="G16" s="257">
        <v>230.60000000000002</v>
      </c>
      <c r="H16" s="257">
        <v>110</v>
      </c>
      <c r="I16" s="66">
        <f t="shared" si="1"/>
        <v>912.7</v>
      </c>
    </row>
    <row r="17" spans="1:9" s="299" customFormat="1">
      <c r="A17" s="222" t="s">
        <v>482</v>
      </c>
      <c r="B17" s="300" t="s">
        <v>40</v>
      </c>
      <c r="C17" s="299" t="s">
        <v>54</v>
      </c>
      <c r="D17" s="257">
        <v>778.5</v>
      </c>
      <c r="E17" s="257">
        <v>778.5</v>
      </c>
      <c r="F17" s="257">
        <v>778.5</v>
      </c>
      <c r="G17" s="257">
        <v>778.5</v>
      </c>
      <c r="H17" s="257">
        <v>778.5</v>
      </c>
      <c r="I17" s="66">
        <f t="shared" si="1"/>
        <v>3892.5</v>
      </c>
    </row>
    <row r="18" spans="1:9" s="299" customFormat="1">
      <c r="A18" s="222" t="s">
        <v>484</v>
      </c>
      <c r="B18" s="300" t="s">
        <v>40</v>
      </c>
      <c r="C18" s="299" t="s">
        <v>54</v>
      </c>
      <c r="D18" s="257">
        <v>225</v>
      </c>
      <c r="E18" s="257">
        <v>0</v>
      </c>
      <c r="F18" s="257">
        <v>0</v>
      </c>
      <c r="G18" s="257">
        <v>0</v>
      </c>
      <c r="H18" s="257">
        <v>300</v>
      </c>
      <c r="I18" s="66">
        <f t="shared" si="1"/>
        <v>525</v>
      </c>
    </row>
    <row r="19" spans="1:9" s="299" customFormat="1">
      <c r="A19" s="222" t="s">
        <v>485</v>
      </c>
      <c r="B19" s="300" t="s">
        <v>40</v>
      </c>
      <c r="C19" s="299" t="s">
        <v>54</v>
      </c>
      <c r="D19" s="257">
        <v>0</v>
      </c>
      <c r="E19" s="257">
        <v>0</v>
      </c>
      <c r="F19" s="257">
        <v>0</v>
      </c>
      <c r="G19" s="257">
        <v>0</v>
      </c>
      <c r="H19" s="257">
        <v>0</v>
      </c>
      <c r="I19" s="66">
        <f t="shared" si="1"/>
        <v>0</v>
      </c>
    </row>
    <row r="20" spans="1:9" s="299" customFormat="1">
      <c r="A20" s="222" t="s">
        <v>486</v>
      </c>
      <c r="B20" s="300" t="s">
        <v>40</v>
      </c>
      <c r="C20" s="299" t="s">
        <v>54</v>
      </c>
      <c r="D20" s="257">
        <v>0</v>
      </c>
      <c r="E20" s="257">
        <v>0</v>
      </c>
      <c r="F20" s="257">
        <v>0</v>
      </c>
      <c r="G20" s="257">
        <v>0</v>
      </c>
      <c r="H20" s="257">
        <v>0</v>
      </c>
      <c r="I20" s="66">
        <f t="shared" si="1"/>
        <v>0</v>
      </c>
    </row>
    <row r="21" spans="1:9" s="299" customFormat="1">
      <c r="A21" s="222" t="s">
        <v>487</v>
      </c>
      <c r="B21" s="300" t="s">
        <v>40</v>
      </c>
      <c r="C21" s="299" t="s">
        <v>54</v>
      </c>
      <c r="D21" s="257">
        <v>208.48494364795957</v>
      </c>
      <c r="E21" s="257">
        <v>125.15926144787261</v>
      </c>
      <c r="F21" s="257">
        <v>100.15013801902219</v>
      </c>
      <c r="G21" s="257">
        <v>23.102828442572775</v>
      </c>
      <c r="H21" s="257">
        <v>23.102828442572775</v>
      </c>
      <c r="I21" s="66">
        <f t="shared" si="1"/>
        <v>479.99999999999989</v>
      </c>
    </row>
    <row r="22" spans="1:9" s="299" customFormat="1">
      <c r="A22" s="222" t="s">
        <v>488</v>
      </c>
      <c r="B22" s="300" t="s">
        <v>40</v>
      </c>
      <c r="C22" s="299" t="s">
        <v>54</v>
      </c>
      <c r="D22" s="257">
        <v>0</v>
      </c>
      <c r="E22" s="257">
        <v>0</v>
      </c>
      <c r="F22" s="257">
        <v>0</v>
      </c>
      <c r="G22" s="257">
        <v>0</v>
      </c>
      <c r="H22" s="257">
        <v>0</v>
      </c>
      <c r="I22" s="66">
        <f t="shared" si="1"/>
        <v>0</v>
      </c>
    </row>
    <row r="23" spans="1:9" s="299" customFormat="1">
      <c r="A23" s="222" t="s">
        <v>489</v>
      </c>
      <c r="B23" s="300" t="s">
        <v>40</v>
      </c>
      <c r="C23" s="299" t="s">
        <v>54</v>
      </c>
      <c r="D23" s="257">
        <v>0</v>
      </c>
      <c r="E23" s="257">
        <v>0</v>
      </c>
      <c r="F23" s="257">
        <v>0</v>
      </c>
      <c r="G23" s="257">
        <v>0</v>
      </c>
      <c r="H23" s="257">
        <v>0</v>
      </c>
      <c r="I23" s="66">
        <f t="shared" si="1"/>
        <v>0</v>
      </c>
    </row>
    <row r="24" spans="1:9" s="299" customFormat="1">
      <c r="A24" s="222" t="s">
        <v>490</v>
      </c>
      <c r="B24" s="300" t="s">
        <v>40</v>
      </c>
      <c r="C24" s="299" t="s">
        <v>54</v>
      </c>
      <c r="D24" s="257">
        <v>0</v>
      </c>
      <c r="E24" s="257">
        <v>0</v>
      </c>
      <c r="F24" s="257">
        <v>0</v>
      </c>
      <c r="G24" s="257">
        <v>0</v>
      </c>
      <c r="H24" s="257">
        <v>0</v>
      </c>
      <c r="I24" s="66">
        <f t="shared" si="1"/>
        <v>0</v>
      </c>
    </row>
    <row r="25" spans="1:9" s="299" customFormat="1">
      <c r="A25" s="222" t="s">
        <v>491</v>
      </c>
      <c r="B25" s="300" t="s">
        <v>40</v>
      </c>
      <c r="C25" s="299" t="s">
        <v>54</v>
      </c>
      <c r="D25" s="257">
        <v>0</v>
      </c>
      <c r="E25" s="257">
        <v>0</v>
      </c>
      <c r="F25" s="257">
        <v>0</v>
      </c>
      <c r="G25" s="257">
        <v>0</v>
      </c>
      <c r="H25" s="257">
        <v>0</v>
      </c>
      <c r="I25" s="66">
        <f t="shared" si="1"/>
        <v>0</v>
      </c>
    </row>
    <row r="26" spans="1:9" s="299" customFormat="1">
      <c r="A26" s="222" t="s">
        <v>492</v>
      </c>
      <c r="B26" s="300" t="s">
        <v>40</v>
      </c>
      <c r="C26" s="299" t="s">
        <v>54</v>
      </c>
      <c r="D26" s="257">
        <v>0</v>
      </c>
      <c r="E26" s="257">
        <v>0</v>
      </c>
      <c r="F26" s="257">
        <v>0</v>
      </c>
      <c r="G26" s="257">
        <v>0</v>
      </c>
      <c r="H26" s="257">
        <v>0</v>
      </c>
      <c r="I26" s="66">
        <f t="shared" si="1"/>
        <v>0</v>
      </c>
    </row>
    <row r="27" spans="1:9" s="299" customFormat="1">
      <c r="A27" s="222" t="s">
        <v>493</v>
      </c>
      <c r="B27" s="300" t="s">
        <v>40</v>
      </c>
      <c r="C27" s="299" t="s">
        <v>54</v>
      </c>
      <c r="D27" s="257">
        <v>0</v>
      </c>
      <c r="E27" s="257">
        <v>0</v>
      </c>
      <c r="F27" s="257">
        <v>0</v>
      </c>
      <c r="G27" s="257">
        <v>0</v>
      </c>
      <c r="H27" s="257">
        <v>0</v>
      </c>
      <c r="I27" s="66">
        <f t="shared" si="1"/>
        <v>0</v>
      </c>
    </row>
    <row r="28" spans="1:9" s="299" customFormat="1">
      <c r="A28" s="222" t="s">
        <v>494</v>
      </c>
      <c r="B28" s="300" t="s">
        <v>40</v>
      </c>
      <c r="C28" s="299" t="s">
        <v>54</v>
      </c>
      <c r="D28" s="257">
        <v>67</v>
      </c>
      <c r="E28" s="257">
        <v>68</v>
      </c>
      <c r="F28" s="257">
        <v>292</v>
      </c>
      <c r="G28" s="257">
        <v>247</v>
      </c>
      <c r="H28" s="257">
        <v>74</v>
      </c>
      <c r="I28" s="66">
        <f t="shared" si="1"/>
        <v>748</v>
      </c>
    </row>
    <row r="29" spans="1:9" s="299" customFormat="1">
      <c r="A29" s="222" t="s">
        <v>495</v>
      </c>
      <c r="B29" s="300" t="s">
        <v>40</v>
      </c>
      <c r="C29" s="299" t="s">
        <v>54</v>
      </c>
      <c r="D29" s="257">
        <v>83</v>
      </c>
      <c r="E29" s="257">
        <v>101</v>
      </c>
      <c r="F29" s="257">
        <v>0</v>
      </c>
      <c r="G29" s="257">
        <v>39</v>
      </c>
      <c r="H29" s="257">
        <v>0</v>
      </c>
      <c r="I29" s="66">
        <f t="shared" si="1"/>
        <v>223</v>
      </c>
    </row>
    <row r="30" spans="1:9" s="299" customFormat="1">
      <c r="A30" s="222" t="s">
        <v>496</v>
      </c>
      <c r="B30" s="300" t="s">
        <v>40</v>
      </c>
      <c r="C30" s="299" t="s">
        <v>54</v>
      </c>
      <c r="D30" s="257">
        <v>0</v>
      </c>
      <c r="E30" s="257">
        <v>0</v>
      </c>
      <c r="F30" s="257">
        <v>0</v>
      </c>
      <c r="G30" s="257">
        <v>0</v>
      </c>
      <c r="H30" s="257">
        <v>0</v>
      </c>
      <c r="I30" s="66">
        <f t="shared" si="1"/>
        <v>0</v>
      </c>
    </row>
    <row r="31" spans="1:9" s="299" customFormat="1">
      <c r="A31" s="222" t="s">
        <v>497</v>
      </c>
      <c r="B31" s="300" t="s">
        <v>40</v>
      </c>
      <c r="C31" s="299" t="s">
        <v>54</v>
      </c>
      <c r="D31" s="257">
        <v>450.5625</v>
      </c>
      <c r="E31" s="257">
        <v>228.06249999999997</v>
      </c>
      <c r="F31" s="257">
        <v>144.625</v>
      </c>
      <c r="G31" s="257">
        <v>33.374999999999993</v>
      </c>
      <c r="H31" s="257">
        <v>33.374999999999993</v>
      </c>
      <c r="I31" s="66">
        <f t="shared" si="1"/>
        <v>890</v>
      </c>
    </row>
    <row r="32" spans="1:9" s="299" customFormat="1">
      <c r="A32" s="222" t="s">
        <v>498</v>
      </c>
      <c r="B32" s="300" t="s">
        <v>40</v>
      </c>
      <c r="C32" s="299" t="s">
        <v>54</v>
      </c>
      <c r="D32" s="257">
        <v>22</v>
      </c>
      <c r="E32" s="257">
        <v>22</v>
      </c>
      <c r="F32" s="257">
        <v>22</v>
      </c>
      <c r="G32" s="257">
        <v>22</v>
      </c>
      <c r="H32" s="257">
        <v>22</v>
      </c>
      <c r="I32" s="66">
        <f t="shared" si="1"/>
        <v>110</v>
      </c>
    </row>
    <row r="33" spans="1:12" s="299" customFormat="1">
      <c r="A33" s="1" t="s">
        <v>20</v>
      </c>
      <c r="B33" s="1"/>
      <c r="C33" s="1"/>
      <c r="D33" s="316">
        <f>SUM(D15:D32)</f>
        <v>2302.3474436479596</v>
      </c>
      <c r="E33" s="316">
        <f t="shared" ref="E33:H33" si="2">SUM(E15:E32)</f>
        <v>1833.7217614478727</v>
      </c>
      <c r="F33" s="316">
        <f t="shared" si="2"/>
        <v>1715.2751380190223</v>
      </c>
      <c r="G33" s="316">
        <f t="shared" si="2"/>
        <v>1525.4778284425727</v>
      </c>
      <c r="H33" s="316">
        <f t="shared" si="2"/>
        <v>1452.6778284425727</v>
      </c>
      <c r="I33" s="256">
        <f t="shared" si="1"/>
        <v>8829.5</v>
      </c>
    </row>
    <row r="34" spans="1:12" s="299" customFormat="1">
      <c r="A34" s="1"/>
      <c r="B34" s="1"/>
      <c r="C34" s="1"/>
      <c r="D34" s="228"/>
      <c r="E34" s="228"/>
      <c r="F34" s="228"/>
      <c r="G34" s="228"/>
      <c r="H34" s="228"/>
      <c r="I34" s="228"/>
    </row>
    <row r="35" spans="1:12" s="299" customFormat="1">
      <c r="A35" s="1" t="s">
        <v>504</v>
      </c>
      <c r="B35" s="1" t="s">
        <v>10</v>
      </c>
      <c r="C35" s="1" t="s">
        <v>11</v>
      </c>
      <c r="D35" s="228" t="s">
        <v>5</v>
      </c>
      <c r="E35" s="228" t="s">
        <v>6</v>
      </c>
      <c r="F35" s="228" t="s">
        <v>7</v>
      </c>
      <c r="G35" s="228" t="s">
        <v>8</v>
      </c>
      <c r="H35" s="228" t="s">
        <v>9</v>
      </c>
      <c r="I35" s="228" t="s">
        <v>20</v>
      </c>
    </row>
    <row r="36" spans="1:12" s="299" customFormat="1">
      <c r="A36" s="222" t="s">
        <v>483</v>
      </c>
      <c r="B36" s="300" t="s">
        <v>40</v>
      </c>
      <c r="C36" s="299" t="s">
        <v>54</v>
      </c>
      <c r="D36" s="257">
        <v>47.5</v>
      </c>
      <c r="E36" s="257">
        <v>47.5</v>
      </c>
      <c r="F36" s="257">
        <v>10</v>
      </c>
      <c r="G36" s="257">
        <v>10</v>
      </c>
      <c r="H36" s="257">
        <v>10</v>
      </c>
      <c r="I36" s="66">
        <f t="shared" ref="I36:I37" si="3">SUM(D36:H36)</f>
        <v>125</v>
      </c>
    </row>
    <row r="37" spans="1:12" s="299" customFormat="1">
      <c r="A37" s="1" t="s">
        <v>20</v>
      </c>
      <c r="B37" s="1"/>
      <c r="C37" s="1"/>
      <c r="D37" s="256">
        <f>SUM(D36)</f>
        <v>47.5</v>
      </c>
      <c r="E37" s="256">
        <f t="shared" ref="E37:H37" si="4">SUM(E36)</f>
        <v>47.5</v>
      </c>
      <c r="F37" s="256">
        <f t="shared" si="4"/>
        <v>10</v>
      </c>
      <c r="G37" s="256">
        <f t="shared" si="4"/>
        <v>10</v>
      </c>
      <c r="H37" s="256">
        <f t="shared" si="4"/>
        <v>10</v>
      </c>
      <c r="I37" s="256">
        <f t="shared" si="3"/>
        <v>125</v>
      </c>
    </row>
    <row r="38" spans="1:12" s="299" customFormat="1">
      <c r="A38" s="1"/>
      <c r="B38" s="1"/>
      <c r="C38" s="1"/>
      <c r="D38" s="228"/>
      <c r="E38" s="228"/>
      <c r="F38" s="228"/>
      <c r="G38" s="228"/>
      <c r="H38" s="228"/>
      <c r="I38" s="228"/>
    </row>
    <row r="39" spans="1:12" s="299" customFormat="1" ht="18">
      <c r="A39" s="267" t="s">
        <v>500</v>
      </c>
      <c r="B39" s="300"/>
      <c r="C39" s="300"/>
      <c r="D39" s="257"/>
      <c r="E39" s="257"/>
      <c r="F39" s="257"/>
      <c r="G39" s="257"/>
      <c r="H39" s="257"/>
      <c r="I39" s="257"/>
    </row>
    <row r="40" spans="1:12" s="299" customFormat="1">
      <c r="A40" s="300"/>
      <c r="B40" s="300"/>
      <c r="C40" s="300"/>
      <c r="D40" s="257"/>
      <c r="E40" s="257"/>
      <c r="F40" s="257"/>
      <c r="G40" s="257"/>
      <c r="H40" s="257"/>
      <c r="I40" s="257"/>
    </row>
    <row r="41" spans="1:12" s="299" customFormat="1">
      <c r="A41" s="1" t="s">
        <v>91</v>
      </c>
      <c r="B41"/>
      <c r="C41"/>
      <c r="D41"/>
    </row>
    <row r="42" spans="1:12" s="299" customFormat="1">
      <c r="A42" s="222" t="s">
        <v>143</v>
      </c>
      <c r="B42" t="s">
        <v>12</v>
      </c>
      <c r="C42"/>
      <c r="D42" s="224">
        <v>5.0000000000000001E-3</v>
      </c>
    </row>
    <row r="44" spans="1:12">
      <c r="A44" s="1" t="s">
        <v>158</v>
      </c>
      <c r="B44" s="299"/>
      <c r="C44" s="299"/>
      <c r="D44" s="299"/>
    </row>
    <row r="45" spans="1:12">
      <c r="A45" s="222" t="s">
        <v>468</v>
      </c>
      <c r="B45" s="299" t="s">
        <v>12</v>
      </c>
      <c r="C45" s="299"/>
      <c r="D45" s="224">
        <v>0.03</v>
      </c>
      <c r="L45" s="71"/>
    </row>
    <row r="46" spans="1:12" s="299" customFormat="1">
      <c r="A46" s="222" t="s">
        <v>801</v>
      </c>
      <c r="B46" s="300" t="s">
        <v>40</v>
      </c>
      <c r="C46" s="299" t="s">
        <v>54</v>
      </c>
      <c r="D46" s="71">
        <f>D45*'DD forecasts'!I43/5</f>
        <v>132.25664316667343</v>
      </c>
      <c r="L46" s="71"/>
    </row>
    <row r="48" spans="1:12">
      <c r="A48" s="1" t="s">
        <v>18</v>
      </c>
      <c r="B48" s="1" t="s">
        <v>10</v>
      </c>
      <c r="C48" s="1" t="s">
        <v>11</v>
      </c>
      <c r="D48" s="228" t="s">
        <v>5</v>
      </c>
      <c r="E48" s="228" t="s">
        <v>6</v>
      </c>
      <c r="F48" s="228" t="s">
        <v>7</v>
      </c>
      <c r="G48" s="228" t="s">
        <v>8</v>
      </c>
      <c r="H48" s="228" t="s">
        <v>9</v>
      </c>
      <c r="I48" s="228" t="s">
        <v>20</v>
      </c>
    </row>
    <row r="49" spans="1:9">
      <c r="A49" t="s">
        <v>18</v>
      </c>
      <c r="B49" s="300" t="s">
        <v>40</v>
      </c>
      <c r="C49" s="299" t="s">
        <v>54</v>
      </c>
      <c r="D49" s="71">
        <v>529.20000000000005</v>
      </c>
      <c r="E49" s="71">
        <v>529.20000000000005</v>
      </c>
      <c r="F49" s="71">
        <v>529.20000000000005</v>
      </c>
      <c r="G49" s="71">
        <v>529.20000000000005</v>
      </c>
      <c r="H49" s="71">
        <v>529.20000000000005</v>
      </c>
      <c r="I49" s="66">
        <f t="shared" ref="I49" si="5">SUM(D49:H49)</f>
        <v>2646</v>
      </c>
    </row>
    <row r="51" spans="1:9">
      <c r="A51" s="1" t="s">
        <v>125</v>
      </c>
      <c r="D51" s="228" t="s">
        <v>5</v>
      </c>
      <c r="E51" s="228" t="s">
        <v>6</v>
      </c>
      <c r="F51" s="228" t="s">
        <v>7</v>
      </c>
      <c r="G51" s="228" t="s">
        <v>8</v>
      </c>
      <c r="H51" s="228" t="s">
        <v>9</v>
      </c>
      <c r="I51" s="228" t="s">
        <v>20</v>
      </c>
    </row>
    <row r="52" spans="1:9">
      <c r="A52" t="s">
        <v>125</v>
      </c>
      <c r="B52" s="300" t="s">
        <v>40</v>
      </c>
      <c r="C52" s="299" t="s">
        <v>54</v>
      </c>
      <c r="D52" s="66">
        <v>0</v>
      </c>
      <c r="E52" s="66">
        <v>0</v>
      </c>
      <c r="F52" s="66">
        <v>0</v>
      </c>
      <c r="G52" s="66">
        <v>0</v>
      </c>
      <c r="H52" s="66">
        <v>0</v>
      </c>
      <c r="I52" s="66">
        <f t="shared" ref="I52" si="6">SUM(D52:H52)</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N81"/>
  <sheetViews>
    <sheetView showGridLines="0" zoomScale="80" zoomScaleNormal="80" workbookViewId="0"/>
  </sheetViews>
  <sheetFormatPr defaultColWidth="8.6640625" defaultRowHeight="14.25"/>
  <cols>
    <col min="1" max="1" width="87" style="299" customWidth="1"/>
    <col min="2" max="2" width="8.6640625" style="299"/>
    <col min="3" max="3" width="14.33203125" style="299" customWidth="1"/>
    <col min="4" max="8" width="9.1328125" style="299" bestFit="1" customWidth="1"/>
    <col min="9" max="9" width="10.1328125" style="299" bestFit="1" customWidth="1"/>
    <col min="10" max="16384" width="8.6640625" style="299"/>
  </cols>
  <sheetData>
    <row r="1" spans="1:9" ht="18">
      <c r="A1" s="267" t="s">
        <v>809</v>
      </c>
      <c r="B1" s="268"/>
    </row>
    <row r="3" spans="1:9" ht="18">
      <c r="A3" s="267" t="s">
        <v>644</v>
      </c>
    </row>
    <row r="4" spans="1:9">
      <c r="B4" s="1" t="s">
        <v>10</v>
      </c>
      <c r="C4" s="1" t="s">
        <v>11</v>
      </c>
      <c r="D4" s="228" t="s">
        <v>5</v>
      </c>
      <c r="E4" s="228" t="s">
        <v>6</v>
      </c>
      <c r="F4" s="228" t="s">
        <v>7</v>
      </c>
      <c r="G4" s="228" t="s">
        <v>8</v>
      </c>
      <c r="H4" s="228" t="s">
        <v>9</v>
      </c>
      <c r="I4" s="228" t="s">
        <v>20</v>
      </c>
    </row>
    <row r="5" spans="1:9">
      <c r="A5" s="299" t="s">
        <v>645</v>
      </c>
      <c r="B5" s="300" t="s">
        <v>40</v>
      </c>
      <c r="C5" s="299" t="s">
        <v>54</v>
      </c>
      <c r="D5" s="71">
        <v>347.20000000000005</v>
      </c>
      <c r="E5" s="71">
        <v>434</v>
      </c>
      <c r="F5" s="71">
        <v>434</v>
      </c>
      <c r="G5" s="71">
        <v>434</v>
      </c>
      <c r="H5" s="71">
        <v>434</v>
      </c>
      <c r="I5" s="66">
        <f t="shared" ref="I5:I7" si="0">SUM(D5:H5)</f>
        <v>2083.1999999999998</v>
      </c>
    </row>
    <row r="6" spans="1:9">
      <c r="A6" s="299" t="s">
        <v>646</v>
      </c>
      <c r="B6" s="300" t="s">
        <v>40</v>
      </c>
      <c r="C6" s="299" t="s">
        <v>54</v>
      </c>
      <c r="D6" s="71">
        <v>1928.4028691763961</v>
      </c>
      <c r="E6" s="71">
        <v>1076.61140105237</v>
      </c>
      <c r="F6" s="71">
        <v>874.86140105237018</v>
      </c>
      <c r="G6" s="71">
        <v>758.74060432239571</v>
      </c>
      <c r="H6" s="71">
        <v>689.3837243964681</v>
      </c>
      <c r="I6" s="66">
        <f t="shared" si="0"/>
        <v>5328</v>
      </c>
    </row>
    <row r="7" spans="1:9">
      <c r="A7" s="299" t="s">
        <v>647</v>
      </c>
      <c r="B7" s="300" t="s">
        <v>40</v>
      </c>
      <c r="C7" s="299" t="s">
        <v>54</v>
      </c>
      <c r="D7" s="71">
        <v>0</v>
      </c>
      <c r="E7" s="71">
        <v>0</v>
      </c>
      <c r="F7" s="71">
        <v>0</v>
      </c>
      <c r="G7" s="71">
        <v>0</v>
      </c>
      <c r="H7" s="71">
        <v>0</v>
      </c>
      <c r="I7" s="66">
        <f t="shared" si="0"/>
        <v>0</v>
      </c>
    </row>
    <row r="9" spans="1:9" ht="18">
      <c r="A9" s="267" t="s">
        <v>620</v>
      </c>
    </row>
    <row r="10" spans="1:9">
      <c r="B10" s="300"/>
      <c r="I10" s="66"/>
    </row>
    <row r="11" spans="1:9">
      <c r="A11" s="1" t="s">
        <v>501</v>
      </c>
      <c r="B11" s="1" t="s">
        <v>10</v>
      </c>
      <c r="C11" s="1" t="s">
        <v>11</v>
      </c>
      <c r="D11" s="228" t="s">
        <v>5</v>
      </c>
      <c r="E11" s="228" t="s">
        <v>6</v>
      </c>
      <c r="F11" s="228" t="s">
        <v>7</v>
      </c>
      <c r="G11" s="228" t="s">
        <v>8</v>
      </c>
      <c r="H11" s="228" t="s">
        <v>9</v>
      </c>
      <c r="I11" s="228" t="s">
        <v>20</v>
      </c>
    </row>
    <row r="12" spans="1:9">
      <c r="A12" s="222" t="s">
        <v>650</v>
      </c>
      <c r="B12" s="300" t="s">
        <v>40</v>
      </c>
      <c r="C12" s="299" t="s">
        <v>54</v>
      </c>
      <c r="D12" s="71">
        <f>'DD allowances'!D12+D5</f>
        <v>13121.425116835189</v>
      </c>
      <c r="E12" s="71">
        <f>'DD allowances'!E12+E5</f>
        <v>13231.707861657063</v>
      </c>
      <c r="F12" s="71">
        <f>'DD allowances'!F12+F5</f>
        <v>13707.703486876142</v>
      </c>
      <c r="G12" s="71">
        <f>'DD allowances'!G12+G5</f>
        <v>14278.434104260514</v>
      </c>
      <c r="H12" s="71">
        <f>'DD allowances'!H12+H5</f>
        <v>12825.460912135251</v>
      </c>
      <c r="I12" s="66">
        <f t="shared" ref="I12:I14" si="1">SUM(D12:H12)</f>
        <v>67164.73148176416</v>
      </c>
    </row>
    <row r="13" spans="1:9">
      <c r="A13" s="222" t="s">
        <v>641</v>
      </c>
      <c r="B13" s="300" t="s">
        <v>40</v>
      </c>
      <c r="C13" s="299" t="s">
        <v>54</v>
      </c>
      <c r="D13" s="71">
        <f>'DD allowances'!D33+D6</f>
        <v>4230.7503128243552</v>
      </c>
      <c r="E13" s="71">
        <f>'DD allowances'!E33+E6</f>
        <v>2910.3331625002429</v>
      </c>
      <c r="F13" s="71">
        <f>'DD allowances'!F33+F6</f>
        <v>2590.1365390713927</v>
      </c>
      <c r="G13" s="71">
        <f>'DD allowances'!G33+G6</f>
        <v>2284.2184327649684</v>
      </c>
      <c r="H13" s="71">
        <f>'DD allowances'!H33+H6</f>
        <v>2142.0615528390408</v>
      </c>
      <c r="I13" s="66">
        <f t="shared" si="1"/>
        <v>14157.5</v>
      </c>
    </row>
    <row r="14" spans="1:9">
      <c r="A14" s="222" t="s">
        <v>642</v>
      </c>
      <c r="B14" s="300" t="s">
        <v>40</v>
      </c>
      <c r="C14" s="299" t="s">
        <v>54</v>
      </c>
      <c r="D14" s="318">
        <f>'DD allowances'!D37+D7</f>
        <v>47.5</v>
      </c>
      <c r="E14" s="318">
        <f>'DD allowances'!E37+E7</f>
        <v>47.5</v>
      </c>
      <c r="F14" s="318">
        <f>'DD allowances'!F37+F7</f>
        <v>10</v>
      </c>
      <c r="G14" s="318">
        <f>'DD allowances'!G37+G7</f>
        <v>10</v>
      </c>
      <c r="H14" s="318">
        <f>'DD allowances'!H37+H7</f>
        <v>10</v>
      </c>
      <c r="I14" s="66">
        <f t="shared" si="1"/>
        <v>125</v>
      </c>
    </row>
    <row r="15" spans="1:9">
      <c r="A15" s="222"/>
      <c r="B15" s="300"/>
      <c r="D15" s="318"/>
      <c r="E15" s="318"/>
      <c r="F15" s="318"/>
      <c r="G15" s="318"/>
      <c r="H15" s="318"/>
      <c r="I15" s="66"/>
    </row>
    <row r="16" spans="1:9">
      <c r="A16" s="1" t="s">
        <v>648</v>
      </c>
      <c r="B16" s="1" t="s">
        <v>10</v>
      </c>
      <c r="C16" s="1" t="s">
        <v>11</v>
      </c>
      <c r="D16" s="228" t="s">
        <v>5</v>
      </c>
      <c r="E16" s="228" t="s">
        <v>6</v>
      </c>
      <c r="F16" s="228" t="s">
        <v>7</v>
      </c>
      <c r="G16" s="228" t="s">
        <v>8</v>
      </c>
      <c r="H16" s="228" t="s">
        <v>9</v>
      </c>
      <c r="I16" s="228" t="s">
        <v>20</v>
      </c>
    </row>
    <row r="17" spans="1:9">
      <c r="A17" s="222" t="s">
        <v>651</v>
      </c>
      <c r="B17" s="300" t="s">
        <v>40</v>
      </c>
      <c r="C17" s="299" t="s">
        <v>54</v>
      </c>
      <c r="D17" s="71">
        <v>0</v>
      </c>
      <c r="E17" s="71">
        <v>0</v>
      </c>
      <c r="F17" s="71">
        <v>0</v>
      </c>
      <c r="G17" s="71">
        <v>0</v>
      </c>
      <c r="H17" s="71">
        <v>0</v>
      </c>
      <c r="I17" s="66">
        <f t="shared" ref="I17:I19" si="2">SUM(D17:H17)</f>
        <v>0</v>
      </c>
    </row>
    <row r="18" spans="1:9">
      <c r="A18" s="222" t="s">
        <v>652</v>
      </c>
      <c r="B18" s="300" t="s">
        <v>40</v>
      </c>
      <c r="C18" s="299" t="s">
        <v>54</v>
      </c>
      <c r="D18" s="71">
        <v>0</v>
      </c>
      <c r="E18" s="71">
        <v>0</v>
      </c>
      <c r="F18" s="71">
        <v>0</v>
      </c>
      <c r="G18" s="71">
        <v>0</v>
      </c>
      <c r="H18" s="71">
        <v>0</v>
      </c>
      <c r="I18" s="66">
        <f t="shared" si="2"/>
        <v>0</v>
      </c>
    </row>
    <row r="19" spans="1:9">
      <c r="A19" s="222" t="s">
        <v>653</v>
      </c>
      <c r="B19" s="300" t="s">
        <v>40</v>
      </c>
      <c r="C19" s="299" t="s">
        <v>54</v>
      </c>
      <c r="D19" s="71">
        <v>0</v>
      </c>
      <c r="E19" s="71">
        <v>0</v>
      </c>
      <c r="F19" s="71">
        <v>0</v>
      </c>
      <c r="G19" s="71">
        <v>0</v>
      </c>
      <c r="H19" s="71">
        <v>0</v>
      </c>
      <c r="I19" s="66">
        <f t="shared" si="2"/>
        <v>0</v>
      </c>
    </row>
    <row r="20" spans="1:9">
      <c r="A20" s="222"/>
      <c r="B20" s="300"/>
      <c r="D20" s="318"/>
      <c r="E20" s="318"/>
      <c r="F20" s="318"/>
      <c r="G20" s="318"/>
      <c r="H20" s="318"/>
      <c r="I20" s="66"/>
    </row>
    <row r="21" spans="1:9">
      <c r="A21" s="1" t="s">
        <v>649</v>
      </c>
      <c r="B21" s="1" t="s">
        <v>10</v>
      </c>
      <c r="C21" s="1" t="s">
        <v>11</v>
      </c>
      <c r="D21" s="228" t="s">
        <v>5</v>
      </c>
      <c r="E21" s="228" t="s">
        <v>6</v>
      </c>
      <c r="F21" s="228" t="s">
        <v>7</v>
      </c>
      <c r="G21" s="228" t="s">
        <v>8</v>
      </c>
      <c r="H21" s="228" t="s">
        <v>9</v>
      </c>
      <c r="I21" s="228" t="s">
        <v>20</v>
      </c>
    </row>
    <row r="22" spans="1:9">
      <c r="A22" s="222" t="s">
        <v>654</v>
      </c>
      <c r="B22" s="300" t="s">
        <v>40</v>
      </c>
      <c r="C22" s="299" t="s">
        <v>54</v>
      </c>
      <c r="D22" s="71">
        <v>0</v>
      </c>
      <c r="E22" s="71">
        <v>0</v>
      </c>
      <c r="F22" s="71">
        <v>0</v>
      </c>
      <c r="G22" s="71">
        <v>0</v>
      </c>
      <c r="H22" s="71">
        <v>0</v>
      </c>
      <c r="I22" s="66">
        <f t="shared" ref="I22:I24" si="3">SUM(D22:H22)</f>
        <v>0</v>
      </c>
    </row>
    <row r="23" spans="1:9">
      <c r="A23" s="222" t="s">
        <v>655</v>
      </c>
      <c r="B23" s="300" t="s">
        <v>40</v>
      </c>
      <c r="C23" s="299" t="s">
        <v>54</v>
      </c>
      <c r="D23" s="71">
        <v>0</v>
      </c>
      <c r="E23" s="71">
        <v>0</v>
      </c>
      <c r="F23" s="71">
        <v>0</v>
      </c>
      <c r="G23" s="71">
        <v>0</v>
      </c>
      <c r="H23" s="71">
        <v>0</v>
      </c>
      <c r="I23" s="66">
        <f t="shared" si="3"/>
        <v>0</v>
      </c>
    </row>
    <row r="24" spans="1:9">
      <c r="A24" s="222" t="s">
        <v>656</v>
      </c>
      <c r="B24" s="300" t="s">
        <v>40</v>
      </c>
      <c r="C24" s="299" t="s">
        <v>54</v>
      </c>
      <c r="D24" s="71">
        <v>0</v>
      </c>
      <c r="E24" s="71">
        <v>0</v>
      </c>
      <c r="F24" s="71">
        <v>0</v>
      </c>
      <c r="G24" s="71">
        <v>0</v>
      </c>
      <c r="H24" s="71">
        <v>0</v>
      </c>
      <c r="I24" s="66">
        <f t="shared" si="3"/>
        <v>0</v>
      </c>
    </row>
    <row r="25" spans="1:9">
      <c r="A25" s="222"/>
      <c r="B25" s="300"/>
      <c r="D25" s="71"/>
      <c r="E25" s="71"/>
      <c r="F25" s="71"/>
      <c r="G25" s="71"/>
      <c r="H25" s="71"/>
      <c r="I25" s="66"/>
    </row>
    <row r="26" spans="1:9">
      <c r="A26" s="1" t="s">
        <v>657</v>
      </c>
      <c r="B26" s="1" t="s">
        <v>10</v>
      </c>
      <c r="C26" s="1" t="s">
        <v>11</v>
      </c>
      <c r="D26" s="228" t="s">
        <v>5</v>
      </c>
      <c r="E26" s="228" t="s">
        <v>6</v>
      </c>
      <c r="F26" s="228" t="s">
        <v>7</v>
      </c>
      <c r="G26" s="228" t="s">
        <v>8</v>
      </c>
      <c r="H26" s="228" t="s">
        <v>9</v>
      </c>
      <c r="I26" s="228" t="s">
        <v>20</v>
      </c>
    </row>
    <row r="27" spans="1:9">
      <c r="A27" s="222" t="s">
        <v>658</v>
      </c>
      <c r="B27" s="300" t="s">
        <v>40</v>
      </c>
      <c r="C27" s="299" t="s">
        <v>54</v>
      </c>
      <c r="D27" s="71">
        <v>0</v>
      </c>
      <c r="E27" s="71">
        <v>0</v>
      </c>
      <c r="F27" s="71">
        <v>0</v>
      </c>
      <c r="G27" s="71">
        <v>0</v>
      </c>
      <c r="H27" s="71">
        <v>0</v>
      </c>
      <c r="I27" s="66">
        <f t="shared" ref="I27:I31" si="4">SUM(D27:H27)</f>
        <v>0</v>
      </c>
    </row>
    <row r="28" spans="1:9">
      <c r="A28" s="222" t="s">
        <v>659</v>
      </c>
      <c r="B28" s="300" t="s">
        <v>40</v>
      </c>
      <c r="C28" s="299" t="s">
        <v>54</v>
      </c>
      <c r="D28" s="71">
        <v>0</v>
      </c>
      <c r="E28" s="71">
        <v>0</v>
      </c>
      <c r="F28" s="71">
        <v>0</v>
      </c>
      <c r="G28" s="71">
        <v>0</v>
      </c>
      <c r="H28" s="71">
        <v>0</v>
      </c>
      <c r="I28" s="66">
        <f t="shared" si="4"/>
        <v>0</v>
      </c>
    </row>
    <row r="29" spans="1:9">
      <c r="A29" s="222" t="s">
        <v>660</v>
      </c>
      <c r="B29" s="300" t="s">
        <v>40</v>
      </c>
      <c r="C29" s="299" t="s">
        <v>54</v>
      </c>
      <c r="D29" s="71">
        <v>0</v>
      </c>
      <c r="E29" s="71">
        <v>0</v>
      </c>
      <c r="F29" s="71">
        <v>0</v>
      </c>
      <c r="G29" s="71">
        <v>0</v>
      </c>
      <c r="H29" s="71">
        <v>0</v>
      </c>
      <c r="I29" s="66">
        <f t="shared" si="4"/>
        <v>0</v>
      </c>
    </row>
    <row r="30" spans="1:9">
      <c r="A30" s="222"/>
      <c r="B30" s="300"/>
      <c r="D30" s="71"/>
      <c r="E30" s="71"/>
      <c r="F30" s="71"/>
      <c r="G30" s="71"/>
      <c r="H30" s="71"/>
      <c r="I30" s="66"/>
    </row>
    <row r="31" spans="1:9">
      <c r="A31" s="1" t="s">
        <v>772</v>
      </c>
      <c r="B31" s="300" t="s">
        <v>40</v>
      </c>
      <c r="C31" s="299" t="s">
        <v>54</v>
      </c>
      <c r="D31" s="71">
        <f>'DD allowances'!D49</f>
        <v>529.20000000000005</v>
      </c>
      <c r="E31" s="71">
        <f>'DD allowances'!E49</f>
        <v>529.20000000000005</v>
      </c>
      <c r="F31" s="71">
        <f>'DD allowances'!F49</f>
        <v>529.20000000000005</v>
      </c>
      <c r="G31" s="71">
        <f>'DD allowances'!G49</f>
        <v>529.20000000000005</v>
      </c>
      <c r="H31" s="71">
        <f>'DD allowances'!H49</f>
        <v>529.20000000000005</v>
      </c>
      <c r="I31" s="66">
        <f t="shared" si="4"/>
        <v>2646</v>
      </c>
    </row>
    <row r="32" spans="1:9">
      <c r="A32" s="222"/>
      <c r="B32" s="300"/>
      <c r="D32" s="71"/>
      <c r="E32" s="71"/>
      <c r="F32" s="71"/>
      <c r="G32" s="71"/>
      <c r="H32" s="71"/>
      <c r="I32" s="66"/>
    </row>
    <row r="33" spans="1:14">
      <c r="A33" s="1" t="s">
        <v>622</v>
      </c>
      <c r="B33" s="1" t="s">
        <v>10</v>
      </c>
      <c r="C33" s="1" t="s">
        <v>11</v>
      </c>
      <c r="D33" s="228" t="s">
        <v>5</v>
      </c>
      <c r="E33" s="228" t="s">
        <v>6</v>
      </c>
      <c r="F33" s="228" t="s">
        <v>7</v>
      </c>
      <c r="G33" s="228" t="s">
        <v>8</v>
      </c>
      <c r="H33" s="228" t="s">
        <v>9</v>
      </c>
      <c r="I33" s="228" t="s">
        <v>20</v>
      </c>
    </row>
    <row r="34" spans="1:14">
      <c r="A34" s="234" t="s">
        <v>624</v>
      </c>
      <c r="B34" s="300" t="s">
        <v>40</v>
      </c>
      <c r="C34" s="300" t="s">
        <v>54</v>
      </c>
      <c r="D34" s="71">
        <v>437.53257420129</v>
      </c>
      <c r="E34" s="71">
        <v>436.67433499533831</v>
      </c>
      <c r="F34" s="71">
        <v>436.70055855566818</v>
      </c>
      <c r="G34" s="71">
        <v>433.3180819397428</v>
      </c>
      <c r="H34" s="71">
        <v>432.15984988173909</v>
      </c>
      <c r="I34" s="66">
        <f t="shared" ref="I34:I37" si="5">SUM(D34:H34)</f>
        <v>2176.3853995737782</v>
      </c>
      <c r="J34" s="71"/>
      <c r="K34" s="71"/>
      <c r="L34" s="71"/>
      <c r="M34" s="71"/>
      <c r="N34" s="71"/>
    </row>
    <row r="35" spans="1:14">
      <c r="A35" s="300" t="s">
        <v>180</v>
      </c>
      <c r="B35" s="300" t="s">
        <v>40</v>
      </c>
      <c r="C35" s="300" t="s">
        <v>54</v>
      </c>
      <c r="D35" s="71">
        <v>100.00000000000001</v>
      </c>
      <c r="E35" s="71">
        <v>100.00000000000001</v>
      </c>
      <c r="F35" s="71">
        <v>100</v>
      </c>
      <c r="G35" s="71">
        <v>99.999999999999986</v>
      </c>
      <c r="H35" s="71">
        <v>99.999999999999972</v>
      </c>
      <c r="I35" s="66">
        <f t="shared" si="5"/>
        <v>500</v>
      </c>
    </row>
    <row r="36" spans="1:14">
      <c r="A36" s="300" t="s">
        <v>199</v>
      </c>
      <c r="B36" s="300" t="s">
        <v>40</v>
      </c>
      <c r="C36" s="300" t="s">
        <v>54</v>
      </c>
      <c r="D36" s="71">
        <v>143</v>
      </c>
      <c r="E36" s="71">
        <v>143.00000000000003</v>
      </c>
      <c r="F36" s="71">
        <v>143</v>
      </c>
      <c r="G36" s="71">
        <v>143</v>
      </c>
      <c r="H36" s="71">
        <v>0</v>
      </c>
      <c r="I36" s="66">
        <f t="shared" si="5"/>
        <v>572</v>
      </c>
    </row>
    <row r="37" spans="1:14">
      <c r="A37" s="222" t="s">
        <v>767</v>
      </c>
      <c r="B37" s="300" t="s">
        <v>40</v>
      </c>
      <c r="C37" s="300" t="s">
        <v>54</v>
      </c>
      <c r="D37" s="71">
        <v>120</v>
      </c>
      <c r="E37" s="71">
        <v>120</v>
      </c>
      <c r="F37" s="71">
        <v>120</v>
      </c>
      <c r="G37" s="71">
        <v>120</v>
      </c>
      <c r="H37" s="71">
        <v>120</v>
      </c>
      <c r="I37" s="66">
        <f t="shared" si="5"/>
        <v>600</v>
      </c>
    </row>
    <row r="38" spans="1:14">
      <c r="A38" s="1" t="s">
        <v>768</v>
      </c>
      <c r="B38" s="300" t="s">
        <v>40</v>
      </c>
      <c r="C38" s="299" t="s">
        <v>54</v>
      </c>
      <c r="D38" s="417">
        <f>SUM(D34:D37)</f>
        <v>800.53257420129</v>
      </c>
      <c r="E38" s="417">
        <f>SUM(E34:E37)</f>
        <v>799.67433499533831</v>
      </c>
      <c r="F38" s="417">
        <f>SUM(F34:F37)</f>
        <v>799.70055855566818</v>
      </c>
      <c r="G38" s="417">
        <f>SUM(G34:G37)</f>
        <v>796.3180819397428</v>
      </c>
      <c r="H38" s="417">
        <f>SUM(H34:H37)</f>
        <v>652.15984988173909</v>
      </c>
      <c r="I38" s="66">
        <f>SUM(D38:H38)</f>
        <v>3848.3853995737782</v>
      </c>
    </row>
    <row r="39" spans="1:14">
      <c r="A39" s="1"/>
      <c r="B39" s="1"/>
      <c r="C39" s="1"/>
      <c r="D39" s="238"/>
      <c r="E39" s="238"/>
      <c r="F39" s="238"/>
      <c r="G39" s="238"/>
      <c r="H39" s="238"/>
      <c r="I39" s="228"/>
    </row>
    <row r="40" spans="1:14">
      <c r="A40" s="299" t="s">
        <v>769</v>
      </c>
      <c r="B40" s="300" t="s">
        <v>40</v>
      </c>
      <c r="C40" s="299" t="s">
        <v>54</v>
      </c>
      <c r="D40" s="257">
        <f>'SONI BPDT RAB'!I41</f>
        <v>5074.2615384615383</v>
      </c>
      <c r="E40" s="257">
        <f>'SONI BPDT RAB'!J41</f>
        <v>3991.1461538461544</v>
      </c>
      <c r="F40" s="257">
        <f>'SONI BPDT RAB'!K41</f>
        <v>3299.6846153846159</v>
      </c>
      <c r="G40" s="257">
        <f>'SONI BPDT RAB'!L41</f>
        <v>2784.1153846153852</v>
      </c>
      <c r="H40" s="257">
        <f>'SONI BPDT RAB'!M41</f>
        <v>2149.7307692307691</v>
      </c>
      <c r="I40" s="66">
        <f>SUM(D40:H40)</f>
        <v>17298.938461538462</v>
      </c>
    </row>
    <row r="41" spans="1:14">
      <c r="A41" s="299" t="s">
        <v>771</v>
      </c>
      <c r="B41" s="300" t="s">
        <v>40</v>
      </c>
      <c r="C41" s="299" t="s">
        <v>54</v>
      </c>
      <c r="D41" s="257">
        <v>234.98474436479597</v>
      </c>
      <c r="E41" s="257">
        <v>188.12217614478729</v>
      </c>
      <c r="F41" s="257">
        <v>172.52751380190224</v>
      </c>
      <c r="G41" s="257">
        <v>153.54778284425728</v>
      </c>
      <c r="H41" s="257">
        <v>146.26778284425728</v>
      </c>
      <c r="I41" s="66">
        <f>SUM(D41:H41)</f>
        <v>895.45</v>
      </c>
    </row>
    <row r="42" spans="1:14">
      <c r="A42" s="1"/>
      <c r="B42" s="1"/>
      <c r="C42" s="1"/>
      <c r="D42" s="228"/>
      <c r="E42" s="228"/>
      <c r="F42" s="228"/>
      <c r="G42" s="228"/>
      <c r="H42" s="228"/>
      <c r="I42" s="228"/>
    </row>
    <row r="43" spans="1:14">
      <c r="A43" s="187" t="s">
        <v>770</v>
      </c>
      <c r="B43" s="300" t="s">
        <v>40</v>
      </c>
      <c r="C43" s="299" t="s">
        <v>54</v>
      </c>
      <c r="D43" s="316">
        <f>D38+D40+D41</f>
        <v>6109.7788570276243</v>
      </c>
      <c r="E43" s="316">
        <f t="shared" ref="E43:H43" si="6">E38+E40+E41</f>
        <v>4978.9426649862799</v>
      </c>
      <c r="F43" s="316">
        <f t="shared" si="6"/>
        <v>4271.9126877421868</v>
      </c>
      <c r="G43" s="316">
        <f t="shared" si="6"/>
        <v>3733.981249399385</v>
      </c>
      <c r="H43" s="316">
        <f t="shared" si="6"/>
        <v>2948.1584019567654</v>
      </c>
      <c r="I43" s="316">
        <f>SUM(D43:H43)</f>
        <v>22042.77386111224</v>
      </c>
    </row>
    <row r="45" spans="1:14">
      <c r="A45" s="1" t="s">
        <v>245</v>
      </c>
      <c r="B45" s="1" t="s">
        <v>10</v>
      </c>
      <c r="C45" s="1" t="s">
        <v>11</v>
      </c>
      <c r="D45" s="228" t="s">
        <v>5</v>
      </c>
      <c r="E45" s="228" t="s">
        <v>6</v>
      </c>
      <c r="F45" s="228" t="s">
        <v>7</v>
      </c>
      <c r="G45" s="228" t="s">
        <v>8</v>
      </c>
      <c r="H45" s="228" t="s">
        <v>9</v>
      </c>
      <c r="I45" s="228" t="s">
        <v>20</v>
      </c>
    </row>
    <row r="46" spans="1:14">
      <c r="A46" s="222" t="s">
        <v>233</v>
      </c>
      <c r="B46" s="300" t="s">
        <v>40</v>
      </c>
      <c r="C46" s="299" t="s">
        <v>54</v>
      </c>
      <c r="D46" s="71">
        <f>'SONI BPDT RAB'!I42</f>
        <v>919.23076923076917</v>
      </c>
      <c r="E46" s="71">
        <f>'SONI BPDT RAB'!J42</f>
        <v>992.92307692307702</v>
      </c>
      <c r="F46" s="71">
        <f>'SONI BPDT RAB'!K42</f>
        <v>1712.0615384615387</v>
      </c>
      <c r="G46" s="71">
        <f>'SONI BPDT RAB'!L42</f>
        <v>8611.3923076923093</v>
      </c>
      <c r="H46" s="71">
        <f>'SONI BPDT RAB'!M42</f>
        <v>9013.3538461538483</v>
      </c>
      <c r="I46" s="71">
        <f>SUM(D46:H46)</f>
        <v>21248.961538461543</v>
      </c>
    </row>
    <row r="47" spans="1:14">
      <c r="A47" s="222" t="s">
        <v>506</v>
      </c>
      <c r="B47" s="300" t="s">
        <v>40</v>
      </c>
      <c r="C47" s="299" t="s">
        <v>54</v>
      </c>
      <c r="D47" s="299">
        <v>0</v>
      </c>
      <c r="E47" s="299">
        <v>0</v>
      </c>
      <c r="F47" s="299">
        <v>0</v>
      </c>
      <c r="G47" s="299">
        <v>0</v>
      </c>
      <c r="H47" s="299">
        <v>0</v>
      </c>
      <c r="I47" s="71">
        <f>SUM(D47:H47)</f>
        <v>0</v>
      </c>
    </row>
    <row r="48" spans="1:14">
      <c r="A48" s="222"/>
      <c r="B48" s="300"/>
      <c r="I48" s="71"/>
    </row>
    <row r="49" spans="1:9">
      <c r="A49" s="1" t="s">
        <v>618</v>
      </c>
      <c r="B49" s="1" t="s">
        <v>10</v>
      </c>
      <c r="C49" s="1" t="s">
        <v>11</v>
      </c>
      <c r="D49" s="228" t="s">
        <v>5</v>
      </c>
      <c r="E49" s="228" t="s">
        <v>6</v>
      </c>
      <c r="F49" s="228" t="s">
        <v>7</v>
      </c>
      <c r="G49" s="228" t="s">
        <v>8</v>
      </c>
      <c r="H49" s="228" t="s">
        <v>9</v>
      </c>
      <c r="I49" s="228" t="s">
        <v>20</v>
      </c>
    </row>
    <row r="50" spans="1:9">
      <c r="A50" s="299" t="s">
        <v>507</v>
      </c>
      <c r="B50" s="300" t="s">
        <v>40</v>
      </c>
      <c r="C50" s="299" t="s">
        <v>54</v>
      </c>
      <c r="D50" s="71">
        <f>'3 Finance'!K37</f>
        <v>38715.457900000001</v>
      </c>
      <c r="E50" s="71">
        <f>'3 Finance'!L37</f>
        <v>48472.437299999998</v>
      </c>
      <c r="F50" s="71">
        <f>'3 Finance'!M37</f>
        <v>49722.842517651741</v>
      </c>
      <c r="G50" s="71">
        <f>'3 Finance'!N37</f>
        <v>50013.491609453406</v>
      </c>
      <c r="H50" s="71">
        <f>'3 Finance'!O37</f>
        <v>50296.457340743604</v>
      </c>
      <c r="I50" s="66">
        <f>SUM(D50:H50)</f>
        <v>237220.68666784873</v>
      </c>
    </row>
    <row r="51" spans="1:9">
      <c r="A51" s="222" t="s">
        <v>512</v>
      </c>
      <c r="B51" s="300" t="s">
        <v>40</v>
      </c>
      <c r="C51" s="299" t="s">
        <v>54</v>
      </c>
      <c r="D51" s="71">
        <f>'1 Price control buildup'!J58</f>
        <v>39550</v>
      </c>
      <c r="E51" s="71">
        <f>'1 Price control buildup'!K58</f>
        <v>40049.999999999993</v>
      </c>
      <c r="F51" s="71">
        <f>'1 Price control buildup'!L58</f>
        <v>40249.999999999993</v>
      </c>
      <c r="G51" s="71">
        <f>'1 Price control buildup'!M58</f>
        <v>40300</v>
      </c>
      <c r="H51" s="71">
        <f>'1 Price control buildup'!N58</f>
        <v>40300</v>
      </c>
      <c r="I51" s="66">
        <f>SUM(D51:H51)</f>
        <v>200450</v>
      </c>
    </row>
    <row r="52" spans="1:9">
      <c r="A52" s="222" t="s">
        <v>538</v>
      </c>
      <c r="B52" s="300" t="s">
        <v>40</v>
      </c>
      <c r="C52" s="299" t="s">
        <v>54</v>
      </c>
      <c r="D52" s="71">
        <f>'5A Revenues &amp; Costs (actual)'!K21/D81</f>
        <v>30.329220994475143</v>
      </c>
      <c r="E52" s="71">
        <f>'5A Revenues &amp; Costs (actual)'!L21/E81</f>
        <v>30.329220994475147</v>
      </c>
      <c r="F52" s="71">
        <f>'5A Revenues &amp; Costs (actual)'!M21/F81</f>
        <v>30.329220994475151</v>
      </c>
      <c r="G52" s="71">
        <f>'5A Revenues &amp; Costs (actual)'!N21/G81</f>
        <v>30.329220994475154</v>
      </c>
      <c r="H52" s="71">
        <f>'5A Revenues &amp; Costs (actual)'!O21/H81</f>
        <v>30.329220994475154</v>
      </c>
      <c r="I52" s="66">
        <f>SUM(D52:H52)</f>
        <v>151.64610497237575</v>
      </c>
    </row>
    <row r="54" spans="1:9">
      <c r="A54" s="1" t="s">
        <v>619</v>
      </c>
      <c r="B54" s="1" t="s">
        <v>10</v>
      </c>
      <c r="C54" s="1" t="s">
        <v>11</v>
      </c>
      <c r="D54" s="228" t="s">
        <v>5</v>
      </c>
      <c r="E54" s="228" t="s">
        <v>6</v>
      </c>
      <c r="F54" s="228" t="s">
        <v>7</v>
      </c>
      <c r="G54" s="228" t="s">
        <v>8</v>
      </c>
      <c r="H54" s="228" t="s">
        <v>9</v>
      </c>
      <c r="I54" s="228" t="s">
        <v>20</v>
      </c>
    </row>
    <row r="55" spans="1:9">
      <c r="A55" s="300" t="s">
        <v>539</v>
      </c>
      <c r="B55" s="300" t="s">
        <v>40</v>
      </c>
      <c r="C55" s="300" t="s">
        <v>54</v>
      </c>
      <c r="D55" s="417">
        <f>'5A Revenues &amp; Costs (actual)'!K19/D81</f>
        <v>808.77922651933716</v>
      </c>
      <c r="E55" s="417">
        <f>'5A Revenues &amp; Costs (actual)'!L19/E81</f>
        <v>808.77922651933727</v>
      </c>
      <c r="F55" s="417">
        <f>'5A Revenues &amp; Costs (actual)'!M19/F81</f>
        <v>808.77922651933739</v>
      </c>
      <c r="G55" s="417">
        <f>'5A Revenues &amp; Costs (actual)'!N19/G81</f>
        <v>808.77922651933727</v>
      </c>
      <c r="H55" s="417">
        <f>'5A Revenues &amp; Costs (actual)'!O19/H81</f>
        <v>808.77922651933727</v>
      </c>
      <c r="I55" s="257">
        <f>SUM(D55:H55)</f>
        <v>4043.8961325966866</v>
      </c>
    </row>
    <row r="56" spans="1:9">
      <c r="A56" s="280" t="s">
        <v>707</v>
      </c>
      <c r="B56" s="300" t="s">
        <v>40</v>
      </c>
      <c r="C56" s="300" t="s">
        <v>54</v>
      </c>
      <c r="D56" s="417">
        <f>0.5*(D55-D61)</f>
        <v>164.15201331939232</v>
      </c>
      <c r="E56" s="417">
        <f t="shared" ref="E56:H56" si="7">0.5*(E55-E61)</f>
        <v>164.15201331939235</v>
      </c>
      <c r="F56" s="417">
        <f t="shared" si="7"/>
        <v>164.15201331939241</v>
      </c>
      <c r="G56" s="417">
        <f t="shared" si="7"/>
        <v>164.15201331939238</v>
      </c>
      <c r="H56" s="417">
        <f t="shared" si="7"/>
        <v>164.15201331939232</v>
      </c>
      <c r="I56" s="257">
        <f>SUM(D56:H56)</f>
        <v>820.76006659696168</v>
      </c>
    </row>
    <row r="57" spans="1:9">
      <c r="A57" s="299" t="s">
        <v>517</v>
      </c>
      <c r="B57" s="300" t="s">
        <v>40</v>
      </c>
      <c r="C57" s="299" t="s">
        <v>54</v>
      </c>
      <c r="D57" s="71">
        <f>'5A Revenues &amp; Costs (actual)'!K21/D81</f>
        <v>30.329220994475143</v>
      </c>
      <c r="E57" s="71">
        <f>'5A Revenues &amp; Costs (actual)'!L21/E81</f>
        <v>30.329220994475147</v>
      </c>
      <c r="F57" s="71">
        <f>'5A Revenues &amp; Costs (actual)'!M21/F81</f>
        <v>30.329220994475151</v>
      </c>
      <c r="G57" s="71">
        <f>'5A Revenues &amp; Costs (actual)'!N21/G81</f>
        <v>30.329220994475154</v>
      </c>
      <c r="H57" s="71">
        <f>'5A Revenues &amp; Costs (actual)'!O21/H81</f>
        <v>30.329220994475154</v>
      </c>
      <c r="I57" s="66">
        <f>SUM(D57:H57)</f>
        <v>151.64610497237575</v>
      </c>
    </row>
    <row r="58" spans="1:9">
      <c r="A58" s="299" t="s">
        <v>800</v>
      </c>
      <c r="B58" s="300" t="s">
        <v>40</v>
      </c>
      <c r="C58" s="299" t="s">
        <v>54</v>
      </c>
      <c r="D58" s="71">
        <f>-'5A Revenues &amp; Costs (actual)'!K33/D81</f>
        <v>5380.4038044198905</v>
      </c>
      <c r="E58" s="71">
        <f>-'5A Revenues &amp; Costs (actual)'!L33/E81</f>
        <v>5380.4038044198915</v>
      </c>
      <c r="F58" s="71">
        <f>-'5A Revenues &amp; Costs (actual)'!M33/F81</f>
        <v>5380.4038044198915</v>
      </c>
      <c r="G58" s="71">
        <f>-'5A Revenues &amp; Costs (actual)'!N33/G81</f>
        <v>5380.4038044198915</v>
      </c>
      <c r="H58" s="71">
        <f>-'5A Revenues &amp; Costs (actual)'!O33/H81</f>
        <v>5380.4038044198915</v>
      </c>
      <c r="I58" s="66">
        <f>SUM(D58:H58)</f>
        <v>26902.019022099455</v>
      </c>
    </row>
    <row r="60" spans="1:9">
      <c r="A60" s="1" t="s">
        <v>621</v>
      </c>
      <c r="B60" s="1" t="s">
        <v>10</v>
      </c>
      <c r="C60" s="1" t="s">
        <v>11</v>
      </c>
      <c r="D60" s="228" t="s">
        <v>5</v>
      </c>
      <c r="E60" s="228" t="s">
        <v>6</v>
      </c>
      <c r="F60" s="228" t="s">
        <v>7</v>
      </c>
      <c r="G60" s="228" t="s">
        <v>8</v>
      </c>
      <c r="H60" s="228" t="s">
        <v>9</v>
      </c>
      <c r="I60" s="228" t="s">
        <v>20</v>
      </c>
    </row>
    <row r="61" spans="1:9">
      <c r="A61" s="234" t="s">
        <v>638</v>
      </c>
      <c r="B61" s="300" t="s">
        <v>40</v>
      </c>
      <c r="C61" s="300" t="s">
        <v>54</v>
      </c>
      <c r="D61" s="417">
        <f>-('5A Revenues &amp; Costs (actual)'!K32+'5A Revenues &amp; Costs (actual)'!K52)/D81</f>
        <v>480.47519988055251</v>
      </c>
      <c r="E61" s="417">
        <f>-('5A Revenues &amp; Costs (actual)'!L32+'5A Revenues &amp; Costs (actual)'!L52)/E81</f>
        <v>480.47519988055257</v>
      </c>
      <c r="F61" s="417">
        <f>-('5A Revenues &amp; Costs (actual)'!M32+'5A Revenues &amp; Costs (actual)'!M52)/F81</f>
        <v>480.47519988055257</v>
      </c>
      <c r="G61" s="417">
        <f>-('5A Revenues &amp; Costs (actual)'!N32+'5A Revenues &amp; Costs (actual)'!N52)/G81</f>
        <v>480.47519988055251</v>
      </c>
      <c r="H61" s="417">
        <f>-('5A Revenues &amp; Costs (actual)'!O32+'5A Revenues &amp; Costs (actual)'!O52)/H81</f>
        <v>480.47519988055262</v>
      </c>
      <c r="I61" s="257">
        <f>SUM(D61:H61)</f>
        <v>2402.3759994027628</v>
      </c>
    </row>
    <row r="62" spans="1:9">
      <c r="A62" s="222" t="s">
        <v>513</v>
      </c>
      <c r="B62" s="300" t="s">
        <v>40</v>
      </c>
      <c r="C62" s="299" t="s">
        <v>54</v>
      </c>
      <c r="D62" s="71">
        <f>-'5A Revenues &amp; Costs (actual)'!K33/D81</f>
        <v>5380.4038044198905</v>
      </c>
      <c r="E62" s="71">
        <f>-'5A Revenues &amp; Costs (actual)'!L33/E81</f>
        <v>5380.4038044198915</v>
      </c>
      <c r="F62" s="71">
        <f>-'5A Revenues &amp; Costs (actual)'!M33/F81</f>
        <v>5380.4038044198915</v>
      </c>
      <c r="G62" s="71">
        <f>-'5A Revenues &amp; Costs (actual)'!N33/G81</f>
        <v>5380.4038044198915</v>
      </c>
      <c r="H62" s="71">
        <f>-'5A Revenues &amp; Costs (actual)'!O33/H81</f>
        <v>5380.4038044198915</v>
      </c>
      <c r="I62" s="66">
        <f>SUM(D62:H62)</f>
        <v>26902.019022099455</v>
      </c>
    </row>
    <row r="64" spans="1:9">
      <c r="A64" s="1" t="s">
        <v>623</v>
      </c>
      <c r="B64" s="1" t="s">
        <v>10</v>
      </c>
      <c r="C64" s="1" t="s">
        <v>11</v>
      </c>
      <c r="D64" s="228" t="s">
        <v>5</v>
      </c>
      <c r="E64" s="228" t="s">
        <v>6</v>
      </c>
      <c r="F64" s="228" t="s">
        <v>7</v>
      </c>
      <c r="G64" s="228" t="s">
        <v>8</v>
      </c>
      <c r="H64" s="228" t="s">
        <v>9</v>
      </c>
      <c r="I64" s="228" t="s">
        <v>20</v>
      </c>
    </row>
    <row r="65" spans="1:9">
      <c r="A65" s="233" t="s">
        <v>507</v>
      </c>
      <c r="B65" s="300" t="s">
        <v>40</v>
      </c>
      <c r="C65" s="299" t="s">
        <v>54</v>
      </c>
      <c r="D65" s="66">
        <f>-'5A Revenues &amp; Costs (actual)'!K29/D81</f>
        <v>39140.322618379956</v>
      </c>
      <c r="E65" s="66">
        <f>-'5A Revenues &amp; Costs (actual)'!L29/E81</f>
        <v>49004.375433751338</v>
      </c>
      <c r="F65" s="66">
        <f>-'5A Revenues &amp; Costs (actual)'!M29/F81</f>
        <v>50268.502639711493</v>
      </c>
      <c r="G65" s="66">
        <f>-'5A Revenues &amp; Costs (actual)'!N29/G81</f>
        <v>50562.341324281362</v>
      </c>
      <c r="H65" s="66">
        <f>-'5A Revenues &amp; Costs (actual)'!O29/H81</f>
        <v>50848.412330886822</v>
      </c>
      <c r="I65" s="66">
        <f>SUM(D65:H65)</f>
        <v>239823.95434701096</v>
      </c>
    </row>
    <row r="66" spans="1:9">
      <c r="A66" s="233" t="s">
        <v>796</v>
      </c>
      <c r="B66" s="300" t="s">
        <v>40</v>
      </c>
      <c r="C66" s="299" t="s">
        <v>54</v>
      </c>
      <c r="D66" s="66">
        <f>'3 Finance'!K38</f>
        <v>50062.5</v>
      </c>
      <c r="E66" s="66">
        <f>'3 Finance'!L38</f>
        <v>50062.5</v>
      </c>
      <c r="F66" s="66">
        <f>'3 Finance'!M38</f>
        <v>50062.5</v>
      </c>
      <c r="G66" s="66">
        <f>'3 Finance'!N38</f>
        <v>50062.5</v>
      </c>
      <c r="H66" s="66">
        <f>'3 Finance'!O38</f>
        <v>50062.5</v>
      </c>
      <c r="I66" s="66">
        <f>SUM(D66:H66)</f>
        <v>250312.5</v>
      </c>
    </row>
    <row r="67" spans="1:9">
      <c r="A67" s="187" t="s">
        <v>20</v>
      </c>
      <c r="B67" s="300" t="s">
        <v>40</v>
      </c>
      <c r="C67" s="299" t="s">
        <v>54</v>
      </c>
      <c r="D67" s="316">
        <f>D65+D66</f>
        <v>89202.822618379956</v>
      </c>
      <c r="E67" s="316">
        <f>E65+E66</f>
        <v>99066.875433751338</v>
      </c>
      <c r="F67" s="316">
        <f>F65+F66</f>
        <v>100331.00263971149</v>
      </c>
      <c r="G67" s="316">
        <f>G65+G66</f>
        <v>100624.84132428135</v>
      </c>
      <c r="H67" s="316">
        <f>H65+H66</f>
        <v>100910.91233088681</v>
      </c>
      <c r="I67" s="256">
        <f>SUM(D67:H67)</f>
        <v>490136.45434701093</v>
      </c>
    </row>
    <row r="69" spans="1:9" ht="18">
      <c r="A69" s="267" t="s">
        <v>569</v>
      </c>
    </row>
    <row r="70" spans="1:9">
      <c r="D70" s="228" t="s">
        <v>5</v>
      </c>
      <c r="E70" s="228" t="s">
        <v>6</v>
      </c>
      <c r="F70" s="228" t="s">
        <v>7</v>
      </c>
      <c r="G70" s="228" t="s">
        <v>8</v>
      </c>
      <c r="H70" s="228" t="s">
        <v>9</v>
      </c>
      <c r="I70" s="228" t="s">
        <v>20</v>
      </c>
    </row>
    <row r="71" spans="1:9">
      <c r="A71" s="299" t="s">
        <v>570</v>
      </c>
      <c r="B71" s="300" t="s">
        <v>40</v>
      </c>
      <c r="C71" s="299" t="s">
        <v>54</v>
      </c>
      <c r="D71" s="66">
        <v>0</v>
      </c>
      <c r="E71" s="66">
        <v>0</v>
      </c>
      <c r="F71" s="66">
        <v>0</v>
      </c>
      <c r="G71" s="66">
        <v>0</v>
      </c>
      <c r="H71" s="66">
        <v>0</v>
      </c>
      <c r="I71" s="66">
        <f t="shared" ref="I71" si="8">SUM(D71:H71)</f>
        <v>0</v>
      </c>
    </row>
    <row r="73" spans="1:9" ht="18">
      <c r="A73" s="267" t="s">
        <v>571</v>
      </c>
    </row>
    <row r="74" spans="1:9">
      <c r="D74" s="228" t="s">
        <v>5</v>
      </c>
      <c r="E74" s="228" t="s">
        <v>6</v>
      </c>
      <c r="F74" s="228" t="s">
        <v>7</v>
      </c>
      <c r="G74" s="228" t="s">
        <v>8</v>
      </c>
      <c r="H74" s="228" t="s">
        <v>9</v>
      </c>
      <c r="I74" s="228" t="s">
        <v>20</v>
      </c>
    </row>
    <row r="75" spans="1:9">
      <c r="A75" s="299" t="s">
        <v>572</v>
      </c>
      <c r="B75" s="300" t="s">
        <v>40</v>
      </c>
      <c r="C75" s="299" t="s">
        <v>54</v>
      </c>
      <c r="D75" s="66">
        <v>0</v>
      </c>
      <c r="E75" s="66">
        <v>0</v>
      </c>
      <c r="F75" s="66">
        <v>0</v>
      </c>
      <c r="G75" s="66">
        <v>0</v>
      </c>
      <c r="H75" s="66">
        <v>0</v>
      </c>
      <c r="I75" s="66">
        <f t="shared" ref="I75" si="9">SUM(D75:H75)</f>
        <v>0</v>
      </c>
    </row>
    <row r="79" spans="1:9">
      <c r="C79" s="273"/>
      <c r="D79" s="258">
        <v>1</v>
      </c>
      <c r="E79" s="258">
        <v>2</v>
      </c>
      <c r="F79" s="258">
        <v>3</v>
      </c>
      <c r="G79" s="258">
        <v>4</v>
      </c>
      <c r="H79" s="258">
        <v>5</v>
      </c>
    </row>
    <row r="80" spans="1:9" ht="18">
      <c r="A80" s="267" t="s">
        <v>253</v>
      </c>
      <c r="B80" s="268"/>
      <c r="D80" s="253" t="s">
        <v>5</v>
      </c>
      <c r="E80" s="253" t="s">
        <v>6</v>
      </c>
      <c r="F80" s="253" t="s">
        <v>7</v>
      </c>
      <c r="G80" s="253" t="s">
        <v>8</v>
      </c>
      <c r="H80" s="253" t="s">
        <v>9</v>
      </c>
    </row>
    <row r="81" spans="1:8">
      <c r="A81" s="299" t="s">
        <v>259</v>
      </c>
      <c r="D81" s="4">
        <f>(Inflation!$I$3/Inflation!$H$3)*(1+Inflation!$C$16)^D79</f>
        <v>1.0291065505996897</v>
      </c>
      <c r="E81" s="4">
        <f>(Inflation!$I$3/Inflation!$H$3)*(1+Inflation!$C$16)^E79</f>
        <v>1.0496886816116833</v>
      </c>
      <c r="F81" s="4">
        <f>(Inflation!$I$3/Inflation!$H$3)*(1+Inflation!$C$16)^F79</f>
        <v>1.0706824552439169</v>
      </c>
      <c r="G81" s="4">
        <f>(Inflation!$I$3/Inflation!$H$3)*(1+Inflation!$C$16)^G79</f>
        <v>1.0920961043487953</v>
      </c>
      <c r="H81" s="4">
        <f>(Inflation!$I$3/Inflation!$H$3)*(1+Inflation!$C$16)^H79</f>
        <v>1.1139380264357712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vt:i4>
      </vt:variant>
    </vt:vector>
  </HeadingPairs>
  <TitlesOfParts>
    <vt:vector size="41" baseType="lpstr">
      <vt:lpstr>Cover</vt:lpstr>
      <vt:lpstr>Change log</vt:lpstr>
      <vt:lpstr>Index</vt:lpstr>
      <vt:lpstr>Main inputs&gt;&gt;</vt:lpstr>
      <vt:lpstr>Inflation</vt:lpstr>
      <vt:lpstr>RAB inputs</vt:lpstr>
      <vt:lpstr>WACC parameters</vt:lpstr>
      <vt:lpstr>DD allowances</vt:lpstr>
      <vt:lpstr>DD forecasts</vt:lpstr>
      <vt:lpstr>RoRE inputs</vt:lpstr>
      <vt:lpstr>Other inputs</vt:lpstr>
      <vt:lpstr>Calcs &gt;&gt;</vt:lpstr>
      <vt:lpstr>WACC</vt:lpstr>
      <vt:lpstr>CCS</vt:lpstr>
      <vt:lpstr>RAB</vt:lpstr>
      <vt:lpstr>Return</vt:lpstr>
      <vt:lpstr>Asset beta</vt:lpstr>
      <vt:lpstr>Results&gt;&gt;</vt:lpstr>
      <vt:lpstr>Regulated revenue</vt:lpstr>
      <vt:lpstr>Earnings</vt:lpstr>
      <vt:lpstr>RAB summary</vt:lpstr>
      <vt:lpstr>RoRE</vt:lpstr>
      <vt:lpstr>Charts&gt;&gt;</vt:lpstr>
      <vt:lpstr>RoRE charts</vt:lpstr>
      <vt:lpstr>RAB charts</vt:lpstr>
      <vt:lpstr>RoRE scenarios&gt;&gt;</vt:lpstr>
      <vt:lpstr>Scenarios</vt:lpstr>
      <vt:lpstr>Other inputs&gt;&gt;</vt:lpstr>
      <vt:lpstr>Accounting depreciation</vt:lpstr>
      <vt:lpstr>5B Revenues &amp; Costs (notional)</vt:lpstr>
      <vt:lpstr>5A Revenues &amp; Costs (actual)</vt:lpstr>
      <vt:lpstr>SONI BPDT RAB</vt:lpstr>
      <vt:lpstr>1 Price control buildup</vt:lpstr>
      <vt:lpstr>3 Finance</vt:lpstr>
      <vt:lpstr>4 RAB Overview</vt:lpstr>
      <vt:lpstr>'1 Price control buildup'!Print_Area</vt:lpstr>
      <vt:lpstr>'4 RAB Overview'!Print_Area</vt:lpstr>
      <vt:lpstr>'5A Revenues &amp; Costs (actual)'!Print_Area</vt:lpstr>
      <vt:lpstr>'5B Revenues &amp; Costs (notional)'!Print_Area</vt:lpstr>
      <vt:lpstr>'5A Revenues &amp; Costs (actual)'!Print_Titles</vt:lpstr>
      <vt:lpstr>'5B Revenues &amp; Costs (notional)'!Print_Titles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2020-06-15T16:37:25Z</dcterms:created>
  <dcterms:modified xsi:type="dcterms:W3CDTF">2020-07-21T11:22:32Z</dcterms:modified>
</cp:coreProperties>
</file>