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RP6" sheetId="1" r:id="rId1"/>
    <sheet name="Cost of new debt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<sst xmlns="http://schemas.openxmlformats.org/spreadsheetml/2006/main" count="51" uniqueCount="47">
  <si>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risk-free rate</t>
  </si>
  <si>
    <t>equity-risk premium</t>
  </si>
  <si>
    <t>gearing</t>
  </si>
  <si>
    <t>equity beta</t>
  </si>
  <si>
    <t>cost of debt</t>
  </si>
  <si>
    <t>debt beta</t>
  </si>
  <si>
    <t>vanilla WACC</t>
  </si>
  <si>
    <t>asset beta</t>
  </si>
  <si>
    <t>post-tax cost of equity</t>
  </si>
  <si>
    <t>Cost of debt</t>
  </si>
  <si>
    <t>WACC</t>
  </si>
  <si>
    <t>inflation</t>
  </si>
  <si>
    <t>real cost of debt</t>
  </si>
  <si>
    <t>nominal cost of debt</t>
  </si>
  <si>
    <t>weight for embedded debt</t>
  </si>
  <si>
    <t>weight for new debt</t>
  </si>
  <si>
    <t>current market rates</t>
  </si>
  <si>
    <t>forward rate adjustment</t>
  </si>
  <si>
    <t>fees</t>
  </si>
  <si>
    <t>actual interest costs</t>
  </si>
  <si>
    <t>cost of embedded debt</t>
  </si>
  <si>
    <t>cost of new debt</t>
  </si>
  <si>
    <t>Total debt</t>
  </si>
  <si>
    <t>Weights</t>
  </si>
  <si>
    <t xml:space="preserve">Benchmark cost of new debt - nominal </t>
  </si>
  <si>
    <t>etc.</t>
  </si>
  <si>
    <t>Weighted average cost of new debt - nominal</t>
  </si>
  <si>
    <t>Sharing Factor</t>
  </si>
  <si>
    <t>Outturn - Cost of new debt - nominal</t>
  </si>
  <si>
    <t>cost of new debt benchmark, incl. 80:20 adjustment</t>
  </si>
  <si>
    <t>iBoxx Benchmark</t>
  </si>
  <si>
    <t>Fixed 1</t>
  </si>
  <si>
    <t>Variable 1</t>
  </si>
  <si>
    <t>Fixed 2</t>
  </si>
  <si>
    <t xml:space="preserve">Variable 2 </t>
  </si>
  <si>
    <t>average over year</t>
  </si>
  <si>
    <t>£</t>
  </si>
  <si>
    <t>Issue Date</t>
  </si>
  <si>
    <t>Out-turn*</t>
  </si>
  <si>
    <t>&lt;--- rounded to 2 decimal places</t>
  </si>
  <si>
    <t>RP6 FD</t>
  </si>
  <si>
    <t>Out-turn cost of new debt calculator - NIE</t>
  </si>
  <si>
    <t>Debt raised after 1 October 2017 - dates / amounts</t>
  </si>
  <si>
    <t>RP6 FD - current market rate plus forward rate adj</t>
  </si>
  <si>
    <t>&lt;--- the figure entered into the pink cell comes from the Cost of new debt tab</t>
  </si>
  <si>
    <t>August 2018 bond</t>
  </si>
  <si>
    <t>Annex I - Rate of Return Adjustment Mechanism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</si>
</sst>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_-;_-@_-"/>
    <numFmt numFmtId="173" formatCode="_-* #,##0.0_-;\-* #,##0.0_-;_-* &quot;-&quot;??_-;_-@_-"/>
    <numFmt numFmtId="174" formatCode="_-* #,##0.0000_-;\-* #,##0.0000_-;_-* &quot;-&quot;??_-;_-@_-"/>
    <numFmt numFmtId="175" formatCode="0.0000"/>
    <numFmt numFmtId="176" formatCode="0.000"/>
    <numFmt numFmtId="177" formatCode="0.0"/>
    <numFmt numFmtId="178" formatCode="_-* #,##0_-;\-* #,##0_-;_-* &quot;-&quot;??_-;_-@_-"/>
    <numFmt numFmtId="179" formatCode="_-* #,##0.000_-;\-* #,##0.000_-;_-* &quot;-&quot;???_-;_-@_-"/>
    <numFmt numFmtId="180" formatCode="0.00000"/>
    <numFmt numFmtId="181" formatCode="_-* #,##0.0_-;\-* #,##0.0_-;_-* &quot;-&quot;?_-;_-@_-"/>
    <numFmt numFmtId="182" formatCode="0.0%"/>
    <numFmt numFmtId="183" formatCode="0.0%_);\(0.0%\);\-\-"/>
    <numFmt numFmtId="184" formatCode="#,##0.0"/>
    <numFmt numFmtId="185" formatCode="#,##0.000"/>
    <numFmt numFmtId="186" formatCode="[$-809]dd\ mmmm\ yyyy"/>
    <numFmt numFmtId="187" formatCode="0.000%"/>
    <numFmt numFmtId="188" formatCode="_-* #,##0.00000_-;\-* #,##0.00000_-;_-* &quot;-&quot;??_-;_-@_-"/>
    <numFmt numFmtId="189" formatCode="mmm\-yyyy"/>
    <numFmt numFmtId="190" formatCode="yyyy"/>
    <numFmt numFmtId="191" formatCode="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</numFmts>
  <fonts count="51"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22"/>
      <name val="Arial"/>
      <family val="2"/>
    </font>
    <font>
      <b/>
      <u val="single"/>
      <sz val="10"/>
      <color indexed="10"/>
      <name val="Arial"/>
      <family val="2"/>
    </font>
    <font>
      <sz val="2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0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Fill="1" applyAlignment="1">
      <alignment/>
    </xf>
    <xf numFmtId="0" fontId="1" fillId="0" borderId="0" xfId="0" applyFont="1" applyAlignment="1">
      <alignment/>
    </xf>
    <xf numFmtId="43" fontId="0" fillId="0" borderId="0" xfId="42" applyNumberFormat="1" applyFont="1" applyFill="1" applyAlignment="1">
      <alignment/>
    </xf>
    <xf numFmtId="0" fontId="4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0" xfId="42" applyNumberFormat="1" applyFont="1" applyAlignment="1">
      <alignment/>
    </xf>
    <xf numFmtId="43" fontId="1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 vertical="top"/>
    </xf>
    <xf numFmtId="0" fontId="48" fillId="0" borderId="11" xfId="0" applyFont="1" applyBorder="1" applyAlignment="1">
      <alignment horizontal="right" vertical="top"/>
    </xf>
    <xf numFmtId="183" fontId="46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horizontal="right" vertical="top"/>
    </xf>
    <xf numFmtId="9" fontId="46" fillId="0" borderId="11" xfId="60" applyFont="1" applyBorder="1" applyAlignment="1">
      <alignment horizontal="right" vertical="top"/>
    </xf>
    <xf numFmtId="3" fontId="46" fillId="0" borderId="12" xfId="0" applyNumberFormat="1" applyFont="1" applyBorder="1" applyAlignment="1">
      <alignment horizontal="right" vertical="top"/>
    </xf>
    <xf numFmtId="9" fontId="46" fillId="0" borderId="10" xfId="60" applyFont="1" applyBorder="1" applyAlignment="1">
      <alignment horizontal="right" vertical="top"/>
    </xf>
    <xf numFmtId="9" fontId="46" fillId="0" borderId="0" xfId="60" applyFont="1" applyBorder="1" applyAlignment="1">
      <alignment horizontal="right" vertical="top"/>
    </xf>
    <xf numFmtId="2" fontId="46" fillId="0" borderId="12" xfId="60" applyNumberFormat="1" applyFont="1" applyBorder="1" applyAlignment="1">
      <alignment horizontal="right" vertical="top"/>
    </xf>
    <xf numFmtId="2" fontId="46" fillId="0" borderId="0" xfId="0" applyNumberFormat="1" applyFont="1" applyAlignment="1">
      <alignment/>
    </xf>
    <xf numFmtId="43" fontId="0" fillId="7" borderId="0" xfId="42" applyNumberFormat="1" applyFont="1" applyFill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2" fontId="46" fillId="3" borderId="0" xfId="0" applyNumberFormat="1" applyFont="1" applyFill="1" applyAlignment="1">
      <alignment/>
    </xf>
    <xf numFmtId="2" fontId="46" fillId="0" borderId="0" xfId="60" applyNumberFormat="1" applyFont="1" applyFill="1" applyBorder="1" applyAlignment="1">
      <alignment horizontal="right" vertical="top"/>
    </xf>
    <xf numFmtId="190" fontId="48" fillId="0" borderId="11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15" fontId="49" fillId="0" borderId="0" xfId="0" applyNumberFormat="1" applyFont="1" applyAlignment="1">
      <alignment horizontal="center" vertical="top"/>
    </xf>
    <xf numFmtId="0" fontId="46" fillId="0" borderId="0" xfId="0" applyFont="1" applyFill="1" applyAlignment="1">
      <alignment vertical="top"/>
    </xf>
    <xf numFmtId="15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center"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42" applyNumberFormat="1" applyFont="1" applyAlignment="1">
      <alignment/>
    </xf>
    <xf numFmtId="178" fontId="46" fillId="0" borderId="0" xfId="42" applyNumberFormat="1" applyFont="1" applyFill="1" applyAlignment="1">
      <alignment vertical="top"/>
    </xf>
    <xf numFmtId="178" fontId="46" fillId="0" borderId="0" xfId="42" applyNumberFormat="1" applyFont="1" applyFill="1" applyAlignment="1">
      <alignment horizontal="right" vertical="top"/>
    </xf>
    <xf numFmtId="190" fontId="48" fillId="0" borderId="11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6" fillId="0" borderId="0" xfId="0" applyFont="1" applyFill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314325</xdr:colOff>
      <xdr:row>17</xdr:row>
      <xdr:rowOff>57150</xdr:rowOff>
    </xdr:from>
    <xdr:ext cx="2628900" cy="1933575"/>
    <xdr:sp>
      <xdr:nvSpPr>
        <xdr:cNvPr id="1" name="TextBox 1"/>
        <xdr:cNvSpPr txBox="1">
          <a:spLocks noChangeArrowheads="1"/>
        </xdr:cNvSpPr>
      </xdr:nvSpPr>
      <xdr:spPr>
        <a:xfrm>
          <a:off x="5381625" y="2847975"/>
          <a:ext cx="26289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*Out-turn</a:t>
          </a:r>
          <a:r>
            <a:rPr lang="en-US" cap="none" sz="28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numbers are for illustrative purposes only.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7">
      <selection activeCell="C7" sqref="C7"/>
    </sheetView>
  </sheetViews>
  <sheetFormatPr defaultColWidth="8.8515625" defaultRowHeight="12.75"/>
  <cols>
    <col min="1" max="1" width="40.140625" style="0" customWidth="1"/>
    <col min="2" max="3" width="8.8515625" style="0" customWidth="1"/>
    <col min="4" max="4" width="9.28125" style="0" bestFit="1" customWidth="1"/>
  </cols>
  <sheetData>
    <row r="1" ht="15.75">
      <c r="A1" s="43" t="s">
        <v>46</v>
      </c>
    </row>
    <row r="3" spans="1:3" ht="12.75">
      <c r="A3" s="4" t="s">
        <v>9</v>
      </c>
      <c r="B3" s="4"/>
      <c r="C3" s="4"/>
    </row>
    <row r="4" spans="2:3" ht="12.75">
      <c r="B4" s="4" t="s">
        <v>40</v>
      </c>
      <c r="C4" s="42" t="s">
        <v>38</v>
      </c>
    </row>
    <row r="5" spans="2:3" ht="12.75">
      <c r="B5" s="4"/>
      <c r="C5" s="4"/>
    </row>
    <row r="6" spans="1:3" ht="12.75">
      <c r="A6" t="s">
        <v>14</v>
      </c>
      <c r="B6" s="16">
        <v>0.48</v>
      </c>
      <c r="C6" s="44">
        <f>B6</f>
        <v>0.48</v>
      </c>
    </row>
    <row r="7" spans="1:3" ht="12.75">
      <c r="A7" t="s">
        <v>15</v>
      </c>
      <c r="B7" s="16">
        <v>0.52</v>
      </c>
      <c r="C7" s="44">
        <f>B7</f>
        <v>0.52</v>
      </c>
    </row>
    <row r="8" spans="2:3" ht="12.75">
      <c r="B8" s="1"/>
      <c r="C8" s="15"/>
    </row>
    <row r="9" spans="1:3" ht="12.75">
      <c r="A9" t="s">
        <v>19</v>
      </c>
      <c r="B9" s="1">
        <v>6.4</v>
      </c>
      <c r="C9" s="15">
        <f>B9</f>
        <v>6.4</v>
      </c>
    </row>
    <row r="10" spans="1:3" ht="12.75">
      <c r="A10" t="s">
        <v>18</v>
      </c>
      <c r="B10" s="1">
        <v>0.2</v>
      </c>
      <c r="C10" s="15">
        <f>B10</f>
        <v>0.2</v>
      </c>
    </row>
    <row r="11" spans="1:3" ht="12.75">
      <c r="A11" t="s">
        <v>20</v>
      </c>
      <c r="B11" s="14">
        <f>SUM(B9:B10)</f>
        <v>6.6000000000000005</v>
      </c>
      <c r="C11" s="14">
        <f>SUM(C9:C10)</f>
        <v>6.6000000000000005</v>
      </c>
    </row>
    <row r="12" spans="2:3" ht="12.75">
      <c r="B12" s="1"/>
      <c r="C12" s="1"/>
    </row>
    <row r="13" spans="1:3" ht="12.75">
      <c r="A13" t="s">
        <v>16</v>
      </c>
      <c r="B13" s="1">
        <v>3</v>
      </c>
      <c r="C13" s="1">
        <v>0</v>
      </c>
    </row>
    <row r="14" spans="1:3" ht="12.75">
      <c r="A14" t="s">
        <v>17</v>
      </c>
      <c r="B14" s="1">
        <v>0.3</v>
      </c>
      <c r="C14" s="1">
        <v>0</v>
      </c>
    </row>
    <row r="15" spans="1:5" ht="12.75">
      <c r="A15" t="s">
        <v>29</v>
      </c>
      <c r="B15" s="1">
        <v>0</v>
      </c>
      <c r="C15" s="31">
        <f>+'Cost of new debt'!E24</f>
        <v>3.7</v>
      </c>
      <c r="E15" t="s">
        <v>44</v>
      </c>
    </row>
    <row r="16" spans="1:3" ht="12.75">
      <c r="A16" t="s">
        <v>18</v>
      </c>
      <c r="B16" s="1">
        <v>0.2</v>
      </c>
      <c r="C16" s="1">
        <f>B16</f>
        <v>0.2</v>
      </c>
    </row>
    <row r="17" spans="1:3" ht="12.75">
      <c r="A17" t="s">
        <v>21</v>
      </c>
      <c r="B17" s="14">
        <f>SUM(B13:B16)</f>
        <v>3.5</v>
      </c>
      <c r="C17" s="14">
        <f>SUM(C13:C16)</f>
        <v>3.9000000000000004</v>
      </c>
    </row>
    <row r="18" spans="2:3" ht="12.75">
      <c r="B18" s="1"/>
      <c r="C18" s="1"/>
    </row>
    <row r="19" spans="1:3" ht="12.75">
      <c r="A19" t="s">
        <v>13</v>
      </c>
      <c r="B19" s="1">
        <f>B11*B6+B17*B7</f>
        <v>4.988</v>
      </c>
      <c r="C19" s="1">
        <f>C11*C6+C17*C7</f>
        <v>5.196000000000001</v>
      </c>
    </row>
    <row r="20" spans="2:3" ht="12.75">
      <c r="B20" s="1"/>
      <c r="C20" s="1"/>
    </row>
    <row r="21" spans="1:3" ht="12.75">
      <c r="A21" t="s">
        <v>11</v>
      </c>
      <c r="B21" s="1">
        <v>3.3</v>
      </c>
      <c r="C21" s="1">
        <f>B21</f>
        <v>3.3</v>
      </c>
    </row>
    <row r="22" spans="2:3" ht="12.75">
      <c r="B22" s="1"/>
      <c r="C22" s="1"/>
    </row>
    <row r="23" spans="1:3" ht="12.75">
      <c r="A23" t="s">
        <v>12</v>
      </c>
      <c r="B23" s="1">
        <f>100*((1+B19/100)/(1+B21/100)-1)</f>
        <v>1.634075508228472</v>
      </c>
      <c r="C23" s="1">
        <f>100*((1+C19/100)/(1+C21/100)-1)</f>
        <v>1.8354307841239148</v>
      </c>
    </row>
    <row r="24" spans="2:3" ht="12.75">
      <c r="B24" s="1"/>
      <c r="C24" s="1"/>
    </row>
    <row r="25" spans="2:3" ht="12.75">
      <c r="B25" s="1"/>
      <c r="C25" s="1"/>
    </row>
    <row r="26" spans="1:6" ht="12.75">
      <c r="A26" s="4" t="s">
        <v>10</v>
      </c>
      <c r="B26" s="13"/>
      <c r="C26" s="13"/>
      <c r="F26" s="4"/>
    </row>
    <row r="27" spans="2:6" ht="12.75">
      <c r="B27" s="4" t="str">
        <f>+B4</f>
        <v>RP6 FD</v>
      </c>
      <c r="C27" s="4" t="str">
        <f>+C4</f>
        <v>Out-turn*</v>
      </c>
      <c r="D27" s="4"/>
      <c r="F27" s="4"/>
    </row>
    <row r="28" spans="1:3" ht="12.75">
      <c r="A28" s="4"/>
      <c r="B28" s="1"/>
      <c r="C28" s="1"/>
    </row>
    <row r="29" spans="1:4" ht="12.75">
      <c r="A29" t="s">
        <v>2</v>
      </c>
      <c r="B29" s="1">
        <v>0.45</v>
      </c>
      <c r="C29" s="1">
        <f>B29</f>
        <v>0.45</v>
      </c>
      <c r="D29" s="5"/>
    </row>
    <row r="30" spans="2:6" ht="12.75">
      <c r="B30" s="1"/>
      <c r="C30" s="1"/>
      <c r="F30" s="5"/>
    </row>
    <row r="31" spans="1:4" ht="12.75">
      <c r="A31" t="s">
        <v>0</v>
      </c>
      <c r="B31" s="1">
        <v>1.25</v>
      </c>
      <c r="C31" s="1">
        <f>B31</f>
        <v>1.25</v>
      </c>
      <c r="D31" s="1"/>
    </row>
    <row r="32" spans="1:6" ht="12.75">
      <c r="A32" t="s">
        <v>1</v>
      </c>
      <c r="B32" s="1">
        <v>5.25</v>
      </c>
      <c r="C32" s="1">
        <f>B32</f>
        <v>5.25</v>
      </c>
      <c r="D32" s="1"/>
      <c r="F32" s="1"/>
    </row>
    <row r="33" spans="1:6" ht="12.75">
      <c r="A33" t="s">
        <v>5</v>
      </c>
      <c r="B33" s="3">
        <v>0.1</v>
      </c>
      <c r="C33" s="1">
        <f>B33</f>
        <v>0.1</v>
      </c>
      <c r="D33" s="3"/>
      <c r="F33" s="1"/>
    </row>
    <row r="34" spans="1:6" ht="12.75">
      <c r="A34" t="s">
        <v>7</v>
      </c>
      <c r="B34" s="7">
        <v>0.38</v>
      </c>
      <c r="C34" s="7">
        <f>B34</f>
        <v>0.38</v>
      </c>
      <c r="D34" s="12"/>
      <c r="F34" s="3"/>
    </row>
    <row r="35" spans="1:6" ht="12.75">
      <c r="A35" t="s">
        <v>3</v>
      </c>
      <c r="B35" s="16">
        <f>B34/(1-B29)-B33*B29/(1-B29)</f>
        <v>0.609090909090909</v>
      </c>
      <c r="C35" s="1">
        <f>C34/(1-C29)-C33*C29/(1-C29)</f>
        <v>0.609090909090909</v>
      </c>
      <c r="D35" s="1"/>
      <c r="F35" s="8"/>
    </row>
    <row r="36" spans="2:6" ht="12.75">
      <c r="B36" s="1"/>
      <c r="C36" s="1"/>
      <c r="D36" s="1"/>
      <c r="F36" s="1"/>
    </row>
    <row r="37" spans="1:6" ht="12.75">
      <c r="A37" t="s">
        <v>8</v>
      </c>
      <c r="B37" s="1">
        <f>B31+B32*B35</f>
        <v>4.447727272727272</v>
      </c>
      <c r="C37" s="1">
        <f>C31+C32*C35</f>
        <v>4.447727272727272</v>
      </c>
      <c r="D37" s="10"/>
      <c r="F37" s="1"/>
    </row>
    <row r="38" spans="2:6" ht="12.75">
      <c r="B38" s="1"/>
      <c r="C38" s="1"/>
      <c r="D38" s="9"/>
      <c r="F38" s="11"/>
    </row>
    <row r="39" spans="1:4" ht="12.75">
      <c r="A39" t="s">
        <v>4</v>
      </c>
      <c r="B39" s="1">
        <f>B23</f>
        <v>1.634075508228472</v>
      </c>
      <c r="C39" s="1">
        <f>C23</f>
        <v>1.8354307841239148</v>
      </c>
      <c r="D39" s="1"/>
    </row>
    <row r="40" spans="2:6" ht="12.75">
      <c r="B40" s="1"/>
      <c r="C40" s="1"/>
      <c r="D40" s="1"/>
      <c r="F40" s="1"/>
    </row>
    <row r="41" spans="2:6" ht="12.75">
      <c r="B41" s="1"/>
      <c r="C41" s="1"/>
      <c r="D41" s="1"/>
      <c r="E41" s="11"/>
      <c r="F41" s="11"/>
    </row>
    <row r="42" spans="1:5" ht="12.75">
      <c r="A42" t="s">
        <v>6</v>
      </c>
      <c r="B42" s="1">
        <f>B39*$B29+(1-$B29)*(B31+B35*B32)</f>
        <v>3.1815839787028124</v>
      </c>
      <c r="C42" s="1">
        <f>C39*$B29+(1-$B29)*(C31+C35*C32)</f>
        <v>3.2721938528557617</v>
      </c>
      <c r="D42" s="2"/>
      <c r="E42" t="s">
        <v>39</v>
      </c>
    </row>
    <row r="43" spans="2:4" ht="12.75">
      <c r="B43" s="2"/>
      <c r="C43" s="2"/>
      <c r="D43" s="2"/>
    </row>
    <row r="45" ht="12.75">
      <c r="A45" s="6"/>
    </row>
    <row r="46" ht="12.75">
      <c r="A46" s="6"/>
    </row>
    <row r="48" spans="2:4" ht="12.75">
      <c r="B48" s="9"/>
      <c r="C48" s="9"/>
      <c r="D48" s="9"/>
    </row>
    <row r="50" ht="12.75">
      <c r="A50" s="6"/>
    </row>
    <row r="52" ht="12.75">
      <c r="A52" s="6"/>
    </row>
    <row r="53" ht="12.75">
      <c r="A53" s="6"/>
    </row>
    <row r="54" ht="12.75">
      <c r="A54" s="6"/>
    </row>
  </sheetData>
  <sheetProtection/>
  <printOptions/>
  <pageMargins left="0.75" right="0.75" top="1" bottom="1" header="0.5" footer="0.5"/>
  <pageSetup fitToHeight="1" fitToWidth="1" orientation="landscape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4.8515625" style="0" customWidth="1"/>
    <col min="2" max="2" width="17.00390625" style="0" customWidth="1"/>
    <col min="3" max="3" width="15.421875" style="0" bestFit="1" customWidth="1"/>
    <col min="4" max="4" width="15.8515625" style="0" bestFit="1" customWidth="1"/>
    <col min="5" max="11" width="11.421875" style="0" customWidth="1"/>
    <col min="12" max="12" width="11.57421875" style="0" bestFit="1" customWidth="1"/>
    <col min="13" max="13" width="12.57421875" style="0" bestFit="1" customWidth="1"/>
  </cols>
  <sheetData>
    <row r="1" spans="1:11" ht="12.75">
      <c r="A1" s="4" t="s">
        <v>41</v>
      </c>
      <c r="B1" s="4"/>
      <c r="E1" s="38">
        <v>43009</v>
      </c>
      <c r="F1" s="38">
        <f aca="true" t="shared" si="0" ref="F1:K1">E2+1</f>
        <v>43191</v>
      </c>
      <c r="G1" s="38">
        <f t="shared" si="0"/>
        <v>43556</v>
      </c>
      <c r="H1" s="38">
        <f t="shared" si="0"/>
        <v>43922</v>
      </c>
      <c r="I1" s="38">
        <f t="shared" si="0"/>
        <v>44287</v>
      </c>
      <c r="J1" s="38">
        <f t="shared" si="0"/>
        <v>44652</v>
      </c>
      <c r="K1" s="38">
        <f t="shared" si="0"/>
        <v>45017</v>
      </c>
    </row>
    <row r="2" spans="5:11" ht="12.75">
      <c r="E2" s="38">
        <f>EOMONTH(E1,5)</f>
        <v>43190</v>
      </c>
      <c r="F2" s="38">
        <f aca="true" t="shared" si="1" ref="F2:K2">EOMONTH(F1,11)</f>
        <v>43555</v>
      </c>
      <c r="G2" s="38">
        <f t="shared" si="1"/>
        <v>43921</v>
      </c>
      <c r="H2" s="38">
        <f t="shared" si="1"/>
        <v>44286</v>
      </c>
      <c r="I2" s="38">
        <f t="shared" si="1"/>
        <v>44651</v>
      </c>
      <c r="J2" s="38">
        <f t="shared" si="1"/>
        <v>45016</v>
      </c>
      <c r="K2" s="38">
        <f t="shared" si="1"/>
        <v>45382</v>
      </c>
    </row>
    <row r="3" spans="1:11" s="17" customFormat="1" ht="12.75">
      <c r="A3" s="19" t="s">
        <v>42</v>
      </c>
      <c r="B3" s="19" t="s">
        <v>36</v>
      </c>
      <c r="C3" s="37" t="s">
        <v>37</v>
      </c>
      <c r="D3" s="18" t="s">
        <v>30</v>
      </c>
      <c r="E3" s="36">
        <f>+E2</f>
        <v>43190</v>
      </c>
      <c r="F3" s="47">
        <f aca="true" t="shared" si="2" ref="F3:K3">+F2</f>
        <v>43555</v>
      </c>
      <c r="G3" s="47">
        <f t="shared" si="2"/>
        <v>43921</v>
      </c>
      <c r="H3" s="47">
        <f t="shared" si="2"/>
        <v>44286</v>
      </c>
      <c r="I3" s="47">
        <f t="shared" si="2"/>
        <v>44651</v>
      </c>
      <c r="J3" s="47">
        <f t="shared" si="2"/>
        <v>45016</v>
      </c>
      <c r="K3" s="47">
        <f t="shared" si="2"/>
        <v>45382</v>
      </c>
    </row>
    <row r="4" spans="1:11" s="17" customFormat="1" ht="12.75">
      <c r="A4" s="18" t="s">
        <v>31</v>
      </c>
      <c r="B4" s="45">
        <v>100000</v>
      </c>
      <c r="C4" s="40">
        <v>43313</v>
      </c>
      <c r="D4" s="39">
        <v>3.8</v>
      </c>
      <c r="E4" s="46">
        <f>$B4*IF($C4&gt;E$2,0,IF($C4&lt;=E$1,1,(E$2-$C4+1)/(E$2-E$1+1)))</f>
        <v>0</v>
      </c>
      <c r="F4" s="46">
        <f>$B4*IF($C4&gt;F$2,0,IF($C4&lt;=F$1,1,(F$2-$C4+1)/(F$2-F$1+1)))</f>
        <v>66575.34246575343</v>
      </c>
      <c r="G4" s="46">
        <f aca="true" t="shared" si="3" ref="G4:K5">$B4*IF($C4&gt;G$2,0,IF($C4&lt;=G$1,1,(G$2-$C4+1)/(G$2-G$1+1)))</f>
        <v>100000</v>
      </c>
      <c r="H4" s="46">
        <f t="shared" si="3"/>
        <v>100000</v>
      </c>
      <c r="I4" s="46">
        <f t="shared" si="3"/>
        <v>100000</v>
      </c>
      <c r="J4" s="46">
        <f t="shared" si="3"/>
        <v>100000</v>
      </c>
      <c r="K4" s="46">
        <f t="shared" si="3"/>
        <v>100000</v>
      </c>
    </row>
    <row r="5" spans="1:11" s="17" customFormat="1" ht="12.75">
      <c r="A5" s="18" t="s">
        <v>33</v>
      </c>
      <c r="B5" s="39"/>
      <c r="C5" s="40"/>
      <c r="D5" s="39"/>
      <c r="E5" s="46">
        <f>$B5*IF($C5&gt;E$2,0,IF($C5&lt;=E$1,1,(E$2-$C5+1)/(E$2-E$1+1)))</f>
        <v>0</v>
      </c>
      <c r="F5" s="46">
        <f>$B5*IF($C5&gt;F$2,0,IF($C5&lt;=F$1,1,(F$2-$C5+1)/(F$2-F$1+1)))</f>
        <v>0</v>
      </c>
      <c r="G5" s="46">
        <f t="shared" si="3"/>
        <v>0</v>
      </c>
      <c r="H5" s="46">
        <f t="shared" si="3"/>
        <v>0</v>
      </c>
      <c r="I5" s="46">
        <f t="shared" si="3"/>
        <v>0</v>
      </c>
      <c r="J5" s="46">
        <f t="shared" si="3"/>
        <v>0</v>
      </c>
      <c r="K5" s="46">
        <f t="shared" si="3"/>
        <v>0</v>
      </c>
    </row>
    <row r="6" spans="1:11" s="17" customFormat="1" ht="12.75">
      <c r="A6" s="18" t="s">
        <v>32</v>
      </c>
      <c r="B6" s="51" t="s">
        <v>35</v>
      </c>
      <c r="C6" s="51"/>
      <c r="D6" s="39">
        <v>3.8</v>
      </c>
      <c r="E6" s="46">
        <v>60000</v>
      </c>
      <c r="F6" s="46">
        <v>60000</v>
      </c>
      <c r="G6" s="46">
        <v>65000</v>
      </c>
      <c r="H6" s="46">
        <v>70000</v>
      </c>
      <c r="I6" s="46">
        <v>70000</v>
      </c>
      <c r="J6" s="46">
        <v>70000</v>
      </c>
      <c r="K6" s="46">
        <v>70000</v>
      </c>
    </row>
    <row r="7" spans="1:11" s="17" customFormat="1" ht="12.75">
      <c r="A7" s="18" t="s">
        <v>34</v>
      </c>
      <c r="B7" s="51" t="s">
        <v>35</v>
      </c>
      <c r="C7" s="51"/>
      <c r="D7" s="39"/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s="17" customFormat="1" ht="12.75">
      <c r="A8" s="18" t="s">
        <v>22</v>
      </c>
      <c r="B8" s="18"/>
      <c r="C8" s="18"/>
      <c r="D8" s="18"/>
      <c r="E8" s="26">
        <f aca="true" t="shared" si="4" ref="E8:J8">SUM(E4:E7)</f>
        <v>60000</v>
      </c>
      <c r="F8" s="26">
        <f t="shared" si="4"/>
        <v>126575.34246575343</v>
      </c>
      <c r="G8" s="26">
        <f t="shared" si="4"/>
        <v>165000</v>
      </c>
      <c r="H8" s="26">
        <f t="shared" si="4"/>
        <v>170000</v>
      </c>
      <c r="I8" s="26">
        <f t="shared" si="4"/>
        <v>170000</v>
      </c>
      <c r="J8" s="26">
        <f t="shared" si="4"/>
        <v>170000</v>
      </c>
      <c r="K8" s="26">
        <f>SUM(K4:K7)</f>
        <v>170000</v>
      </c>
    </row>
    <row r="9" spans="1:11" s="17" customFormat="1" ht="12.75">
      <c r="A9" s="18"/>
      <c r="B9" s="18"/>
      <c r="C9" s="18"/>
      <c r="D9" s="18"/>
      <c r="E9" s="21"/>
      <c r="F9" s="21"/>
      <c r="G9" s="21"/>
      <c r="H9" s="21"/>
      <c r="I9" s="21"/>
      <c r="J9" s="21"/>
      <c r="K9" s="21"/>
    </row>
    <row r="10" spans="1:11" s="17" customFormat="1" ht="12.75">
      <c r="A10" s="19" t="s">
        <v>23</v>
      </c>
      <c r="B10" s="19"/>
      <c r="C10" s="18"/>
      <c r="D10" s="18"/>
      <c r="E10" s="22"/>
      <c r="F10" s="22"/>
      <c r="G10" s="22"/>
      <c r="H10" s="22"/>
      <c r="I10" s="22"/>
      <c r="J10" s="22"/>
      <c r="K10" s="22"/>
    </row>
    <row r="11" spans="1:11" s="17" customFormat="1" ht="12.75" customHeight="1">
      <c r="A11" s="18" t="s">
        <v>45</v>
      </c>
      <c r="B11" s="18"/>
      <c r="C11" s="18"/>
      <c r="D11" s="18"/>
      <c r="E11" s="27">
        <f aca="true" t="shared" si="5" ref="E11:J11">IF(E$8=0,0,E4/E$8)</f>
        <v>0</v>
      </c>
      <c r="F11" s="27">
        <f t="shared" si="5"/>
        <v>0.525974025974026</v>
      </c>
      <c r="G11" s="27">
        <f t="shared" si="5"/>
        <v>0.6060606060606061</v>
      </c>
      <c r="H11" s="27">
        <f t="shared" si="5"/>
        <v>0.5882352941176471</v>
      </c>
      <c r="I11" s="27">
        <f t="shared" si="5"/>
        <v>0.5882352941176471</v>
      </c>
      <c r="J11" s="27">
        <f t="shared" si="5"/>
        <v>0.5882352941176471</v>
      </c>
      <c r="K11" s="27">
        <f>IF(K$8=0,0,K4/K$8)</f>
        <v>0.5882352941176471</v>
      </c>
    </row>
    <row r="12" spans="1:11" s="17" customFormat="1" ht="12.75" customHeight="1">
      <c r="A12" s="18" t="s">
        <v>25</v>
      </c>
      <c r="B12" s="18"/>
      <c r="C12" s="18"/>
      <c r="D12" s="18"/>
      <c r="E12" s="28">
        <f aca="true" t="shared" si="6" ref="E12:J12">IF(E$8=0,0,E5/E$8)</f>
        <v>0</v>
      </c>
      <c r="F12" s="28">
        <f t="shared" si="6"/>
        <v>0</v>
      </c>
      <c r="G12" s="28">
        <f t="shared" si="6"/>
        <v>0</v>
      </c>
      <c r="H12" s="28">
        <f t="shared" si="6"/>
        <v>0</v>
      </c>
      <c r="I12" s="28">
        <f t="shared" si="6"/>
        <v>0</v>
      </c>
      <c r="J12" s="28">
        <f t="shared" si="6"/>
        <v>0</v>
      </c>
      <c r="K12" s="28">
        <f>IF(K$8=0,0,K5/K$8)</f>
        <v>0</v>
      </c>
    </row>
    <row r="13" spans="1:11" s="17" customFormat="1" ht="12.75" customHeight="1">
      <c r="A13" s="18" t="s">
        <v>25</v>
      </c>
      <c r="B13" s="18"/>
      <c r="C13" s="18"/>
      <c r="D13" s="18"/>
      <c r="E13" s="28">
        <f aca="true" t="shared" si="7" ref="E13:J13">IF(E$8=0,0,E6/E$8)</f>
        <v>1</v>
      </c>
      <c r="F13" s="28">
        <f t="shared" si="7"/>
        <v>0.474025974025974</v>
      </c>
      <c r="G13" s="28">
        <f t="shared" si="7"/>
        <v>0.3939393939393939</v>
      </c>
      <c r="H13" s="28">
        <f t="shared" si="7"/>
        <v>0.4117647058823529</v>
      </c>
      <c r="I13" s="28">
        <f t="shared" si="7"/>
        <v>0.4117647058823529</v>
      </c>
      <c r="J13" s="28">
        <f t="shared" si="7"/>
        <v>0.4117647058823529</v>
      </c>
      <c r="K13" s="28">
        <f>IF(K$8=0,0,K6/K$8)</f>
        <v>0.4117647058823529</v>
      </c>
    </row>
    <row r="14" spans="1:11" s="17" customFormat="1" ht="12.75">
      <c r="A14" s="18" t="s">
        <v>25</v>
      </c>
      <c r="B14" s="18"/>
      <c r="C14" s="18"/>
      <c r="D14" s="18"/>
      <c r="E14" s="25">
        <f aca="true" t="shared" si="8" ref="E14:J14">IF(E$8=0,0,E7/E$8)</f>
        <v>0</v>
      </c>
      <c r="F14" s="25">
        <f t="shared" si="8"/>
        <v>0</v>
      </c>
      <c r="G14" s="25">
        <f t="shared" si="8"/>
        <v>0</v>
      </c>
      <c r="H14" s="25">
        <f t="shared" si="8"/>
        <v>0</v>
      </c>
      <c r="I14" s="25">
        <f t="shared" si="8"/>
        <v>0</v>
      </c>
      <c r="J14" s="25">
        <f t="shared" si="8"/>
        <v>0</v>
      </c>
      <c r="K14" s="25">
        <f>IF(K$8=0,0,K7/K$8)</f>
        <v>0</v>
      </c>
    </row>
    <row r="15" spans="1:11" s="17" customFormat="1" ht="12.75">
      <c r="A15" s="18"/>
      <c r="B15" s="18"/>
      <c r="C15" s="18"/>
      <c r="D15" s="18"/>
      <c r="E15" s="21"/>
      <c r="F15" s="21"/>
      <c r="G15" s="21"/>
      <c r="H15" s="21"/>
      <c r="I15" s="21"/>
      <c r="J15" s="21"/>
      <c r="K15" s="21"/>
    </row>
    <row r="16" spans="1:11" s="17" customFormat="1" ht="12.75">
      <c r="A16" s="18" t="s">
        <v>24</v>
      </c>
      <c r="B16" s="18"/>
      <c r="C16" s="18"/>
      <c r="D16" s="18"/>
      <c r="E16" s="29">
        <f aca="true" t="shared" si="9" ref="E16:J16">SUMPRODUCT($D4:$D7,E11:E14)</f>
        <v>3.8</v>
      </c>
      <c r="F16" s="29">
        <f t="shared" si="9"/>
        <v>3.8</v>
      </c>
      <c r="G16" s="29">
        <f t="shared" si="9"/>
        <v>3.8</v>
      </c>
      <c r="H16" s="29">
        <f t="shared" si="9"/>
        <v>3.8</v>
      </c>
      <c r="I16" s="29">
        <f t="shared" si="9"/>
        <v>3.8</v>
      </c>
      <c r="J16" s="29">
        <f t="shared" si="9"/>
        <v>3.8</v>
      </c>
      <c r="K16" s="29">
        <f>SUMPRODUCT($D4:$D7,K11:K14)</f>
        <v>3.8</v>
      </c>
    </row>
    <row r="17" spans="1:11" s="17" customFormat="1" ht="12.75">
      <c r="A17" s="18"/>
      <c r="B17" s="18"/>
      <c r="C17" s="18"/>
      <c r="D17" s="18"/>
      <c r="E17" s="23"/>
      <c r="F17" s="23"/>
      <c r="G17" s="23"/>
      <c r="H17" s="23"/>
      <c r="I17" s="23"/>
      <c r="J17" s="23"/>
      <c r="K17" s="23"/>
    </row>
    <row r="18" spans="1:11" s="17" customFormat="1" ht="12.75">
      <c r="A18" s="18" t="s">
        <v>26</v>
      </c>
      <c r="B18" s="18"/>
      <c r="C18" s="18"/>
      <c r="D18" s="18"/>
      <c r="E18" s="35">
        <f>(SUMPRODUCT(F16:K16,F8:K8)+(E16*E8)/2)/(SUM(F8:K8)+E8/2)</f>
        <v>3.8000000000000003</v>
      </c>
      <c r="F18" s="24"/>
      <c r="G18" s="24"/>
      <c r="H18" s="24"/>
      <c r="I18" s="24"/>
      <c r="J18" s="24"/>
      <c r="K18" s="24"/>
    </row>
    <row r="19" spans="1:11" s="17" customFormat="1" ht="12.75">
      <c r="A19" s="18"/>
      <c r="B19" s="18"/>
      <c r="C19" s="18"/>
      <c r="D19" s="18"/>
      <c r="E19" s="21"/>
      <c r="F19" s="20"/>
      <c r="G19" s="20"/>
      <c r="H19" s="20"/>
      <c r="I19" s="20"/>
      <c r="J19" s="20"/>
      <c r="K19" s="20"/>
    </row>
    <row r="20" spans="1:5" ht="12.75">
      <c r="A20" s="18" t="s">
        <v>43</v>
      </c>
      <c r="B20" s="18"/>
      <c r="E20" s="30">
        <f>+RP6!B13+RP6!B14</f>
        <v>3.3</v>
      </c>
    </row>
    <row r="21" ht="12.75">
      <c r="E21" s="32"/>
    </row>
    <row r="22" spans="1:5" ht="12.75">
      <c r="A22" t="s">
        <v>27</v>
      </c>
      <c r="E22" s="33">
        <v>0.8</v>
      </c>
    </row>
    <row r="23" ht="12.75">
      <c r="E23" s="30"/>
    </row>
    <row r="24" spans="1:5" ht="12.75">
      <c r="A24" t="s">
        <v>28</v>
      </c>
      <c r="E24" s="34">
        <f>(+E18-E20)*E22+E20</f>
        <v>3.7</v>
      </c>
    </row>
    <row r="27" ht="15">
      <c r="A27" s="41"/>
    </row>
    <row r="28" ht="15">
      <c r="A28" s="41"/>
    </row>
    <row r="30" spans="12:13" ht="12.75">
      <c r="L30" s="49"/>
      <c r="M30" s="49"/>
    </row>
    <row r="31" spans="5:13" ht="12.75">
      <c r="E31" s="48"/>
      <c r="F31" s="48"/>
      <c r="G31" s="48"/>
      <c r="H31" s="48"/>
      <c r="I31" s="48"/>
      <c r="J31" s="48"/>
      <c r="K31" s="48"/>
      <c r="L31" s="49"/>
      <c r="M31" s="49"/>
    </row>
    <row r="32" spans="12:13" ht="12.75">
      <c r="L32" s="49"/>
      <c r="M32" s="49"/>
    </row>
    <row r="34" spans="12:13" ht="12.75">
      <c r="L34" s="50"/>
      <c r="M34" s="50"/>
    </row>
  </sheetData>
  <sheetProtection/>
  <mergeCells count="2">
    <mergeCell ref="B6:C6"/>
    <mergeCell ref="B7:C7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2016-07-28T16:17:50Z</dcterms:created>
  <dcterms:modified xsi:type="dcterms:W3CDTF">2017-06-25T13:07:43Z</dcterms:modified>
  <cp:category/>
  <cp:version/>
  <cp:contentType/>
  <cp:contentStatus/>
</cp:coreProperties>
</file>