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1475" windowHeight="5445"/>
  </bookViews>
  <sheets>
    <sheet name="Capital Expenditure" sheetId="2" r:id="rId1"/>
    <sheet name="WACC &amp; NPV Calculations" sheetId="3" r:id="rId2"/>
  </sheets>
  <definedNames>
    <definedName name="tror" localSheetId="0">'Capital Expenditure'!#REF!</definedName>
    <definedName name="tror" localSheetId="1">'WACC &amp; NPV Calculations'!#REF!</definedName>
  </definedNames>
  <calcPr calcId="125725"/>
</workbook>
</file>

<file path=xl/calcChain.xml><?xml version="1.0" encoding="utf-8"?>
<calcChain xmlns="http://schemas.openxmlformats.org/spreadsheetml/2006/main">
  <c r="D57" i="3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F30" i="2"/>
  <c r="E30"/>
  <c r="G27"/>
  <c r="G26"/>
  <c r="G25"/>
  <c r="G24"/>
  <c r="G23"/>
  <c r="G22"/>
  <c r="G21"/>
  <c r="I18" i="3"/>
  <c r="H1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E33" i="2"/>
  <c r="C30"/>
  <c r="C14"/>
  <c r="I19" i="3" l="1"/>
  <c r="I20" s="1"/>
  <c r="I21" s="1"/>
  <c r="I22" s="1"/>
  <c r="I23" s="1"/>
  <c r="I24" s="1"/>
  <c r="I25" s="1"/>
  <c r="I26" s="1"/>
  <c r="I27" s="1"/>
  <c r="I28" s="1"/>
  <c r="I29" s="1"/>
  <c r="I30" s="1"/>
  <c r="I31" s="1"/>
  <c r="I32" s="1"/>
  <c r="H19"/>
  <c r="H20" s="1"/>
  <c r="H21" s="1"/>
  <c r="H22" s="1"/>
  <c r="H23" s="1"/>
  <c r="H24" s="1"/>
  <c r="H25" s="1"/>
  <c r="H26" s="1"/>
  <c r="H27" s="1"/>
  <c r="H28" s="1"/>
  <c r="H29" s="1"/>
  <c r="H30" s="1"/>
  <c r="H31" s="1"/>
  <c r="H32" s="1"/>
  <c r="H33" s="1"/>
  <c r="H34" s="1"/>
  <c r="H35" s="1"/>
  <c r="H36" s="1"/>
  <c r="H37" s="1"/>
  <c r="H38" s="1"/>
  <c r="G30" i="2"/>
  <c r="F32"/>
  <c r="F31"/>
  <c r="E31"/>
  <c r="E32"/>
  <c r="I33" i="3"/>
  <c r="I34" s="1"/>
  <c r="I35" s="1"/>
  <c r="I36" s="1"/>
  <c r="I37" s="1"/>
  <c r="G32" i="2" l="1"/>
  <c r="G31"/>
  <c r="E34"/>
  <c r="E35" s="1"/>
  <c r="F33" s="1"/>
  <c r="F34" s="1"/>
  <c r="I38" i="3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H39"/>
  <c r="H40" l="1"/>
  <c r="H41" l="1"/>
  <c r="F35" i="2"/>
  <c r="G33" s="1"/>
  <c r="G34" s="1"/>
  <c r="H42" i="3" l="1"/>
  <c r="C34" i="2"/>
  <c r="C35" l="1"/>
  <c r="C38" s="1"/>
  <c r="E18" i="3" s="1"/>
  <c r="G18" s="1"/>
  <c r="H43"/>
  <c r="G35" i="2"/>
  <c r="J18" i="3" l="1"/>
  <c r="F18" s="1"/>
  <c r="E19" s="1"/>
  <c r="K18"/>
  <c r="H44"/>
  <c r="G19" l="1"/>
  <c r="K19" s="1"/>
  <c r="H45"/>
  <c r="L18"/>
  <c r="G20" l="1"/>
  <c r="J19"/>
  <c r="F19" s="1"/>
  <c r="E20" s="1"/>
  <c r="H46"/>
  <c r="H47" s="1"/>
  <c r="H48" s="1"/>
  <c r="H49" s="1"/>
  <c r="H50" s="1"/>
  <c r="H51" s="1"/>
  <c r="H52" s="1"/>
  <c r="H53" s="1"/>
  <c r="H54" s="1"/>
  <c r="H55" s="1"/>
  <c r="H56" s="1"/>
  <c r="H57" s="1"/>
  <c r="K20" l="1"/>
  <c r="J20"/>
  <c r="L19"/>
  <c r="L20" l="1"/>
  <c r="F20"/>
  <c r="E21" s="1"/>
  <c r="G21" s="1"/>
  <c r="J21" l="1"/>
  <c r="F21" s="1"/>
  <c r="E22" s="1"/>
  <c r="K21"/>
  <c r="G22"/>
  <c r="J22" l="1"/>
  <c r="F22" s="1"/>
  <c r="E23" s="1"/>
  <c r="K22"/>
  <c r="G23"/>
  <c r="L21"/>
  <c r="K23" l="1"/>
  <c r="J23"/>
  <c r="G24"/>
  <c r="L22"/>
  <c r="K24" l="1"/>
  <c r="J24"/>
  <c r="G25"/>
  <c r="L23"/>
  <c r="F23"/>
  <c r="E24" s="1"/>
  <c r="L24" l="1"/>
  <c r="K25"/>
  <c r="J25"/>
  <c r="F24"/>
  <c r="E25" s="1"/>
  <c r="F25" l="1"/>
  <c r="E26" s="1"/>
  <c r="G26" s="1"/>
  <c r="L25"/>
  <c r="K26"/>
  <c r="G27"/>
  <c r="J26"/>
  <c r="J27" l="1"/>
  <c r="G28"/>
  <c r="K27"/>
  <c r="L26"/>
  <c r="F26"/>
  <c r="E27" s="1"/>
  <c r="F27" s="1"/>
  <c r="E28" s="1"/>
  <c r="G29" l="1"/>
  <c r="K28"/>
  <c r="J28"/>
  <c r="L27"/>
  <c r="L28" l="1"/>
  <c r="F28"/>
  <c r="E29" s="1"/>
  <c r="K29"/>
  <c r="J29"/>
  <c r="G30"/>
  <c r="L29" l="1"/>
  <c r="G31"/>
  <c r="K30"/>
  <c r="J30"/>
  <c r="F29"/>
  <c r="E30" s="1"/>
  <c r="F30" l="1"/>
  <c r="E31" s="1"/>
  <c r="J31"/>
  <c r="K31"/>
  <c r="G32"/>
  <c r="L30"/>
  <c r="J32" l="1"/>
  <c r="K32"/>
  <c r="G33"/>
  <c r="L31"/>
  <c r="F31"/>
  <c r="E32" s="1"/>
  <c r="F32" s="1"/>
  <c r="E33" s="1"/>
  <c r="J33" l="1"/>
  <c r="K33"/>
  <c r="G34"/>
  <c r="L32"/>
  <c r="G35" l="1"/>
  <c r="J34"/>
  <c r="K34"/>
  <c r="F33"/>
  <c r="E34" s="1"/>
  <c r="L33"/>
  <c r="F34" l="1"/>
  <c r="E35" s="1"/>
  <c r="L34"/>
  <c r="G36"/>
  <c r="K35"/>
  <c r="J35"/>
  <c r="L35" l="1"/>
  <c r="F35"/>
  <c r="E36" s="1"/>
  <c r="G37"/>
  <c r="J36"/>
  <c r="K36"/>
  <c r="L36" l="1"/>
  <c r="F36"/>
  <c r="E37" s="1"/>
  <c r="J37"/>
  <c r="G38"/>
  <c r="K37"/>
  <c r="L37" l="1"/>
  <c r="K38"/>
  <c r="G39"/>
  <c r="J38"/>
  <c r="F37"/>
  <c r="E38" s="1"/>
  <c r="L38" l="1"/>
  <c r="J39"/>
  <c r="G40"/>
  <c r="K39"/>
  <c r="F38"/>
  <c r="E39" s="1"/>
  <c r="L39" l="1"/>
  <c r="J40"/>
  <c r="K40"/>
  <c r="G41"/>
  <c r="F39"/>
  <c r="E40" s="1"/>
  <c r="L40" l="1"/>
  <c r="F40"/>
  <c r="E41" s="1"/>
  <c r="K41"/>
  <c r="J41"/>
  <c r="G42"/>
  <c r="F41" l="1"/>
  <c r="E42" s="1"/>
  <c r="L41"/>
  <c r="J42"/>
  <c r="K42"/>
  <c r="G43"/>
  <c r="J43" l="1"/>
  <c r="K43"/>
  <c r="G44"/>
  <c r="L42"/>
  <c r="F42"/>
  <c r="E43" s="1"/>
  <c r="F43" l="1"/>
  <c r="E44" s="1"/>
  <c r="J44"/>
  <c r="K44"/>
  <c r="G45"/>
  <c r="L43"/>
  <c r="J45" l="1"/>
  <c r="K45"/>
  <c r="G46"/>
  <c r="F44"/>
  <c r="E45" s="1"/>
  <c r="L44"/>
  <c r="F45" l="1"/>
  <c r="E46" s="1"/>
  <c r="J46"/>
  <c r="G47"/>
  <c r="K46"/>
  <c r="L45"/>
  <c r="F46" l="1"/>
  <c r="E47" s="1"/>
  <c r="L46"/>
  <c r="G48"/>
  <c r="K47"/>
  <c r="J47"/>
  <c r="L47" l="1"/>
  <c r="K48"/>
  <c r="J48"/>
  <c r="F47"/>
  <c r="E48" s="1"/>
  <c r="L48" l="1"/>
  <c r="F48"/>
  <c r="E49" s="1"/>
  <c r="G49" s="1"/>
  <c r="K49" l="1"/>
  <c r="G50"/>
  <c r="J49"/>
  <c r="F49" l="1"/>
  <c r="E50" s="1"/>
  <c r="L49"/>
  <c r="J50"/>
  <c r="K50"/>
  <c r="G51"/>
  <c r="G52" l="1"/>
  <c r="G53" s="1"/>
  <c r="J51"/>
  <c r="K51"/>
  <c r="L50"/>
  <c r="F50"/>
  <c r="E51" s="1"/>
  <c r="F51" l="1"/>
  <c r="E52" s="1"/>
  <c r="L51"/>
  <c r="J52"/>
  <c r="K52"/>
  <c r="G54"/>
  <c r="J53"/>
  <c r="K53"/>
  <c r="F52" l="1"/>
  <c r="E53" s="1"/>
  <c r="L52"/>
  <c r="J54"/>
  <c r="G55"/>
  <c r="K54"/>
  <c r="L53"/>
  <c r="F53"/>
  <c r="E54" s="1"/>
  <c r="F54" s="1"/>
  <c r="E55" s="1"/>
  <c r="L54" l="1"/>
  <c r="G56"/>
  <c r="K55"/>
  <c r="J55"/>
  <c r="L55" l="1"/>
  <c r="G57"/>
  <c r="J56"/>
  <c r="K56"/>
  <c r="F55"/>
  <c r="E56" s="1"/>
  <c r="J57" l="1"/>
  <c r="K57"/>
  <c r="K59" s="1"/>
  <c r="F56"/>
  <c r="E57" s="1"/>
  <c r="L56"/>
  <c r="J59"/>
  <c r="F57" l="1"/>
  <c r="L57"/>
  <c r="L59" l="1"/>
  <c r="L62"/>
</calcChain>
</file>

<file path=xl/sharedStrings.xml><?xml version="1.0" encoding="utf-8"?>
<sst xmlns="http://schemas.openxmlformats.org/spreadsheetml/2006/main" count="64" uniqueCount="53">
  <si>
    <t>Capitalised Interest (real)</t>
  </si>
  <si>
    <t xml:space="preserve">LIBOR </t>
  </si>
  <si>
    <t>Calculation of Allowed Revenue £m</t>
  </si>
  <si>
    <t>Premium</t>
  </si>
  <si>
    <t>Repayment</t>
  </si>
  <si>
    <t>Total</t>
  </si>
  <si>
    <t>Year</t>
  </si>
  <si>
    <t>PC period</t>
  </si>
  <si>
    <t>Capital</t>
  </si>
  <si>
    <t>Interest</t>
  </si>
  <si>
    <t>Capital Expenditure Pattern FMA</t>
  </si>
  <si>
    <t>Capital Expenditure</t>
  </si>
  <si>
    <t>Controllable</t>
  </si>
  <si>
    <t>Materials</t>
  </si>
  <si>
    <t>Construction</t>
  </si>
  <si>
    <t>Wayleaves</t>
  </si>
  <si>
    <t>Design / Project Management</t>
  </si>
  <si>
    <t>Site Investigation / C &amp; I / Commissioning</t>
  </si>
  <si>
    <t>Contingency</t>
  </si>
  <si>
    <t>Uncontrollable</t>
  </si>
  <si>
    <t>Opening</t>
  </si>
  <si>
    <t>Asset Value</t>
  </si>
  <si>
    <t>Subvention</t>
  </si>
  <si>
    <t>Opening RAB</t>
  </si>
  <si>
    <t>Capitalised Interest</t>
  </si>
  <si>
    <t>Closing RAB</t>
  </si>
  <si>
    <t>t-3</t>
  </si>
  <si>
    <t>t-2</t>
  </si>
  <si>
    <t>t-1</t>
  </si>
  <si>
    <t>Other Applicant Costs</t>
  </si>
  <si>
    <t>Closing</t>
  </si>
  <si>
    <t>Expenditure</t>
  </si>
  <si>
    <t>£m</t>
  </si>
  <si>
    <t>Pain Gain Mechanism</t>
  </si>
  <si>
    <t>Principal</t>
  </si>
  <si>
    <t>Made</t>
  </si>
  <si>
    <t>Payment Years</t>
  </si>
  <si>
    <t>At this years Interest Rate</t>
  </si>
  <si>
    <t>All numbers in black are calculated</t>
  </si>
  <si>
    <t>Weighted Average Cost of Capital and Nett Present Value  Years 1-40</t>
  </si>
  <si>
    <t>Applicants only permitted to input data into blank cells</t>
  </si>
  <si>
    <t>Net Present Value  as  per Published</t>
  </si>
  <si>
    <t>Criteria 3.15 Applicant Determined Cost</t>
  </si>
  <si>
    <t>Social Discount Rate</t>
  </si>
  <si>
    <t>Mobilisation</t>
  </si>
  <si>
    <t>Capital Expenditure Years t-3, t-2 and t-1</t>
  </si>
  <si>
    <t>All numbers in blue are input by the Utility Regulator</t>
  </si>
  <si>
    <t>Pre Tax Real WACC</t>
  </si>
  <si>
    <t>Risk Adjustment Factor Applied</t>
  </si>
  <si>
    <t>Applicant</t>
  </si>
  <si>
    <t>Submitted</t>
  </si>
  <si>
    <t>Including</t>
  </si>
  <si>
    <t>Adjustment</t>
  </si>
</sst>
</file>

<file path=xl/styles.xml><?xml version="1.0" encoding="utf-8"?>
<styleSheet xmlns="http://schemas.openxmlformats.org/spreadsheetml/2006/main">
  <numFmts count="4">
    <numFmt numFmtId="8" formatCode="&quot;£&quot;#,##0.00;[Red]\-&quot;£&quot;#,##0.00"/>
    <numFmt numFmtId="164" formatCode="#,##0.000"/>
    <numFmt numFmtId="165" formatCode="0.000"/>
    <numFmt numFmtId="166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2" fillId="2" borderId="4" xfId="0" applyFont="1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" xfId="0" applyFill="1" applyBorder="1"/>
    <xf numFmtId="0" fontId="0" fillId="2" borderId="13" xfId="0" applyFill="1" applyBorder="1"/>
    <xf numFmtId="0" fontId="0" fillId="2" borderId="15" xfId="0" applyFill="1" applyBorder="1"/>
    <xf numFmtId="0" fontId="0" fillId="2" borderId="9" xfId="0" applyFill="1" applyBorder="1" applyAlignment="1">
      <alignment horizontal="center"/>
    </xf>
    <xf numFmtId="164" fontId="0" fillId="2" borderId="0" xfId="0" applyNumberFormat="1" applyFill="1" applyBorder="1"/>
    <xf numFmtId="164" fontId="0" fillId="0" borderId="0" xfId="0" applyNumberFormat="1"/>
    <xf numFmtId="0" fontId="4" fillId="2" borderId="4" xfId="0" applyFont="1" applyFill="1" applyBorder="1"/>
    <xf numFmtId="0" fontId="4" fillId="2" borderId="0" xfId="0" applyFont="1" applyFill="1" applyBorder="1"/>
    <xf numFmtId="0" fontId="4" fillId="2" borderId="13" xfId="0" applyFont="1" applyFill="1" applyBorder="1"/>
    <xf numFmtId="0" fontId="4" fillId="0" borderId="0" xfId="0" applyFont="1"/>
    <xf numFmtId="0" fontId="5" fillId="2" borderId="4" xfId="0" applyFont="1" applyFill="1" applyBorder="1"/>
    <xf numFmtId="0" fontId="0" fillId="2" borderId="1" xfId="0" applyFill="1" applyBorder="1" applyAlignment="1">
      <alignment horizontal="centerContinuous"/>
    </xf>
    <xf numFmtId="0" fontId="0" fillId="2" borderId="15" xfId="0" applyFill="1" applyBorder="1" applyAlignment="1">
      <alignment horizontal="centerContinuous"/>
    </xf>
    <xf numFmtId="8" fontId="0" fillId="2" borderId="0" xfId="0" applyNumberFormat="1" applyFill="1" applyBorder="1"/>
    <xf numFmtId="8" fontId="0" fillId="2" borderId="13" xfId="0" applyNumberFormat="1" applyFill="1" applyBorder="1"/>
    <xf numFmtId="0" fontId="0" fillId="0" borderId="0" xfId="0" applyFont="1"/>
    <xf numFmtId="0" fontId="0" fillId="2" borderId="10" xfId="0" applyFill="1" applyBorder="1" applyAlignment="1">
      <alignment horizontal="centerContinuous"/>
    </xf>
    <xf numFmtId="0" fontId="0" fillId="2" borderId="8" xfId="0" applyFill="1" applyBorder="1" applyAlignment="1">
      <alignment horizontal="centerContinuous"/>
    </xf>
    <xf numFmtId="0" fontId="0" fillId="2" borderId="4" xfId="0" applyFill="1" applyBorder="1" applyAlignment="1">
      <alignment horizontal="centerContinuous"/>
    </xf>
    <xf numFmtId="0" fontId="0" fillId="2" borderId="13" xfId="0" applyFill="1" applyBorder="1" applyAlignment="1">
      <alignment horizontal="centerContinuous"/>
    </xf>
    <xf numFmtId="9" fontId="0" fillId="2" borderId="0" xfId="0" applyNumberFormat="1" applyFill="1" applyBorder="1"/>
    <xf numFmtId="164" fontId="3" fillId="3" borderId="7" xfId="0" applyNumberFormat="1" applyFont="1" applyFill="1" applyBorder="1"/>
    <xf numFmtId="2" fontId="0" fillId="2" borderId="0" xfId="0" applyNumberFormat="1" applyFill="1" applyBorder="1"/>
    <xf numFmtId="8" fontId="0" fillId="2" borderId="9" xfId="0" applyNumberFormat="1" applyFill="1" applyBorder="1"/>
    <xf numFmtId="8" fontId="0" fillId="0" borderId="0" xfId="0" applyNumberFormat="1"/>
    <xf numFmtId="10" fontId="3" fillId="4" borderId="10" xfId="0" applyNumberFormat="1" applyFont="1" applyFill="1" applyBorder="1"/>
    <xf numFmtId="10" fontId="3" fillId="4" borderId="12" xfId="0" applyNumberFormat="1" applyFont="1" applyFill="1" applyBorder="1"/>
    <xf numFmtId="10" fontId="0" fillId="4" borderId="11" xfId="0" applyNumberFormat="1" applyFont="1" applyFill="1" applyBorder="1"/>
    <xf numFmtId="164" fontId="3" fillId="4" borderId="10" xfId="0" applyNumberFormat="1" applyFont="1" applyFill="1" applyBorder="1"/>
    <xf numFmtId="164" fontId="3" fillId="4" borderId="12" xfId="0" applyNumberFormat="1" applyFont="1" applyFill="1" applyBorder="1"/>
    <xf numFmtId="164" fontId="3" fillId="4" borderId="7" xfId="0" applyNumberFormat="1" applyFont="1" applyFill="1" applyBorder="1"/>
    <xf numFmtId="166" fontId="3" fillId="4" borderId="2" xfId="0" applyNumberFormat="1" applyFont="1" applyFill="1" applyBorder="1"/>
    <xf numFmtId="166" fontId="3" fillId="4" borderId="3" xfId="0" applyNumberFormat="1" applyFont="1" applyFill="1" applyBorder="1"/>
    <xf numFmtId="166" fontId="3" fillId="4" borderId="4" xfId="0" applyNumberFormat="1" applyFont="1" applyFill="1" applyBorder="1"/>
    <xf numFmtId="166" fontId="3" fillId="4" borderId="0" xfId="0" applyNumberFormat="1" applyFont="1" applyFill="1" applyBorder="1"/>
    <xf numFmtId="166" fontId="3" fillId="4" borderId="5" xfId="0" applyNumberFormat="1" applyFont="1" applyFill="1" applyBorder="1"/>
    <xf numFmtId="166" fontId="3" fillId="4" borderId="6" xfId="0" applyNumberFormat="1" applyFont="1" applyFill="1" applyBorder="1"/>
    <xf numFmtId="165" fontId="6" fillId="4" borderId="2" xfId="0" applyNumberFormat="1" applyFont="1" applyFill="1" applyBorder="1"/>
    <xf numFmtId="165" fontId="6" fillId="4" borderId="3" xfId="0" applyNumberFormat="1" applyFont="1" applyFill="1" applyBorder="1"/>
    <xf numFmtId="165" fontId="6" fillId="4" borderId="8" xfId="0" applyNumberFormat="1" applyFont="1" applyFill="1" applyBorder="1"/>
    <xf numFmtId="165" fontId="6" fillId="4" borderId="4" xfId="0" applyNumberFormat="1" applyFont="1" applyFill="1" applyBorder="1"/>
    <xf numFmtId="165" fontId="6" fillId="4" borderId="0" xfId="0" applyNumberFormat="1" applyFont="1" applyFill="1" applyBorder="1"/>
    <xf numFmtId="165" fontId="6" fillId="4" borderId="13" xfId="0" applyNumberFormat="1" applyFont="1" applyFill="1" applyBorder="1"/>
    <xf numFmtId="165" fontId="6" fillId="4" borderId="5" xfId="0" applyNumberFormat="1" applyFont="1" applyFill="1" applyBorder="1"/>
    <xf numFmtId="165" fontId="6" fillId="4" borderId="6" xfId="0" applyNumberFormat="1" applyFont="1" applyFill="1" applyBorder="1"/>
    <xf numFmtId="165" fontId="6" fillId="4" borderId="9" xfId="0" applyNumberFormat="1" applyFont="1" applyFill="1" applyBorder="1"/>
    <xf numFmtId="164" fontId="6" fillId="4" borderId="10" xfId="0" applyNumberFormat="1" applyFont="1" applyFill="1" applyBorder="1"/>
    <xf numFmtId="164" fontId="6" fillId="4" borderId="12" xfId="0" applyNumberFormat="1" applyFont="1" applyFill="1" applyBorder="1"/>
    <xf numFmtId="164" fontId="6" fillId="4" borderId="11" xfId="0" applyNumberFormat="1" applyFont="1" applyFill="1" applyBorder="1"/>
    <xf numFmtId="164" fontId="6" fillId="4" borderId="7" xfId="0" applyNumberFormat="1" applyFont="1" applyFill="1" applyBorder="1"/>
    <xf numFmtId="166" fontId="6" fillId="4" borderId="8" xfId="0" applyNumberFormat="1" applyFont="1" applyFill="1" applyBorder="1"/>
    <xf numFmtId="166" fontId="6" fillId="4" borderId="13" xfId="0" applyNumberFormat="1" applyFont="1" applyFill="1" applyBorder="1"/>
    <xf numFmtId="166" fontId="6" fillId="4" borderId="9" xfId="0" applyNumberFormat="1" applyFont="1" applyFill="1" applyBorder="1"/>
    <xf numFmtId="164" fontId="3" fillId="3" borderId="12" xfId="0" applyNumberFormat="1" applyFont="1" applyFill="1" applyBorder="1" applyProtection="1">
      <protection locked="0"/>
    </xf>
    <xf numFmtId="10" fontId="3" fillId="3" borderId="3" xfId="0" applyNumberFormat="1" applyFont="1" applyFill="1" applyBorder="1" applyAlignment="1" applyProtection="1">
      <alignment horizontal="center"/>
      <protection locked="0"/>
    </xf>
    <xf numFmtId="10" fontId="3" fillId="3" borderId="0" xfId="0" applyNumberFormat="1" applyFont="1" applyFill="1" applyBorder="1" applyAlignment="1" applyProtection="1">
      <alignment horizontal="center"/>
      <protection locked="0"/>
    </xf>
    <xf numFmtId="10" fontId="3" fillId="3" borderId="6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</xf>
    <xf numFmtId="0" fontId="0" fillId="2" borderId="3" xfId="0" applyFill="1" applyBorder="1" applyProtection="1"/>
    <xf numFmtId="3" fontId="0" fillId="2" borderId="3" xfId="0" applyNumberFormat="1" applyFill="1" applyBorder="1" applyProtection="1"/>
    <xf numFmtId="0" fontId="0" fillId="2" borderId="8" xfId="0" applyFill="1" applyBorder="1" applyProtection="1"/>
    <xf numFmtId="0" fontId="0" fillId="0" borderId="0" xfId="0" applyProtection="1"/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Protection="1"/>
    <xf numFmtId="3" fontId="0" fillId="2" borderId="0" xfId="0" applyNumberFormat="1" applyFill="1" applyBorder="1" applyProtection="1"/>
    <xf numFmtId="0" fontId="0" fillId="2" borderId="13" xfId="0" applyFill="1" applyBorder="1" applyProtection="1"/>
    <xf numFmtId="0" fontId="2" fillId="2" borderId="4" xfId="0" applyFont="1" applyFill="1" applyBorder="1" applyProtection="1"/>
    <xf numFmtId="0" fontId="4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3" fontId="4" fillId="2" borderId="0" xfId="0" applyNumberFormat="1" applyFont="1" applyFill="1" applyBorder="1" applyProtection="1"/>
    <xf numFmtId="0" fontId="4" fillId="2" borderId="13" xfId="0" applyFont="1" applyFill="1" applyBorder="1" applyProtection="1"/>
    <xf numFmtId="0" fontId="4" fillId="0" borderId="0" xfId="0" applyFont="1" applyProtection="1"/>
    <xf numFmtId="0" fontId="4" fillId="2" borderId="4" xfId="0" applyFont="1" applyFill="1" applyBorder="1" applyProtection="1"/>
    <xf numFmtId="164" fontId="3" fillId="4" borderId="10" xfId="0" applyNumberFormat="1" applyFont="1" applyFill="1" applyBorder="1" applyProtection="1"/>
    <xf numFmtId="164" fontId="6" fillId="4" borderId="7" xfId="0" applyNumberFormat="1" applyFont="1" applyFill="1" applyBorder="1" applyProtection="1"/>
    <xf numFmtId="164" fontId="3" fillId="3" borderId="7" xfId="0" applyNumberFormat="1" applyFont="1" applyFill="1" applyBorder="1" applyProtection="1"/>
    <xf numFmtId="0" fontId="5" fillId="2" borderId="0" xfId="0" applyFont="1" applyFill="1" applyBorder="1" applyAlignment="1" applyProtection="1"/>
    <xf numFmtId="10" fontId="3" fillId="4" borderId="7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left"/>
    </xf>
    <xf numFmtId="0" fontId="5" fillId="2" borderId="2" xfId="0" applyFont="1" applyFill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Continuous"/>
    </xf>
    <xf numFmtId="3" fontId="5" fillId="2" borderId="3" xfId="0" applyNumberFormat="1" applyFont="1" applyFill="1" applyBorder="1" applyAlignment="1" applyProtection="1">
      <alignment horizontal="centerContinuous"/>
    </xf>
    <xf numFmtId="0" fontId="5" fillId="2" borderId="8" xfId="0" applyFont="1" applyFill="1" applyBorder="1" applyAlignment="1" applyProtection="1">
      <alignment horizontal="centerContinuous"/>
    </xf>
    <xf numFmtId="0" fontId="5" fillId="2" borderId="4" xfId="0" applyFont="1" applyFill="1" applyBorder="1" applyAlignment="1" applyProtection="1">
      <alignment horizontal="center"/>
    </xf>
    <xf numFmtId="0" fontId="5" fillId="2" borderId="13" xfId="0" applyFont="1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Continuous"/>
    </xf>
    <xf numFmtId="0" fontId="5" fillId="2" borderId="2" xfId="0" applyFont="1" applyFill="1" applyBorder="1" applyProtection="1"/>
    <xf numFmtId="0" fontId="5" fillId="2" borderId="8" xfId="0" applyFont="1" applyFill="1" applyBorder="1" applyProtection="1"/>
    <xf numFmtId="0" fontId="5" fillId="2" borderId="0" xfId="0" applyFont="1" applyFill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Continuous"/>
    </xf>
    <xf numFmtId="0" fontId="5" fillId="2" borderId="13" xfId="0" applyFont="1" applyFill="1" applyBorder="1" applyAlignment="1" applyProtection="1">
      <alignment horizontal="centerContinuous"/>
    </xf>
    <xf numFmtId="3" fontId="5" fillId="2" borderId="0" xfId="0" applyNumberFormat="1" applyFont="1" applyFill="1" applyBorder="1" applyAlignment="1" applyProtection="1">
      <alignment horizontal="centerContinuous"/>
    </xf>
    <xf numFmtId="0" fontId="5" fillId="2" borderId="0" xfId="0" applyFont="1" applyFill="1" applyBorder="1" applyAlignment="1" applyProtection="1">
      <alignment horizontal="centerContinuous"/>
    </xf>
    <xf numFmtId="0" fontId="5" fillId="2" borderId="5" xfId="0" applyFont="1" applyFill="1" applyBorder="1" applyAlignment="1" applyProtection="1">
      <alignment horizontal="center"/>
    </xf>
    <xf numFmtId="0" fontId="5" fillId="2" borderId="9" xfId="0" applyFont="1" applyFill="1" applyBorder="1" applyAlignment="1" applyProtection="1">
      <alignment horizontal="center"/>
    </xf>
    <xf numFmtId="0" fontId="5" fillId="2" borderId="6" xfId="0" applyFont="1" applyFill="1" applyBorder="1" applyAlignment="1" applyProtection="1">
      <alignment horizontal="center"/>
    </xf>
    <xf numFmtId="3" fontId="5" fillId="2" borderId="6" xfId="0" applyNumberFormat="1" applyFont="1" applyFill="1" applyBorder="1" applyAlignment="1" applyProtection="1">
      <alignment horizontal="center"/>
    </xf>
    <xf numFmtId="164" fontId="0" fillId="0" borderId="0" xfId="0" applyNumberFormat="1" applyProtection="1"/>
    <xf numFmtId="0" fontId="0" fillId="2" borderId="2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10" fontId="6" fillId="4" borderId="3" xfId="0" applyNumberFormat="1" applyFont="1" applyFill="1" applyBorder="1" applyAlignment="1" applyProtection="1">
      <alignment horizontal="center"/>
    </xf>
    <xf numFmtId="165" fontId="0" fillId="4" borderId="2" xfId="0" applyNumberFormat="1" applyFill="1" applyBorder="1" applyProtection="1"/>
    <xf numFmtId="165" fontId="0" fillId="4" borderId="8" xfId="0" applyNumberFormat="1" applyFill="1" applyBorder="1" applyProtection="1"/>
    <xf numFmtId="165" fontId="0" fillId="4" borderId="3" xfId="0" applyNumberFormat="1" applyFill="1" applyBorder="1" applyProtection="1"/>
    <xf numFmtId="3" fontId="0" fillId="4" borderId="3" xfId="0" applyNumberFormat="1" applyFill="1" applyBorder="1" applyProtection="1"/>
    <xf numFmtId="8" fontId="0" fillId="2" borderId="13" xfId="0" applyNumberFormat="1" applyFill="1" applyBorder="1" applyProtection="1"/>
    <xf numFmtId="0" fontId="0" fillId="2" borderId="4" xfId="0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/>
    </xf>
    <xf numFmtId="10" fontId="6" fillId="4" borderId="0" xfId="0" applyNumberFormat="1" applyFont="1" applyFill="1" applyBorder="1" applyAlignment="1" applyProtection="1">
      <alignment horizontal="center"/>
    </xf>
    <xf numFmtId="165" fontId="0" fillId="4" borderId="4" xfId="0" applyNumberFormat="1" applyFill="1" applyBorder="1" applyProtection="1"/>
    <xf numFmtId="165" fontId="0" fillId="4" borderId="13" xfId="0" applyNumberFormat="1" applyFill="1" applyBorder="1" applyProtection="1"/>
    <xf numFmtId="165" fontId="0" fillId="4" borderId="0" xfId="0" applyNumberFormat="1" applyFill="1" applyBorder="1" applyProtection="1"/>
    <xf numFmtId="3" fontId="0" fillId="4" borderId="0" xfId="0" applyNumberFormat="1" applyFill="1" applyBorder="1" applyProtection="1"/>
    <xf numFmtId="165" fontId="0" fillId="0" borderId="0" xfId="0" applyNumberFormat="1" applyProtection="1"/>
    <xf numFmtId="0" fontId="0" fillId="2" borderId="5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</xf>
    <xf numFmtId="10" fontId="6" fillId="4" borderId="6" xfId="0" applyNumberFormat="1" applyFont="1" applyFill="1" applyBorder="1" applyAlignment="1" applyProtection="1">
      <alignment horizontal="center"/>
    </xf>
    <xf numFmtId="165" fontId="0" fillId="4" borderId="5" xfId="0" applyNumberFormat="1" applyFill="1" applyBorder="1" applyProtection="1"/>
    <xf numFmtId="165" fontId="0" fillId="4" borderId="9" xfId="0" applyNumberFormat="1" applyFill="1" applyBorder="1" applyProtection="1"/>
    <xf numFmtId="165" fontId="0" fillId="4" borderId="6" xfId="0" applyNumberFormat="1" applyFill="1" applyBorder="1" applyProtection="1"/>
    <xf numFmtId="3" fontId="0" fillId="4" borderId="6" xfId="0" applyNumberFormat="1" applyFill="1" applyBorder="1" applyProtection="1"/>
    <xf numFmtId="165" fontId="0" fillId="2" borderId="0" xfId="0" applyNumberFormat="1" applyFill="1" applyBorder="1" applyProtection="1"/>
    <xf numFmtId="3" fontId="0" fillId="2" borderId="7" xfId="0" applyNumberFormat="1" applyFill="1" applyBorder="1" applyProtection="1"/>
    <xf numFmtId="165" fontId="0" fillId="4" borderId="1" xfId="0" applyNumberFormat="1" applyFill="1" applyBorder="1" applyProtection="1"/>
    <xf numFmtId="165" fontId="0" fillId="4" borderId="14" xfId="0" applyNumberFormat="1" applyFill="1" applyBorder="1" applyProtection="1"/>
    <xf numFmtId="165" fontId="1" fillId="4" borderId="15" xfId="0" applyNumberFormat="1" applyFont="1" applyFill="1" applyBorder="1" applyProtection="1"/>
    <xf numFmtId="164" fontId="0" fillId="2" borderId="0" xfId="0" applyNumberFormat="1" applyFill="1" applyBorder="1" applyProtection="1"/>
    <xf numFmtId="3" fontId="0" fillId="2" borderId="2" xfId="0" applyNumberFormat="1" applyFill="1" applyBorder="1" applyProtection="1"/>
    <xf numFmtId="164" fontId="5" fillId="4" borderId="15" xfId="0" applyNumberFormat="1" applyFont="1" applyFill="1" applyBorder="1" applyProtection="1"/>
    <xf numFmtId="3" fontId="0" fillId="2" borderId="5" xfId="0" applyNumberFormat="1" applyFill="1" applyBorder="1" applyProtection="1"/>
    <xf numFmtId="0" fontId="0" fillId="2" borderId="6" xfId="0" applyFill="1" applyBorder="1" applyProtection="1"/>
    <xf numFmtId="0" fontId="0" fillId="2" borderId="9" xfId="0" applyFill="1" applyBorder="1" applyProtection="1"/>
    <xf numFmtId="0" fontId="0" fillId="2" borderId="6" xfId="0" applyFill="1" applyBorder="1" applyAlignment="1" applyProtection="1">
      <alignment horizontal="center"/>
    </xf>
    <xf numFmtId="3" fontId="0" fillId="2" borderId="6" xfId="0" applyNumberFormat="1" applyFill="1" applyBorder="1" applyProtection="1"/>
    <xf numFmtId="8" fontId="0" fillId="2" borderId="9" xfId="0" applyNumberFormat="1" applyFill="1" applyBorder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3" fontId="0" fillId="0" borderId="0" xfId="0" applyNumberFormat="1" applyBorder="1" applyProtection="1"/>
    <xf numFmtId="164" fontId="0" fillId="0" borderId="0" xfId="0" applyNumberFormat="1" applyBorder="1" applyProtection="1"/>
    <xf numFmtId="8" fontId="0" fillId="0" borderId="0" xfId="0" applyNumberFormat="1" applyProtection="1"/>
    <xf numFmtId="0" fontId="0" fillId="0" borderId="0" xfId="0" applyFont="1" applyProtection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workbookViewId="0">
      <selection activeCell="A9" sqref="A9"/>
    </sheetView>
  </sheetViews>
  <sheetFormatPr defaultRowHeight="15"/>
  <cols>
    <col min="1" max="1" width="19.42578125" customWidth="1"/>
    <col min="2" max="2" width="37.42578125" customWidth="1"/>
    <col min="3" max="4" width="14" customWidth="1"/>
    <col min="5" max="7" width="13.5703125" customWidth="1"/>
    <col min="9" max="9" width="13.85546875" customWidth="1"/>
  </cols>
  <sheetData>
    <row r="1" spans="1:9">
      <c r="A1" s="1"/>
      <c r="B1" s="2"/>
      <c r="C1" s="2"/>
      <c r="D1" s="2"/>
      <c r="E1" s="2"/>
      <c r="F1" s="2"/>
      <c r="G1" s="2"/>
      <c r="H1" s="7"/>
    </row>
    <row r="2" spans="1:9">
      <c r="A2" s="3"/>
      <c r="B2" s="4"/>
      <c r="C2" s="4"/>
      <c r="D2" s="4"/>
      <c r="E2" s="4"/>
      <c r="F2" s="4"/>
      <c r="G2" s="4"/>
      <c r="H2" s="20"/>
    </row>
    <row r="3" spans="1:9" s="28" customFormat="1" ht="18.75">
      <c r="A3" s="12" t="s">
        <v>45</v>
      </c>
      <c r="B3" s="26"/>
      <c r="C3" s="26"/>
      <c r="D3" s="26"/>
      <c r="E3" s="26"/>
      <c r="F3" s="26"/>
      <c r="G3" s="26"/>
      <c r="H3" s="27"/>
    </row>
    <row r="4" spans="1:9" s="28" customFormat="1" ht="15.75">
      <c r="A4" s="25"/>
      <c r="B4" s="26"/>
      <c r="C4" s="26"/>
      <c r="D4" s="26"/>
      <c r="E4" s="26"/>
      <c r="F4" s="26"/>
      <c r="G4" s="26"/>
      <c r="H4" s="27"/>
    </row>
    <row r="5" spans="1:9" s="28" customFormat="1" ht="15.75">
      <c r="A5" s="25"/>
      <c r="B5" s="4"/>
      <c r="C5" s="26"/>
      <c r="D5" s="26"/>
      <c r="E5" s="26"/>
      <c r="F5" s="26"/>
      <c r="G5" s="26"/>
      <c r="H5" s="27"/>
    </row>
    <row r="6" spans="1:9" s="28" customFormat="1" ht="15.75">
      <c r="A6" s="25"/>
      <c r="B6" s="4" t="s">
        <v>46</v>
      </c>
      <c r="C6" s="26"/>
      <c r="D6" s="47">
        <v>0</v>
      </c>
      <c r="E6" s="26"/>
      <c r="F6" s="26"/>
      <c r="G6" s="26"/>
      <c r="H6" s="27"/>
    </row>
    <row r="7" spans="1:9" s="28" customFormat="1" ht="15.75">
      <c r="A7" s="25"/>
      <c r="B7" s="4" t="s">
        <v>38</v>
      </c>
      <c r="C7" s="26"/>
      <c r="D7" s="68">
        <v>0</v>
      </c>
      <c r="E7" s="26"/>
      <c r="F7" s="26"/>
      <c r="G7" s="26"/>
      <c r="H7" s="27"/>
    </row>
    <row r="8" spans="1:9" s="28" customFormat="1" ht="15.75">
      <c r="A8" s="25"/>
      <c r="B8" s="4" t="s">
        <v>40</v>
      </c>
      <c r="C8" s="26"/>
      <c r="D8" s="40"/>
      <c r="E8" s="26"/>
      <c r="F8" s="26"/>
      <c r="G8" s="26"/>
      <c r="H8" s="27"/>
    </row>
    <row r="9" spans="1:9" s="28" customFormat="1" ht="15.75">
      <c r="A9" s="25"/>
      <c r="B9" s="26"/>
      <c r="C9" s="26"/>
      <c r="D9" s="26"/>
      <c r="E9" s="26"/>
      <c r="F9" s="26"/>
      <c r="G9" s="26"/>
      <c r="H9" s="27"/>
    </row>
    <row r="10" spans="1:9" s="28" customFormat="1" ht="15.75">
      <c r="A10" s="25"/>
      <c r="B10" s="26"/>
      <c r="C10" s="26"/>
      <c r="D10" s="26"/>
      <c r="E10" s="26"/>
      <c r="F10" s="26"/>
      <c r="G10" s="26"/>
      <c r="H10" s="27"/>
    </row>
    <row r="11" spans="1:9" s="28" customFormat="1" ht="15.75">
      <c r="A11" s="29"/>
      <c r="B11" s="30" t="s">
        <v>0</v>
      </c>
      <c r="C11" s="31"/>
      <c r="D11" s="26"/>
      <c r="E11" s="26"/>
      <c r="F11" s="26"/>
      <c r="G11" s="26"/>
      <c r="H11" s="27"/>
    </row>
    <row r="12" spans="1:9" s="28" customFormat="1" ht="15.75">
      <c r="A12" s="29"/>
      <c r="B12" s="1" t="s">
        <v>1</v>
      </c>
      <c r="C12" s="44">
        <v>4.7999999999999996E-3</v>
      </c>
      <c r="D12" s="26"/>
      <c r="E12" s="26"/>
      <c r="F12" s="26"/>
      <c r="G12" s="26"/>
      <c r="H12" s="27"/>
    </row>
    <row r="13" spans="1:9" s="28" customFormat="1" ht="15.75">
      <c r="A13" s="29"/>
      <c r="B13" s="3" t="s">
        <v>3</v>
      </c>
      <c r="C13" s="45">
        <v>5.0000000000000001E-3</v>
      </c>
      <c r="D13" s="26"/>
      <c r="E13" s="26"/>
      <c r="F13" s="26"/>
      <c r="G13" s="26"/>
      <c r="H13" s="27"/>
    </row>
    <row r="14" spans="1:9" s="28" customFormat="1" ht="15.75">
      <c r="A14" s="25"/>
      <c r="B14" s="5" t="s">
        <v>5</v>
      </c>
      <c r="C14" s="46">
        <f>SUM(C12:C13)</f>
        <v>9.7999999999999997E-3</v>
      </c>
      <c r="D14" s="26"/>
      <c r="E14" s="26"/>
      <c r="F14" s="26"/>
      <c r="G14" s="26"/>
      <c r="H14" s="27"/>
    </row>
    <row r="15" spans="1:9" ht="15.75">
      <c r="A15" s="3"/>
      <c r="B15" s="4"/>
      <c r="C15" s="26"/>
      <c r="D15" s="4"/>
      <c r="E15" s="4"/>
      <c r="F15" s="26"/>
      <c r="G15" s="32"/>
      <c r="H15" s="27"/>
      <c r="I15" s="24"/>
    </row>
    <row r="16" spans="1:9" ht="15.75">
      <c r="A16" s="3"/>
      <c r="B16" s="4"/>
      <c r="C16" s="26"/>
      <c r="D16" s="4"/>
      <c r="E16" s="4"/>
      <c r="F16" s="26"/>
      <c r="G16" s="32"/>
      <c r="H16" s="33"/>
      <c r="I16" s="24"/>
    </row>
    <row r="17" spans="1:9" ht="15.75">
      <c r="A17" s="3"/>
      <c r="B17" s="4"/>
      <c r="C17" s="26"/>
      <c r="D17" s="4"/>
      <c r="E17" s="4"/>
      <c r="F17" s="26"/>
      <c r="G17" s="32"/>
      <c r="H17" s="33"/>
      <c r="I17" s="24"/>
    </row>
    <row r="18" spans="1:9">
      <c r="A18" s="1"/>
      <c r="B18" s="7"/>
      <c r="C18" s="35" t="s">
        <v>8</v>
      </c>
      <c r="D18" s="4"/>
      <c r="E18" s="15" t="s">
        <v>10</v>
      </c>
      <c r="F18" s="16"/>
      <c r="G18" s="36"/>
      <c r="H18" s="33"/>
      <c r="I18" s="24"/>
    </row>
    <row r="19" spans="1:9">
      <c r="A19" s="37" t="s">
        <v>11</v>
      </c>
      <c r="B19" s="38"/>
      <c r="C19" s="18" t="s">
        <v>31</v>
      </c>
      <c r="D19" s="4"/>
      <c r="E19" s="15"/>
      <c r="F19" s="16"/>
      <c r="G19" s="36"/>
      <c r="H19" s="33"/>
      <c r="I19" s="24"/>
    </row>
    <row r="20" spans="1:9">
      <c r="A20" s="5"/>
      <c r="B20" s="8"/>
      <c r="C20" s="17" t="s">
        <v>32</v>
      </c>
      <c r="D20" s="4"/>
      <c r="E20" s="13" t="s">
        <v>26</v>
      </c>
      <c r="F20" s="14" t="s">
        <v>27</v>
      </c>
      <c r="G20" s="22" t="s">
        <v>28</v>
      </c>
      <c r="H20" s="33"/>
      <c r="I20" s="24"/>
    </row>
    <row r="21" spans="1:9">
      <c r="A21" s="1" t="s">
        <v>12</v>
      </c>
      <c r="B21" s="9" t="s">
        <v>13</v>
      </c>
      <c r="C21" s="47">
        <v>14.398</v>
      </c>
      <c r="D21" s="39"/>
      <c r="E21" s="50">
        <v>0.1</v>
      </c>
      <c r="F21" s="51">
        <v>0.7</v>
      </c>
      <c r="G21" s="69">
        <f>1-SUM(E21:F21)</f>
        <v>0.20000000000000007</v>
      </c>
      <c r="H21" s="33"/>
      <c r="I21" s="24"/>
    </row>
    <row r="22" spans="1:9">
      <c r="A22" s="3"/>
      <c r="B22" s="11" t="s">
        <v>14</v>
      </c>
      <c r="C22" s="48">
        <v>49.476999999999997</v>
      </c>
      <c r="D22" s="39"/>
      <c r="E22" s="52">
        <v>0</v>
      </c>
      <c r="F22" s="53">
        <v>0.15</v>
      </c>
      <c r="G22" s="70">
        <f t="shared" ref="G22:G27" si="0">1-SUM(E22:F22)</f>
        <v>0.85</v>
      </c>
      <c r="H22" s="33"/>
      <c r="I22" s="24"/>
    </row>
    <row r="23" spans="1:9">
      <c r="A23" s="3"/>
      <c r="B23" s="11" t="s">
        <v>15</v>
      </c>
      <c r="C23" s="48">
        <v>16.143999999999998</v>
      </c>
      <c r="D23" s="39"/>
      <c r="E23" s="52">
        <v>0.1</v>
      </c>
      <c r="F23" s="53">
        <v>0.7</v>
      </c>
      <c r="G23" s="70">
        <f t="shared" si="0"/>
        <v>0.20000000000000007</v>
      </c>
      <c r="H23" s="33"/>
      <c r="I23" s="24"/>
    </row>
    <row r="24" spans="1:9">
      <c r="A24" s="3"/>
      <c r="B24" s="11" t="s">
        <v>16</v>
      </c>
      <c r="C24" s="72"/>
      <c r="D24" s="39"/>
      <c r="E24" s="52">
        <v>0.3</v>
      </c>
      <c r="F24" s="53">
        <v>0.3</v>
      </c>
      <c r="G24" s="70">
        <f t="shared" si="0"/>
        <v>0.4</v>
      </c>
      <c r="H24" s="33"/>
      <c r="I24" s="24"/>
    </row>
    <row r="25" spans="1:9">
      <c r="A25" s="3"/>
      <c r="B25" s="11" t="s">
        <v>17</v>
      </c>
      <c r="C25" s="48">
        <v>2.9240000000000004</v>
      </c>
      <c r="D25" s="39"/>
      <c r="E25" s="52">
        <v>0.2</v>
      </c>
      <c r="F25" s="53">
        <v>0.3</v>
      </c>
      <c r="G25" s="70">
        <f t="shared" si="0"/>
        <v>0.5</v>
      </c>
      <c r="H25" s="33"/>
      <c r="I25" s="24"/>
    </row>
    <row r="26" spans="1:9">
      <c r="A26" s="3"/>
      <c r="B26" s="11" t="s">
        <v>18</v>
      </c>
      <c r="C26" s="72"/>
      <c r="D26" s="39"/>
      <c r="E26" s="52">
        <v>0</v>
      </c>
      <c r="F26" s="53">
        <v>0.15</v>
      </c>
      <c r="G26" s="70">
        <f t="shared" si="0"/>
        <v>0.85</v>
      </c>
      <c r="H26" s="33"/>
      <c r="I26" s="24"/>
    </row>
    <row r="27" spans="1:9">
      <c r="A27" s="19" t="s">
        <v>19</v>
      </c>
      <c r="B27" s="21"/>
      <c r="C27" s="49">
        <v>4.609</v>
      </c>
      <c r="D27" s="39"/>
      <c r="E27" s="54">
        <v>0.2</v>
      </c>
      <c r="F27" s="55">
        <v>0.3</v>
      </c>
      <c r="G27" s="71">
        <f t="shared" si="0"/>
        <v>0.5</v>
      </c>
      <c r="H27" s="33"/>
      <c r="I27" s="24"/>
    </row>
    <row r="28" spans="1:9">
      <c r="A28" s="3"/>
      <c r="B28" s="4"/>
      <c r="C28" s="23"/>
      <c r="D28" s="23"/>
      <c r="E28" s="4"/>
      <c r="F28" s="4"/>
      <c r="G28" s="4"/>
      <c r="H28" s="33"/>
      <c r="I28" s="24"/>
    </row>
    <row r="29" spans="1:9">
      <c r="A29" s="3"/>
      <c r="B29" s="4"/>
      <c r="C29" s="23"/>
      <c r="D29" s="4"/>
      <c r="E29" s="4"/>
      <c r="F29" s="4"/>
      <c r="G29" s="4"/>
      <c r="H29" s="33"/>
      <c r="I29" s="24"/>
    </row>
    <row r="30" spans="1:9">
      <c r="A30" s="1" t="s">
        <v>20</v>
      </c>
      <c r="B30" s="9" t="s">
        <v>11</v>
      </c>
      <c r="C30" s="65">
        <f>SUM(C21:C27)</f>
        <v>87.552000000000007</v>
      </c>
      <c r="D30" s="4"/>
      <c r="E30" s="56">
        <f>ROUND($C$21*E21+$C$22*E22+$C$23*E23+$C$24*E24+$C$25*E25+$C$26*E26+$C$27*E27,3)</f>
        <v>4.5609999999999999</v>
      </c>
      <c r="F30" s="57">
        <f>ROUND($C$21*F21+$C$22*F22+$C$23*F23+$C$24*F24+$C$25*F25+$C$26*F26+$C$27*F27,3)</f>
        <v>31.061</v>
      </c>
      <c r="G30" s="58">
        <f>C30-SUM(E30:F30)</f>
        <v>51.930000000000007</v>
      </c>
      <c r="H30" s="33"/>
      <c r="I30" s="24"/>
    </row>
    <row r="31" spans="1:9">
      <c r="A31" s="3" t="s">
        <v>21</v>
      </c>
      <c r="B31" s="11" t="s">
        <v>22</v>
      </c>
      <c r="C31" s="48">
        <v>-32.5</v>
      </c>
      <c r="D31" s="4"/>
      <c r="E31" s="59">
        <f>ROUND($C$31*(E30/$C$30),3)</f>
        <v>-1.6930000000000001</v>
      </c>
      <c r="F31" s="60">
        <f>ROUND($C$31*(F30/$C$30),3)</f>
        <v>-11.53</v>
      </c>
      <c r="G31" s="61">
        <f>C31-SUM(E31:F31)</f>
        <v>-19.277000000000001</v>
      </c>
      <c r="H31" s="33"/>
      <c r="I31" s="24"/>
    </row>
    <row r="32" spans="1:9">
      <c r="A32" s="3"/>
      <c r="B32" s="11" t="s">
        <v>44</v>
      </c>
      <c r="C32" s="72"/>
      <c r="D32" s="4"/>
      <c r="E32" s="59">
        <f>ROUND($C$32*(E30/$C$30),3)</f>
        <v>0</v>
      </c>
      <c r="F32" s="60">
        <f>ROUND($C$32*(F30/$C$30),3)</f>
        <v>0</v>
      </c>
      <c r="G32" s="61">
        <f>C32-SUM(E32:F32)</f>
        <v>0</v>
      </c>
      <c r="H32" s="33"/>
      <c r="I32" s="24"/>
    </row>
    <row r="33" spans="1:9">
      <c r="A33" s="3"/>
      <c r="B33" s="11" t="s">
        <v>23</v>
      </c>
      <c r="C33" s="48">
        <v>0</v>
      </c>
      <c r="D33" s="4"/>
      <c r="E33" s="59">
        <f>C33</f>
        <v>0</v>
      </c>
      <c r="F33" s="60">
        <f>E35</f>
        <v>2.8819999999999997</v>
      </c>
      <c r="G33" s="61">
        <f>F35</f>
        <v>22.536999999999995</v>
      </c>
      <c r="H33" s="33"/>
      <c r="I33" s="24"/>
    </row>
    <row r="34" spans="1:9">
      <c r="A34" s="3"/>
      <c r="B34" s="11" t="s">
        <v>24</v>
      </c>
      <c r="C34" s="66">
        <f>SUM(E34:G34)</f>
        <v>0.51900000000000002</v>
      </c>
      <c r="D34" s="4"/>
      <c r="E34" s="59">
        <f>ROUND(((SUM(E30:E32)/2)+E33)*$C$14,3)</f>
        <v>1.4E-2</v>
      </c>
      <c r="F34" s="60">
        <f t="shared" ref="F34:G34" si="1">ROUND(((SUM(F30:F32)/2)+F33)*$C$14,3)</f>
        <v>0.124</v>
      </c>
      <c r="G34" s="61">
        <f t="shared" si="1"/>
        <v>0.38100000000000001</v>
      </c>
      <c r="H34" s="33"/>
      <c r="I34" s="24"/>
    </row>
    <row r="35" spans="1:9">
      <c r="A35" s="3"/>
      <c r="B35" s="11" t="s">
        <v>25</v>
      </c>
      <c r="C35" s="66">
        <f>SUM(C30:C34)</f>
        <v>55.571000000000005</v>
      </c>
      <c r="D35" s="4"/>
      <c r="E35" s="62">
        <f>SUM(E30:E34)</f>
        <v>2.8819999999999997</v>
      </c>
      <c r="F35" s="63">
        <f>SUM(F30:F34)</f>
        <v>22.536999999999995</v>
      </c>
      <c r="G35" s="64">
        <f>SUM(G30:G34)</f>
        <v>55.570999999999998</v>
      </c>
      <c r="H35" s="33"/>
      <c r="I35" s="24"/>
    </row>
    <row r="36" spans="1:9">
      <c r="A36" s="3"/>
      <c r="B36" s="11" t="s">
        <v>29</v>
      </c>
      <c r="C36" s="72"/>
      <c r="D36" s="4"/>
      <c r="E36" s="4"/>
      <c r="F36" s="4"/>
      <c r="G36" s="4"/>
      <c r="H36" s="33"/>
      <c r="I36" s="24"/>
    </row>
    <row r="37" spans="1:9">
      <c r="A37" s="3"/>
      <c r="B37" s="11" t="s">
        <v>33</v>
      </c>
      <c r="C37" s="48">
        <v>0</v>
      </c>
      <c r="D37" s="4"/>
      <c r="E37" s="4"/>
      <c r="F37" s="4"/>
      <c r="G37" s="4"/>
      <c r="H37" s="33"/>
      <c r="I37" s="24"/>
    </row>
    <row r="38" spans="1:9">
      <c r="A38" s="5"/>
      <c r="B38" s="10" t="s">
        <v>5</v>
      </c>
      <c r="C38" s="67">
        <f>SUM(C35:C37)</f>
        <v>55.571000000000005</v>
      </c>
      <c r="D38" s="4"/>
      <c r="E38" s="41"/>
      <c r="F38" s="4"/>
      <c r="G38" s="4"/>
      <c r="H38" s="33"/>
      <c r="I38" s="24"/>
    </row>
    <row r="39" spans="1:9">
      <c r="A39" s="3"/>
      <c r="B39" s="4"/>
      <c r="C39" s="23"/>
      <c r="D39" s="4"/>
      <c r="E39" s="4"/>
      <c r="F39" s="4"/>
      <c r="G39" s="4"/>
      <c r="H39" s="33"/>
      <c r="I39" s="24"/>
    </row>
    <row r="40" spans="1:9">
      <c r="A40" s="3"/>
      <c r="B40" s="4"/>
      <c r="C40" s="23"/>
      <c r="D40" s="4"/>
      <c r="E40" s="4"/>
      <c r="F40" s="4"/>
      <c r="G40" s="4"/>
      <c r="H40" s="33"/>
      <c r="I40" s="24"/>
    </row>
    <row r="41" spans="1:9">
      <c r="A41" s="3"/>
      <c r="B41" s="4"/>
      <c r="C41" s="23"/>
      <c r="D41" s="4"/>
      <c r="E41" s="4"/>
      <c r="F41" s="4"/>
      <c r="G41" s="4"/>
      <c r="H41" s="33"/>
      <c r="I41" s="24"/>
    </row>
    <row r="42" spans="1:9">
      <c r="A42" s="5"/>
      <c r="B42" s="6"/>
      <c r="C42" s="6"/>
      <c r="D42" s="6"/>
      <c r="E42" s="6"/>
      <c r="F42" s="6"/>
      <c r="G42" s="6"/>
      <c r="H42" s="42"/>
      <c r="I42" s="24"/>
    </row>
    <row r="43" spans="1:9">
      <c r="H43" s="43"/>
      <c r="I43" s="34"/>
    </row>
    <row r="44" spans="1:9">
      <c r="H44" s="43"/>
      <c r="I44" s="34"/>
    </row>
  </sheetData>
  <sheetProtection password="C6BE"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68"/>
  <sheetViews>
    <sheetView topLeftCell="F1" workbookViewId="0">
      <selection activeCell="I11" sqref="I11"/>
    </sheetView>
  </sheetViews>
  <sheetFormatPr defaultRowHeight="15"/>
  <cols>
    <col min="1" max="1" width="13.5703125" style="156" customWidth="1"/>
    <col min="2" max="7" width="13.5703125" style="157" customWidth="1"/>
    <col min="8" max="9" width="13.5703125" style="158" customWidth="1"/>
    <col min="10" max="12" width="13.5703125" style="157" customWidth="1"/>
    <col min="13" max="13" width="6.28515625" style="80" customWidth="1"/>
    <col min="14" max="14" width="13.85546875" style="80" customWidth="1"/>
    <col min="15" max="16384" width="9.140625" style="80"/>
  </cols>
  <sheetData>
    <row r="1" spans="1:13">
      <c r="A1" s="76"/>
      <c r="B1" s="76"/>
      <c r="C1" s="76"/>
      <c r="D1" s="76"/>
      <c r="E1" s="77"/>
      <c r="F1" s="77"/>
      <c r="G1" s="77"/>
      <c r="H1" s="78"/>
      <c r="I1" s="78"/>
      <c r="J1" s="77"/>
      <c r="K1" s="77"/>
      <c r="L1" s="77"/>
      <c r="M1" s="79"/>
    </row>
    <row r="2" spans="1:13">
      <c r="A2" s="81"/>
      <c r="B2" s="81"/>
      <c r="C2" s="81"/>
      <c r="D2" s="81"/>
      <c r="E2" s="82"/>
      <c r="F2" s="82"/>
      <c r="G2" s="82"/>
      <c r="H2" s="83"/>
      <c r="I2" s="83"/>
      <c r="J2" s="82"/>
      <c r="K2" s="82"/>
      <c r="L2" s="82"/>
      <c r="M2" s="84"/>
    </row>
    <row r="3" spans="1:13" s="90" customFormat="1" ht="18.75">
      <c r="A3" s="85" t="s">
        <v>39</v>
      </c>
      <c r="B3" s="86"/>
      <c r="C3" s="86"/>
      <c r="D3" s="87"/>
      <c r="E3" s="86"/>
      <c r="F3" s="86"/>
      <c r="G3" s="86"/>
      <c r="H3" s="88"/>
      <c r="I3" s="88"/>
      <c r="J3" s="86"/>
      <c r="K3" s="86"/>
      <c r="L3" s="86"/>
      <c r="M3" s="89"/>
    </row>
    <row r="4" spans="1:13" s="90" customFormat="1" ht="15.75">
      <c r="A4" s="91"/>
      <c r="B4" s="86"/>
      <c r="C4" s="86"/>
      <c r="D4" s="87"/>
      <c r="E4" s="86"/>
      <c r="F4" s="86"/>
      <c r="G4" s="86"/>
      <c r="H4" s="88"/>
      <c r="I4" s="88"/>
      <c r="J4" s="86"/>
      <c r="K4" s="86"/>
      <c r="L4" s="86"/>
      <c r="M4" s="89"/>
    </row>
    <row r="5" spans="1:13" s="90" customFormat="1" ht="15.75">
      <c r="A5" s="91"/>
      <c r="B5" s="82"/>
      <c r="C5" s="82"/>
      <c r="D5" s="86"/>
      <c r="E5" s="86"/>
      <c r="F5" s="86"/>
      <c r="G5" s="86"/>
      <c r="H5" s="88"/>
      <c r="I5" s="88"/>
      <c r="J5" s="86"/>
      <c r="K5" s="86"/>
      <c r="L5" s="86"/>
      <c r="M5" s="89"/>
    </row>
    <row r="6" spans="1:13" s="90" customFormat="1" ht="15.75">
      <c r="A6" s="86"/>
      <c r="B6" s="82" t="s">
        <v>46</v>
      </c>
      <c r="C6" s="82"/>
      <c r="D6" s="87"/>
      <c r="E6" s="86"/>
      <c r="F6" s="86"/>
      <c r="G6" s="92">
        <v>0</v>
      </c>
      <c r="H6" s="86"/>
      <c r="I6" s="88"/>
      <c r="J6" s="86"/>
      <c r="K6" s="86"/>
      <c r="L6" s="86"/>
      <c r="M6" s="89"/>
    </row>
    <row r="7" spans="1:13" s="90" customFormat="1" ht="15.75">
      <c r="A7" s="86"/>
      <c r="B7" s="82" t="s">
        <v>38</v>
      </c>
      <c r="C7" s="82"/>
      <c r="D7" s="87"/>
      <c r="E7" s="86"/>
      <c r="F7" s="86"/>
      <c r="G7" s="93">
        <v>0</v>
      </c>
      <c r="H7" s="86"/>
      <c r="I7" s="88"/>
      <c r="J7" s="86"/>
      <c r="K7" s="86"/>
      <c r="L7" s="86"/>
      <c r="M7" s="89"/>
    </row>
    <row r="8" spans="1:13" s="90" customFormat="1" ht="15.75">
      <c r="A8" s="86"/>
      <c r="B8" s="82" t="s">
        <v>40</v>
      </c>
      <c r="C8" s="82"/>
      <c r="D8" s="87"/>
      <c r="E8" s="86"/>
      <c r="F8" s="86"/>
      <c r="G8" s="94"/>
      <c r="H8" s="88"/>
      <c r="I8" s="88"/>
      <c r="J8" s="86"/>
      <c r="K8" s="86"/>
      <c r="L8" s="86"/>
      <c r="M8" s="89"/>
    </row>
    <row r="9" spans="1:13" s="90" customFormat="1" ht="15.75">
      <c r="A9" s="86"/>
      <c r="B9" s="82"/>
      <c r="C9" s="82"/>
      <c r="D9" s="87"/>
      <c r="E9" s="86"/>
      <c r="F9" s="86"/>
      <c r="G9" s="86"/>
      <c r="H9" s="88"/>
      <c r="I9" s="88"/>
      <c r="J9" s="86"/>
      <c r="K9" s="86"/>
      <c r="L9" s="86"/>
      <c r="M9" s="89"/>
    </row>
    <row r="10" spans="1:13" s="90" customFormat="1" ht="15.75">
      <c r="A10" s="86"/>
      <c r="B10" s="82"/>
      <c r="C10" s="82"/>
      <c r="D10" s="87"/>
      <c r="E10" s="86"/>
      <c r="F10" s="86"/>
      <c r="G10" s="95" t="s">
        <v>48</v>
      </c>
      <c r="H10" s="88"/>
      <c r="I10" s="88"/>
      <c r="J10" s="96">
        <v>0</v>
      </c>
      <c r="K10" s="86"/>
      <c r="L10" s="86"/>
      <c r="M10" s="89"/>
    </row>
    <row r="11" spans="1:13" s="90" customFormat="1" ht="15.75">
      <c r="A11" s="87"/>
      <c r="B11" s="87"/>
      <c r="C11" s="87"/>
      <c r="D11" s="87"/>
      <c r="E11" s="86"/>
      <c r="F11" s="86"/>
      <c r="G11" s="86"/>
      <c r="H11" s="88"/>
      <c r="I11" s="88"/>
      <c r="J11" s="86"/>
      <c r="K11" s="86"/>
      <c r="L11" s="86"/>
      <c r="M11" s="89"/>
    </row>
    <row r="12" spans="1:13" s="90" customFormat="1" ht="15.75">
      <c r="A12" s="87"/>
      <c r="B12" s="97"/>
      <c r="C12" s="97"/>
      <c r="D12" s="95"/>
      <c r="E12" s="86"/>
      <c r="F12" s="86"/>
      <c r="G12" s="95" t="s">
        <v>43</v>
      </c>
      <c r="H12" s="88"/>
      <c r="I12" s="88"/>
      <c r="J12" s="96">
        <v>3.5000000000000003E-2</v>
      </c>
      <c r="K12" s="86"/>
      <c r="L12" s="86"/>
      <c r="M12" s="89"/>
    </row>
    <row r="13" spans="1:13" s="90" customFormat="1" ht="15.75">
      <c r="A13" s="87"/>
      <c r="B13" s="87"/>
      <c r="C13" s="87"/>
      <c r="D13" s="87"/>
      <c r="E13" s="86"/>
      <c r="F13" s="86"/>
      <c r="G13" s="86"/>
      <c r="H13" s="88"/>
      <c r="I13" s="88"/>
      <c r="J13" s="86"/>
      <c r="K13" s="86"/>
      <c r="L13" s="86"/>
      <c r="M13" s="89"/>
    </row>
    <row r="14" spans="1:13" s="90" customFormat="1" ht="15.75">
      <c r="A14" s="98"/>
      <c r="B14" s="99"/>
      <c r="C14" s="100"/>
      <c r="D14" s="100"/>
      <c r="E14" s="101" t="s">
        <v>2</v>
      </c>
      <c r="F14" s="101"/>
      <c r="G14" s="101"/>
      <c r="H14" s="102"/>
      <c r="I14" s="102"/>
      <c r="J14" s="101"/>
      <c r="K14" s="101"/>
      <c r="L14" s="103"/>
      <c r="M14" s="89"/>
    </row>
    <row r="15" spans="1:13" s="90" customFormat="1" ht="15.75">
      <c r="A15" s="104"/>
      <c r="B15" s="105"/>
      <c r="C15" s="106" t="s">
        <v>47</v>
      </c>
      <c r="D15" s="101"/>
      <c r="E15" s="107"/>
      <c r="F15" s="108"/>
      <c r="G15" s="101" t="s">
        <v>37</v>
      </c>
      <c r="H15" s="102"/>
      <c r="I15" s="102"/>
      <c r="J15" s="98"/>
      <c r="K15" s="100"/>
      <c r="L15" s="99"/>
      <c r="M15" s="89"/>
    </row>
    <row r="16" spans="1:13" s="90" customFormat="1" ht="15.75">
      <c r="A16" s="104"/>
      <c r="B16" s="105"/>
      <c r="C16" s="109" t="s">
        <v>49</v>
      </c>
      <c r="D16" s="109" t="s">
        <v>51</v>
      </c>
      <c r="E16" s="110" t="s">
        <v>21</v>
      </c>
      <c r="F16" s="111"/>
      <c r="G16" s="109"/>
      <c r="H16" s="112" t="s">
        <v>36</v>
      </c>
      <c r="I16" s="112"/>
      <c r="J16" s="110" t="s">
        <v>4</v>
      </c>
      <c r="K16" s="113"/>
      <c r="L16" s="111"/>
      <c r="M16" s="89"/>
    </row>
    <row r="17" spans="1:16" ht="15.75">
      <c r="A17" s="114" t="s">
        <v>6</v>
      </c>
      <c r="B17" s="115" t="s">
        <v>7</v>
      </c>
      <c r="C17" s="116" t="s">
        <v>50</v>
      </c>
      <c r="D17" s="116" t="s">
        <v>52</v>
      </c>
      <c r="E17" s="114" t="s">
        <v>20</v>
      </c>
      <c r="F17" s="115" t="s">
        <v>30</v>
      </c>
      <c r="G17" s="116" t="s">
        <v>34</v>
      </c>
      <c r="H17" s="117" t="s">
        <v>35</v>
      </c>
      <c r="I17" s="117" t="s">
        <v>5</v>
      </c>
      <c r="J17" s="114" t="s">
        <v>8</v>
      </c>
      <c r="K17" s="116" t="s">
        <v>9</v>
      </c>
      <c r="L17" s="115" t="s">
        <v>5</v>
      </c>
      <c r="M17" s="89"/>
      <c r="N17" s="118"/>
    </row>
    <row r="18" spans="1:16">
      <c r="A18" s="119">
        <v>1</v>
      </c>
      <c r="B18" s="120">
        <f>ROUNDUP(A18/5,0)</f>
        <v>1</v>
      </c>
      <c r="C18" s="73"/>
      <c r="D18" s="121">
        <f>C18+$J$10</f>
        <v>0</v>
      </c>
      <c r="E18" s="122">
        <f>'Capital Expenditure'!C38</f>
        <v>55.571000000000005</v>
      </c>
      <c r="F18" s="123">
        <f t="shared" ref="F18:F20" si="0">E18-J18</f>
        <v>54.181725000000007</v>
      </c>
      <c r="G18" s="124">
        <f>E18</f>
        <v>55.571000000000005</v>
      </c>
      <c r="H18" s="125">
        <f>A18</f>
        <v>1</v>
      </c>
      <c r="I18" s="125">
        <f>A57</f>
        <v>40</v>
      </c>
      <c r="J18" s="122">
        <f>-PPMT(D18,H18,I18,G18)</f>
        <v>1.389275</v>
      </c>
      <c r="K18" s="124">
        <f>-IPMT(D18,H18,I18,G18)</f>
        <v>0</v>
      </c>
      <c r="L18" s="123">
        <f t="shared" ref="L18:L57" si="1">SUM(J18:K18)</f>
        <v>1.389275</v>
      </c>
      <c r="M18" s="126"/>
      <c r="N18" s="118"/>
    </row>
    <row r="19" spans="1:16">
      <c r="A19" s="127">
        <v>2</v>
      </c>
      <c r="B19" s="128">
        <f t="shared" ref="B19:B37" si="2">ROUNDUP(A19/5,0)</f>
        <v>1</v>
      </c>
      <c r="C19" s="74"/>
      <c r="D19" s="129">
        <f t="shared" ref="D19:D57" si="3">C19+$J$10</f>
        <v>0</v>
      </c>
      <c r="E19" s="130">
        <f>F18</f>
        <v>54.181725000000007</v>
      </c>
      <c r="F19" s="131">
        <f t="shared" si="0"/>
        <v>52.792450000000009</v>
      </c>
      <c r="G19" s="132">
        <f>IF(D19=D18,G18,E19)</f>
        <v>55.571000000000005</v>
      </c>
      <c r="H19" s="133">
        <f>IF(D19=D18,H18+1,1)</f>
        <v>2</v>
      </c>
      <c r="I19" s="133">
        <f>IF(D19=D18,I18,I18-H18)</f>
        <v>40</v>
      </c>
      <c r="J19" s="130">
        <f t="shared" ref="J19" si="4">-PPMT(D19,H19,I19,G19)</f>
        <v>1.389275</v>
      </c>
      <c r="K19" s="132">
        <f t="shared" ref="K19" si="5">-IPMT(D19,H19,I19,G19)</f>
        <v>0</v>
      </c>
      <c r="L19" s="131">
        <f t="shared" si="1"/>
        <v>1.389275</v>
      </c>
      <c r="M19" s="126"/>
      <c r="N19" s="118"/>
      <c r="O19" s="134"/>
    </row>
    <row r="20" spans="1:16">
      <c r="A20" s="127">
        <v>3</v>
      </c>
      <c r="B20" s="128">
        <f t="shared" si="2"/>
        <v>1</v>
      </c>
      <c r="C20" s="74"/>
      <c r="D20" s="129">
        <f t="shared" si="3"/>
        <v>0</v>
      </c>
      <c r="E20" s="130">
        <f t="shared" ref="E20" si="6">F19</f>
        <v>52.792450000000009</v>
      </c>
      <c r="F20" s="131">
        <f t="shared" si="0"/>
        <v>51.403175000000012</v>
      </c>
      <c r="G20" s="132">
        <f t="shared" ref="G20:G37" si="7">IF(D20=D19,G19,E20)</f>
        <v>55.571000000000005</v>
      </c>
      <c r="H20" s="133">
        <f t="shared" ref="H20:H37" si="8">IF(D20=D19,H19+1,1)</f>
        <v>3</v>
      </c>
      <c r="I20" s="133">
        <f t="shared" ref="I20:I37" si="9">IF(D20=D19,I19,I19-H19)</f>
        <v>40</v>
      </c>
      <c r="J20" s="130">
        <f t="shared" ref="J20:J57" si="10">-PPMT(D20,H20,I20,G20)</f>
        <v>1.389275</v>
      </c>
      <c r="K20" s="132">
        <f t="shared" ref="K20:K57" si="11">-IPMT(D20,H20,I20,G20)</f>
        <v>0</v>
      </c>
      <c r="L20" s="131">
        <f t="shared" si="1"/>
        <v>1.389275</v>
      </c>
      <c r="M20" s="126"/>
      <c r="N20" s="118"/>
    </row>
    <row r="21" spans="1:16">
      <c r="A21" s="127">
        <v>4</v>
      </c>
      <c r="B21" s="128">
        <f t="shared" si="2"/>
        <v>1</v>
      </c>
      <c r="C21" s="74"/>
      <c r="D21" s="129">
        <f t="shared" si="3"/>
        <v>0</v>
      </c>
      <c r="E21" s="130">
        <f t="shared" ref="E21:E57" si="12">F20</f>
        <v>51.403175000000012</v>
      </c>
      <c r="F21" s="131">
        <f t="shared" ref="F21:F57" si="13">E21-J21</f>
        <v>50.013900000000014</v>
      </c>
      <c r="G21" s="132">
        <f t="shared" si="7"/>
        <v>55.571000000000005</v>
      </c>
      <c r="H21" s="133">
        <f t="shared" si="8"/>
        <v>4</v>
      </c>
      <c r="I21" s="133">
        <f t="shared" si="9"/>
        <v>40</v>
      </c>
      <c r="J21" s="130">
        <f t="shared" si="10"/>
        <v>1.389275</v>
      </c>
      <c r="K21" s="132">
        <f t="shared" si="11"/>
        <v>0</v>
      </c>
      <c r="L21" s="131">
        <f t="shared" si="1"/>
        <v>1.389275</v>
      </c>
      <c r="M21" s="126"/>
      <c r="N21" s="118"/>
    </row>
    <row r="22" spans="1:16">
      <c r="A22" s="127">
        <v>5</v>
      </c>
      <c r="B22" s="128">
        <f t="shared" si="2"/>
        <v>1</v>
      </c>
      <c r="C22" s="74"/>
      <c r="D22" s="129">
        <f t="shared" si="3"/>
        <v>0</v>
      </c>
      <c r="E22" s="130">
        <f t="shared" si="12"/>
        <v>50.013900000000014</v>
      </c>
      <c r="F22" s="131">
        <f t="shared" si="13"/>
        <v>48.624625000000016</v>
      </c>
      <c r="G22" s="132">
        <f t="shared" si="7"/>
        <v>55.571000000000005</v>
      </c>
      <c r="H22" s="133">
        <f t="shared" si="8"/>
        <v>5</v>
      </c>
      <c r="I22" s="133">
        <f t="shared" si="9"/>
        <v>40</v>
      </c>
      <c r="J22" s="130">
        <f t="shared" si="10"/>
        <v>1.389275</v>
      </c>
      <c r="K22" s="132">
        <f t="shared" si="11"/>
        <v>0</v>
      </c>
      <c r="L22" s="131">
        <f t="shared" si="1"/>
        <v>1.389275</v>
      </c>
      <c r="M22" s="126"/>
      <c r="N22" s="118"/>
    </row>
    <row r="23" spans="1:16">
      <c r="A23" s="119">
        <v>6</v>
      </c>
      <c r="B23" s="120">
        <f t="shared" si="2"/>
        <v>2</v>
      </c>
      <c r="C23" s="73"/>
      <c r="D23" s="121">
        <f t="shared" si="3"/>
        <v>0</v>
      </c>
      <c r="E23" s="122">
        <f t="shared" si="12"/>
        <v>48.624625000000016</v>
      </c>
      <c r="F23" s="123">
        <f t="shared" si="13"/>
        <v>47.235350000000018</v>
      </c>
      <c r="G23" s="124">
        <f t="shared" si="7"/>
        <v>55.571000000000005</v>
      </c>
      <c r="H23" s="125">
        <f t="shared" si="8"/>
        <v>6</v>
      </c>
      <c r="I23" s="125">
        <f t="shared" si="9"/>
        <v>40</v>
      </c>
      <c r="J23" s="122">
        <f t="shared" si="10"/>
        <v>1.389275</v>
      </c>
      <c r="K23" s="124">
        <f t="shared" si="11"/>
        <v>0</v>
      </c>
      <c r="L23" s="123">
        <f t="shared" si="1"/>
        <v>1.389275</v>
      </c>
      <c r="M23" s="126"/>
      <c r="N23" s="118"/>
      <c r="O23" s="134"/>
      <c r="P23" s="134"/>
    </row>
    <row r="24" spans="1:16">
      <c r="A24" s="127">
        <v>7</v>
      </c>
      <c r="B24" s="128">
        <f t="shared" si="2"/>
        <v>2</v>
      </c>
      <c r="C24" s="74"/>
      <c r="D24" s="129">
        <f t="shared" si="3"/>
        <v>0</v>
      </c>
      <c r="E24" s="130">
        <f t="shared" si="12"/>
        <v>47.235350000000018</v>
      </c>
      <c r="F24" s="131">
        <f t="shared" si="13"/>
        <v>45.84607500000002</v>
      </c>
      <c r="G24" s="132">
        <f t="shared" si="7"/>
        <v>55.571000000000005</v>
      </c>
      <c r="H24" s="133">
        <f t="shared" si="8"/>
        <v>7</v>
      </c>
      <c r="I24" s="133">
        <f t="shared" si="9"/>
        <v>40</v>
      </c>
      <c r="J24" s="130">
        <f t="shared" si="10"/>
        <v>1.389275</v>
      </c>
      <c r="K24" s="132">
        <f t="shared" si="11"/>
        <v>0</v>
      </c>
      <c r="L24" s="131">
        <f t="shared" si="1"/>
        <v>1.389275</v>
      </c>
      <c r="M24" s="126"/>
      <c r="N24" s="118"/>
    </row>
    <row r="25" spans="1:16">
      <c r="A25" s="127">
        <v>8</v>
      </c>
      <c r="B25" s="128">
        <f t="shared" si="2"/>
        <v>2</v>
      </c>
      <c r="C25" s="74"/>
      <c r="D25" s="129">
        <f t="shared" si="3"/>
        <v>0</v>
      </c>
      <c r="E25" s="130">
        <f t="shared" si="12"/>
        <v>45.84607500000002</v>
      </c>
      <c r="F25" s="131">
        <f t="shared" si="13"/>
        <v>44.456800000000023</v>
      </c>
      <c r="G25" s="132">
        <f t="shared" si="7"/>
        <v>55.571000000000005</v>
      </c>
      <c r="H25" s="133">
        <f t="shared" si="8"/>
        <v>8</v>
      </c>
      <c r="I25" s="133">
        <f t="shared" si="9"/>
        <v>40</v>
      </c>
      <c r="J25" s="130">
        <f t="shared" si="10"/>
        <v>1.389275</v>
      </c>
      <c r="K25" s="132">
        <f t="shared" si="11"/>
        <v>0</v>
      </c>
      <c r="L25" s="131">
        <f t="shared" si="1"/>
        <v>1.389275</v>
      </c>
      <c r="M25" s="126"/>
      <c r="N25" s="118"/>
    </row>
    <row r="26" spans="1:16">
      <c r="A26" s="127">
        <v>9</v>
      </c>
      <c r="B26" s="128">
        <f t="shared" si="2"/>
        <v>2</v>
      </c>
      <c r="C26" s="74"/>
      <c r="D26" s="129">
        <f t="shared" si="3"/>
        <v>0</v>
      </c>
      <c r="E26" s="130">
        <f t="shared" si="12"/>
        <v>44.456800000000023</v>
      </c>
      <c r="F26" s="131">
        <f t="shared" si="13"/>
        <v>43.067525000000025</v>
      </c>
      <c r="G26" s="132">
        <f t="shared" si="7"/>
        <v>55.571000000000005</v>
      </c>
      <c r="H26" s="133">
        <f t="shared" si="8"/>
        <v>9</v>
      </c>
      <c r="I26" s="133">
        <f t="shared" si="9"/>
        <v>40</v>
      </c>
      <c r="J26" s="130">
        <f t="shared" si="10"/>
        <v>1.389275</v>
      </c>
      <c r="K26" s="132">
        <f t="shared" si="11"/>
        <v>0</v>
      </c>
      <c r="L26" s="131">
        <f t="shared" si="1"/>
        <v>1.389275</v>
      </c>
      <c r="M26" s="126"/>
      <c r="N26" s="118"/>
    </row>
    <row r="27" spans="1:16">
      <c r="A27" s="135">
        <v>10</v>
      </c>
      <c r="B27" s="136">
        <f t="shared" si="2"/>
        <v>2</v>
      </c>
      <c r="C27" s="75"/>
      <c r="D27" s="137">
        <f t="shared" si="3"/>
        <v>0</v>
      </c>
      <c r="E27" s="138">
        <f t="shared" si="12"/>
        <v>43.067525000000025</v>
      </c>
      <c r="F27" s="139">
        <f t="shared" si="13"/>
        <v>41.678250000000027</v>
      </c>
      <c r="G27" s="140">
        <f t="shared" si="7"/>
        <v>55.571000000000005</v>
      </c>
      <c r="H27" s="141">
        <f t="shared" si="8"/>
        <v>10</v>
      </c>
      <c r="I27" s="141">
        <f t="shared" si="9"/>
        <v>40</v>
      </c>
      <c r="J27" s="138">
        <f t="shared" si="10"/>
        <v>1.389275</v>
      </c>
      <c r="K27" s="140">
        <f t="shared" si="11"/>
        <v>0</v>
      </c>
      <c r="L27" s="139">
        <f t="shared" si="1"/>
        <v>1.389275</v>
      </c>
      <c r="M27" s="126"/>
      <c r="N27" s="118"/>
      <c r="O27" s="134"/>
      <c r="P27" s="134"/>
    </row>
    <row r="28" spans="1:16">
      <c r="A28" s="127">
        <v>11</v>
      </c>
      <c r="B28" s="128">
        <f t="shared" si="2"/>
        <v>3</v>
      </c>
      <c r="C28" s="74"/>
      <c r="D28" s="129">
        <f t="shared" si="3"/>
        <v>0</v>
      </c>
      <c r="E28" s="130">
        <f t="shared" si="12"/>
        <v>41.678250000000027</v>
      </c>
      <c r="F28" s="131">
        <f t="shared" si="13"/>
        <v>40.288975000000029</v>
      </c>
      <c r="G28" s="132">
        <f t="shared" si="7"/>
        <v>55.571000000000005</v>
      </c>
      <c r="H28" s="133">
        <f t="shared" si="8"/>
        <v>11</v>
      </c>
      <c r="I28" s="133">
        <f t="shared" si="9"/>
        <v>40</v>
      </c>
      <c r="J28" s="130">
        <f t="shared" si="10"/>
        <v>1.389275</v>
      </c>
      <c r="K28" s="132">
        <f t="shared" si="11"/>
        <v>0</v>
      </c>
      <c r="L28" s="131">
        <f t="shared" si="1"/>
        <v>1.389275</v>
      </c>
      <c r="M28" s="126"/>
      <c r="N28" s="118"/>
    </row>
    <row r="29" spans="1:16">
      <c r="A29" s="127">
        <v>12</v>
      </c>
      <c r="B29" s="128">
        <f t="shared" si="2"/>
        <v>3</v>
      </c>
      <c r="C29" s="74"/>
      <c r="D29" s="129">
        <f t="shared" si="3"/>
        <v>0</v>
      </c>
      <c r="E29" s="130">
        <f t="shared" si="12"/>
        <v>40.288975000000029</v>
      </c>
      <c r="F29" s="131">
        <f t="shared" si="13"/>
        <v>38.899700000000031</v>
      </c>
      <c r="G29" s="132">
        <f t="shared" si="7"/>
        <v>55.571000000000005</v>
      </c>
      <c r="H29" s="133">
        <f t="shared" si="8"/>
        <v>12</v>
      </c>
      <c r="I29" s="133">
        <f t="shared" si="9"/>
        <v>40</v>
      </c>
      <c r="J29" s="130">
        <f t="shared" si="10"/>
        <v>1.389275</v>
      </c>
      <c r="K29" s="132">
        <f t="shared" si="11"/>
        <v>0</v>
      </c>
      <c r="L29" s="131">
        <f t="shared" si="1"/>
        <v>1.389275</v>
      </c>
      <c r="M29" s="126"/>
      <c r="N29" s="118"/>
    </row>
    <row r="30" spans="1:16">
      <c r="A30" s="127">
        <v>13</v>
      </c>
      <c r="B30" s="128">
        <f t="shared" si="2"/>
        <v>3</v>
      </c>
      <c r="C30" s="74"/>
      <c r="D30" s="129">
        <f t="shared" si="3"/>
        <v>0</v>
      </c>
      <c r="E30" s="130">
        <f t="shared" si="12"/>
        <v>38.899700000000031</v>
      </c>
      <c r="F30" s="131">
        <f t="shared" si="13"/>
        <v>37.510425000000033</v>
      </c>
      <c r="G30" s="132">
        <f t="shared" si="7"/>
        <v>55.571000000000005</v>
      </c>
      <c r="H30" s="133">
        <f t="shared" si="8"/>
        <v>13</v>
      </c>
      <c r="I30" s="133">
        <f t="shared" si="9"/>
        <v>40</v>
      </c>
      <c r="J30" s="130">
        <f t="shared" si="10"/>
        <v>1.389275</v>
      </c>
      <c r="K30" s="132">
        <f t="shared" si="11"/>
        <v>0</v>
      </c>
      <c r="L30" s="131">
        <f t="shared" si="1"/>
        <v>1.389275</v>
      </c>
      <c r="M30" s="126"/>
      <c r="N30" s="118"/>
    </row>
    <row r="31" spans="1:16">
      <c r="A31" s="127">
        <v>14</v>
      </c>
      <c r="B31" s="128">
        <f t="shared" si="2"/>
        <v>3</v>
      </c>
      <c r="C31" s="74"/>
      <c r="D31" s="129">
        <f t="shared" si="3"/>
        <v>0</v>
      </c>
      <c r="E31" s="130">
        <f t="shared" si="12"/>
        <v>37.510425000000033</v>
      </c>
      <c r="F31" s="131">
        <f t="shared" si="13"/>
        <v>36.121150000000036</v>
      </c>
      <c r="G31" s="132">
        <f t="shared" si="7"/>
        <v>55.571000000000005</v>
      </c>
      <c r="H31" s="133">
        <f t="shared" si="8"/>
        <v>14</v>
      </c>
      <c r="I31" s="133">
        <f t="shared" si="9"/>
        <v>40</v>
      </c>
      <c r="J31" s="130">
        <f t="shared" si="10"/>
        <v>1.389275</v>
      </c>
      <c r="K31" s="132">
        <f t="shared" si="11"/>
        <v>0</v>
      </c>
      <c r="L31" s="131">
        <f t="shared" si="1"/>
        <v>1.389275</v>
      </c>
      <c r="M31" s="126"/>
      <c r="N31" s="118"/>
    </row>
    <row r="32" spans="1:16">
      <c r="A32" s="127">
        <v>15</v>
      </c>
      <c r="B32" s="128">
        <f t="shared" si="2"/>
        <v>3</v>
      </c>
      <c r="C32" s="74"/>
      <c r="D32" s="129">
        <f t="shared" si="3"/>
        <v>0</v>
      </c>
      <c r="E32" s="130">
        <f t="shared" si="12"/>
        <v>36.121150000000036</v>
      </c>
      <c r="F32" s="131">
        <f t="shared" si="13"/>
        <v>34.731875000000038</v>
      </c>
      <c r="G32" s="132">
        <f t="shared" si="7"/>
        <v>55.571000000000005</v>
      </c>
      <c r="H32" s="133">
        <f t="shared" si="8"/>
        <v>15</v>
      </c>
      <c r="I32" s="133">
        <f t="shared" si="9"/>
        <v>40</v>
      </c>
      <c r="J32" s="130">
        <f t="shared" si="10"/>
        <v>1.389275</v>
      </c>
      <c r="K32" s="132">
        <f t="shared" si="11"/>
        <v>0</v>
      </c>
      <c r="L32" s="131">
        <f t="shared" si="1"/>
        <v>1.389275</v>
      </c>
      <c r="M32" s="126"/>
      <c r="N32" s="118"/>
    </row>
    <row r="33" spans="1:14">
      <c r="A33" s="119">
        <v>16</v>
      </c>
      <c r="B33" s="120">
        <f t="shared" si="2"/>
        <v>4</v>
      </c>
      <c r="C33" s="73"/>
      <c r="D33" s="121">
        <f t="shared" si="3"/>
        <v>0</v>
      </c>
      <c r="E33" s="122">
        <f t="shared" si="12"/>
        <v>34.731875000000038</v>
      </c>
      <c r="F33" s="123">
        <f t="shared" si="13"/>
        <v>33.34260000000004</v>
      </c>
      <c r="G33" s="124">
        <f t="shared" si="7"/>
        <v>55.571000000000005</v>
      </c>
      <c r="H33" s="125">
        <f t="shared" si="8"/>
        <v>16</v>
      </c>
      <c r="I33" s="125">
        <f t="shared" si="9"/>
        <v>40</v>
      </c>
      <c r="J33" s="122">
        <f t="shared" si="10"/>
        <v>1.389275</v>
      </c>
      <c r="K33" s="124">
        <f t="shared" si="11"/>
        <v>0</v>
      </c>
      <c r="L33" s="123">
        <f t="shared" si="1"/>
        <v>1.389275</v>
      </c>
      <c r="M33" s="126"/>
      <c r="N33" s="118"/>
    </row>
    <row r="34" spans="1:14">
      <c r="A34" s="127">
        <v>17</v>
      </c>
      <c r="B34" s="128">
        <f t="shared" si="2"/>
        <v>4</v>
      </c>
      <c r="C34" s="74"/>
      <c r="D34" s="129">
        <f t="shared" si="3"/>
        <v>0</v>
      </c>
      <c r="E34" s="130">
        <f t="shared" si="12"/>
        <v>33.34260000000004</v>
      </c>
      <c r="F34" s="131">
        <f t="shared" si="13"/>
        <v>31.953325000000039</v>
      </c>
      <c r="G34" s="132">
        <f t="shared" si="7"/>
        <v>55.571000000000005</v>
      </c>
      <c r="H34" s="133">
        <f t="shared" si="8"/>
        <v>17</v>
      </c>
      <c r="I34" s="133">
        <f t="shared" si="9"/>
        <v>40</v>
      </c>
      <c r="J34" s="130">
        <f t="shared" si="10"/>
        <v>1.389275</v>
      </c>
      <c r="K34" s="132">
        <f t="shared" si="11"/>
        <v>0</v>
      </c>
      <c r="L34" s="131">
        <f t="shared" si="1"/>
        <v>1.389275</v>
      </c>
      <c r="M34" s="126"/>
      <c r="N34" s="118"/>
    </row>
    <row r="35" spans="1:14">
      <c r="A35" s="127">
        <v>18</v>
      </c>
      <c r="B35" s="128">
        <f t="shared" si="2"/>
        <v>4</v>
      </c>
      <c r="C35" s="74"/>
      <c r="D35" s="129">
        <f t="shared" si="3"/>
        <v>0</v>
      </c>
      <c r="E35" s="130">
        <f t="shared" si="12"/>
        <v>31.953325000000039</v>
      </c>
      <c r="F35" s="131">
        <f t="shared" si="13"/>
        <v>30.564050000000037</v>
      </c>
      <c r="G35" s="132">
        <f t="shared" si="7"/>
        <v>55.571000000000005</v>
      </c>
      <c r="H35" s="133">
        <f t="shared" si="8"/>
        <v>18</v>
      </c>
      <c r="I35" s="133">
        <f t="shared" si="9"/>
        <v>40</v>
      </c>
      <c r="J35" s="130">
        <f t="shared" si="10"/>
        <v>1.389275</v>
      </c>
      <c r="K35" s="132">
        <f t="shared" si="11"/>
        <v>0</v>
      </c>
      <c r="L35" s="131">
        <f t="shared" si="1"/>
        <v>1.389275</v>
      </c>
      <c r="M35" s="126"/>
      <c r="N35" s="118"/>
    </row>
    <row r="36" spans="1:14">
      <c r="A36" s="127">
        <v>19</v>
      </c>
      <c r="B36" s="128">
        <f t="shared" si="2"/>
        <v>4</v>
      </c>
      <c r="C36" s="74"/>
      <c r="D36" s="129">
        <f t="shared" si="3"/>
        <v>0</v>
      </c>
      <c r="E36" s="130">
        <f t="shared" si="12"/>
        <v>30.564050000000037</v>
      </c>
      <c r="F36" s="131">
        <f t="shared" si="13"/>
        <v>29.174775000000036</v>
      </c>
      <c r="G36" s="132">
        <f t="shared" si="7"/>
        <v>55.571000000000005</v>
      </c>
      <c r="H36" s="133">
        <f t="shared" si="8"/>
        <v>19</v>
      </c>
      <c r="I36" s="133">
        <f t="shared" si="9"/>
        <v>40</v>
      </c>
      <c r="J36" s="130">
        <f t="shared" si="10"/>
        <v>1.389275</v>
      </c>
      <c r="K36" s="132">
        <f t="shared" si="11"/>
        <v>0</v>
      </c>
      <c r="L36" s="131">
        <f t="shared" si="1"/>
        <v>1.389275</v>
      </c>
      <c r="M36" s="126"/>
      <c r="N36" s="118"/>
    </row>
    <row r="37" spans="1:14">
      <c r="A37" s="135">
        <v>20</v>
      </c>
      <c r="B37" s="136">
        <f t="shared" si="2"/>
        <v>4</v>
      </c>
      <c r="C37" s="75"/>
      <c r="D37" s="137">
        <f t="shared" si="3"/>
        <v>0</v>
      </c>
      <c r="E37" s="138">
        <f t="shared" si="12"/>
        <v>29.174775000000036</v>
      </c>
      <c r="F37" s="139">
        <f t="shared" si="13"/>
        <v>27.785500000000035</v>
      </c>
      <c r="G37" s="140">
        <f t="shared" si="7"/>
        <v>55.571000000000005</v>
      </c>
      <c r="H37" s="141">
        <f t="shared" si="8"/>
        <v>20</v>
      </c>
      <c r="I37" s="141">
        <f t="shared" si="9"/>
        <v>40</v>
      </c>
      <c r="J37" s="138">
        <f t="shared" si="10"/>
        <v>1.389275</v>
      </c>
      <c r="K37" s="140">
        <f t="shared" si="11"/>
        <v>0</v>
      </c>
      <c r="L37" s="139">
        <f t="shared" si="1"/>
        <v>1.389275</v>
      </c>
      <c r="M37" s="126"/>
      <c r="N37" s="118"/>
    </row>
    <row r="38" spans="1:14">
      <c r="A38" s="119">
        <v>21</v>
      </c>
      <c r="B38" s="128">
        <v>5</v>
      </c>
      <c r="C38" s="74"/>
      <c r="D38" s="129">
        <f t="shared" si="3"/>
        <v>0</v>
      </c>
      <c r="E38" s="130">
        <f t="shared" si="12"/>
        <v>27.785500000000035</v>
      </c>
      <c r="F38" s="131">
        <f t="shared" si="13"/>
        <v>26.396225000000033</v>
      </c>
      <c r="G38" s="132">
        <f t="shared" ref="G38:G46" si="14">IF(D38=D37,G37,E38)</f>
        <v>55.571000000000005</v>
      </c>
      <c r="H38" s="133">
        <f t="shared" ref="H38:H46" si="15">IF(D38=D37,H37+1,1)</f>
        <v>21</v>
      </c>
      <c r="I38" s="133">
        <f t="shared" ref="I38:I46" si="16">IF(D38=D37,I37,I37-H37)</f>
        <v>40</v>
      </c>
      <c r="J38" s="130">
        <f t="shared" si="10"/>
        <v>1.389275</v>
      </c>
      <c r="K38" s="132">
        <f t="shared" si="11"/>
        <v>0</v>
      </c>
      <c r="L38" s="131">
        <f t="shared" si="1"/>
        <v>1.389275</v>
      </c>
      <c r="M38" s="126"/>
      <c r="N38" s="118"/>
    </row>
    <row r="39" spans="1:14">
      <c r="A39" s="127">
        <v>22</v>
      </c>
      <c r="B39" s="128">
        <v>5</v>
      </c>
      <c r="C39" s="74"/>
      <c r="D39" s="129">
        <f t="shared" si="3"/>
        <v>0</v>
      </c>
      <c r="E39" s="130">
        <f t="shared" si="12"/>
        <v>26.396225000000033</v>
      </c>
      <c r="F39" s="131">
        <f t="shared" si="13"/>
        <v>25.006950000000032</v>
      </c>
      <c r="G39" s="132">
        <f t="shared" si="14"/>
        <v>55.571000000000005</v>
      </c>
      <c r="H39" s="133">
        <f t="shared" si="15"/>
        <v>22</v>
      </c>
      <c r="I39" s="133">
        <f t="shared" si="16"/>
        <v>40</v>
      </c>
      <c r="J39" s="130">
        <f t="shared" si="10"/>
        <v>1.389275</v>
      </c>
      <c r="K39" s="132">
        <f t="shared" si="11"/>
        <v>0</v>
      </c>
      <c r="L39" s="131">
        <f t="shared" si="1"/>
        <v>1.389275</v>
      </c>
      <c r="M39" s="126"/>
      <c r="N39" s="118"/>
    </row>
    <row r="40" spans="1:14">
      <c r="A40" s="127">
        <v>23</v>
      </c>
      <c r="B40" s="128">
        <v>5</v>
      </c>
      <c r="C40" s="74"/>
      <c r="D40" s="129">
        <f t="shared" si="3"/>
        <v>0</v>
      </c>
      <c r="E40" s="130">
        <f t="shared" si="12"/>
        <v>25.006950000000032</v>
      </c>
      <c r="F40" s="131">
        <f t="shared" si="13"/>
        <v>23.61767500000003</v>
      </c>
      <c r="G40" s="132">
        <f t="shared" si="14"/>
        <v>55.571000000000005</v>
      </c>
      <c r="H40" s="133">
        <f t="shared" si="15"/>
        <v>23</v>
      </c>
      <c r="I40" s="133">
        <f t="shared" si="16"/>
        <v>40</v>
      </c>
      <c r="J40" s="130">
        <f t="shared" si="10"/>
        <v>1.389275</v>
      </c>
      <c r="K40" s="132">
        <f t="shared" si="11"/>
        <v>0</v>
      </c>
      <c r="L40" s="131">
        <f t="shared" si="1"/>
        <v>1.389275</v>
      </c>
      <c r="M40" s="126"/>
      <c r="N40" s="118"/>
    </row>
    <row r="41" spans="1:14">
      <c r="A41" s="127">
        <v>24</v>
      </c>
      <c r="B41" s="128">
        <v>5</v>
      </c>
      <c r="C41" s="74"/>
      <c r="D41" s="129">
        <f t="shared" si="3"/>
        <v>0</v>
      </c>
      <c r="E41" s="130">
        <f t="shared" si="12"/>
        <v>23.61767500000003</v>
      </c>
      <c r="F41" s="131">
        <f t="shared" si="13"/>
        <v>22.228400000000029</v>
      </c>
      <c r="G41" s="132">
        <f t="shared" si="14"/>
        <v>55.571000000000005</v>
      </c>
      <c r="H41" s="133">
        <f t="shared" si="15"/>
        <v>24</v>
      </c>
      <c r="I41" s="133">
        <f t="shared" si="16"/>
        <v>40</v>
      </c>
      <c r="J41" s="130">
        <f t="shared" si="10"/>
        <v>1.389275</v>
      </c>
      <c r="K41" s="132">
        <f t="shared" si="11"/>
        <v>0</v>
      </c>
      <c r="L41" s="131">
        <f t="shared" si="1"/>
        <v>1.389275</v>
      </c>
      <c r="M41" s="126"/>
      <c r="N41" s="118"/>
    </row>
    <row r="42" spans="1:14">
      <c r="A42" s="127">
        <v>25</v>
      </c>
      <c r="B42" s="128">
        <v>5</v>
      </c>
      <c r="C42" s="74"/>
      <c r="D42" s="129">
        <f t="shared" si="3"/>
        <v>0</v>
      </c>
      <c r="E42" s="130">
        <f t="shared" si="12"/>
        <v>22.228400000000029</v>
      </c>
      <c r="F42" s="131">
        <f t="shared" si="13"/>
        <v>20.839125000000028</v>
      </c>
      <c r="G42" s="132">
        <f t="shared" si="14"/>
        <v>55.571000000000005</v>
      </c>
      <c r="H42" s="133">
        <f t="shared" si="15"/>
        <v>25</v>
      </c>
      <c r="I42" s="133">
        <f t="shared" si="16"/>
        <v>40</v>
      </c>
      <c r="J42" s="130">
        <f t="shared" si="10"/>
        <v>1.389275</v>
      </c>
      <c r="K42" s="132">
        <f t="shared" si="11"/>
        <v>0</v>
      </c>
      <c r="L42" s="131">
        <f t="shared" si="1"/>
        <v>1.389275</v>
      </c>
      <c r="M42" s="126"/>
      <c r="N42" s="118"/>
    </row>
    <row r="43" spans="1:14">
      <c r="A43" s="119">
        <v>26</v>
      </c>
      <c r="B43" s="120">
        <v>6</v>
      </c>
      <c r="C43" s="73"/>
      <c r="D43" s="121">
        <f t="shared" si="3"/>
        <v>0</v>
      </c>
      <c r="E43" s="122">
        <f t="shared" si="12"/>
        <v>20.839125000000028</v>
      </c>
      <c r="F43" s="123">
        <f t="shared" si="13"/>
        <v>19.449850000000026</v>
      </c>
      <c r="G43" s="124">
        <f t="shared" si="14"/>
        <v>55.571000000000005</v>
      </c>
      <c r="H43" s="125">
        <f t="shared" si="15"/>
        <v>26</v>
      </c>
      <c r="I43" s="125">
        <f t="shared" si="16"/>
        <v>40</v>
      </c>
      <c r="J43" s="122">
        <f t="shared" si="10"/>
        <v>1.389275</v>
      </c>
      <c r="K43" s="124">
        <f t="shared" si="11"/>
        <v>0</v>
      </c>
      <c r="L43" s="123">
        <f t="shared" si="1"/>
        <v>1.389275</v>
      </c>
      <c r="M43" s="126"/>
      <c r="N43" s="118"/>
    </row>
    <row r="44" spans="1:14">
      <c r="A44" s="127">
        <v>27</v>
      </c>
      <c r="B44" s="128">
        <v>6</v>
      </c>
      <c r="C44" s="74"/>
      <c r="D44" s="129">
        <f t="shared" si="3"/>
        <v>0</v>
      </c>
      <c r="E44" s="130">
        <f t="shared" si="12"/>
        <v>19.449850000000026</v>
      </c>
      <c r="F44" s="131">
        <f t="shared" si="13"/>
        <v>18.060575000000025</v>
      </c>
      <c r="G44" s="132">
        <f t="shared" si="14"/>
        <v>55.571000000000005</v>
      </c>
      <c r="H44" s="133">
        <f t="shared" si="15"/>
        <v>27</v>
      </c>
      <c r="I44" s="133">
        <f t="shared" si="16"/>
        <v>40</v>
      </c>
      <c r="J44" s="130">
        <f t="shared" si="10"/>
        <v>1.389275</v>
      </c>
      <c r="K44" s="132">
        <f t="shared" si="11"/>
        <v>0</v>
      </c>
      <c r="L44" s="131">
        <f t="shared" si="1"/>
        <v>1.389275</v>
      </c>
      <c r="M44" s="126"/>
      <c r="N44" s="118"/>
    </row>
    <row r="45" spans="1:14">
      <c r="A45" s="127">
        <v>28</v>
      </c>
      <c r="B45" s="128">
        <v>6</v>
      </c>
      <c r="C45" s="74"/>
      <c r="D45" s="129">
        <f t="shared" si="3"/>
        <v>0</v>
      </c>
      <c r="E45" s="130">
        <f t="shared" si="12"/>
        <v>18.060575000000025</v>
      </c>
      <c r="F45" s="131">
        <f t="shared" si="13"/>
        <v>16.671300000000024</v>
      </c>
      <c r="G45" s="132">
        <f t="shared" si="14"/>
        <v>55.571000000000005</v>
      </c>
      <c r="H45" s="133">
        <f t="shared" si="15"/>
        <v>28</v>
      </c>
      <c r="I45" s="133">
        <f t="shared" si="16"/>
        <v>40</v>
      </c>
      <c r="J45" s="130">
        <f t="shared" si="10"/>
        <v>1.389275</v>
      </c>
      <c r="K45" s="132">
        <f t="shared" si="11"/>
        <v>0</v>
      </c>
      <c r="L45" s="131">
        <f t="shared" si="1"/>
        <v>1.389275</v>
      </c>
      <c r="M45" s="126"/>
      <c r="N45" s="118"/>
    </row>
    <row r="46" spans="1:14">
      <c r="A46" s="127">
        <v>29</v>
      </c>
      <c r="B46" s="128">
        <v>6</v>
      </c>
      <c r="C46" s="74"/>
      <c r="D46" s="129">
        <f t="shared" si="3"/>
        <v>0</v>
      </c>
      <c r="E46" s="130">
        <f t="shared" si="12"/>
        <v>16.671300000000024</v>
      </c>
      <c r="F46" s="131">
        <f t="shared" si="13"/>
        <v>15.282025000000024</v>
      </c>
      <c r="G46" s="132">
        <f t="shared" si="14"/>
        <v>55.571000000000005</v>
      </c>
      <c r="H46" s="133">
        <f t="shared" si="15"/>
        <v>29</v>
      </c>
      <c r="I46" s="133">
        <f t="shared" si="16"/>
        <v>40</v>
      </c>
      <c r="J46" s="130">
        <f t="shared" si="10"/>
        <v>1.389275</v>
      </c>
      <c r="K46" s="132">
        <f t="shared" si="11"/>
        <v>0</v>
      </c>
      <c r="L46" s="131">
        <f t="shared" si="1"/>
        <v>1.389275</v>
      </c>
      <c r="M46" s="126"/>
      <c r="N46" s="118"/>
    </row>
    <row r="47" spans="1:14">
      <c r="A47" s="135">
        <v>30</v>
      </c>
      <c r="B47" s="136">
        <v>6</v>
      </c>
      <c r="C47" s="75"/>
      <c r="D47" s="137">
        <f t="shared" si="3"/>
        <v>0</v>
      </c>
      <c r="E47" s="138">
        <f t="shared" si="12"/>
        <v>15.282025000000024</v>
      </c>
      <c r="F47" s="139">
        <f t="shared" si="13"/>
        <v>13.892750000000024</v>
      </c>
      <c r="G47" s="140">
        <f t="shared" ref="G47:G57" si="17">IF(D47=D46,G46,E47)</f>
        <v>55.571000000000005</v>
      </c>
      <c r="H47" s="141">
        <f t="shared" ref="H47:H57" si="18">IF(D47=D46,H46+1,1)</f>
        <v>30</v>
      </c>
      <c r="I47" s="141">
        <f t="shared" ref="I47:I57" si="19">IF(D47=D46,I46,I46-H46)</f>
        <v>40</v>
      </c>
      <c r="J47" s="138">
        <f t="shared" si="10"/>
        <v>1.389275</v>
      </c>
      <c r="K47" s="140">
        <f t="shared" si="11"/>
        <v>0</v>
      </c>
      <c r="L47" s="139">
        <f t="shared" si="1"/>
        <v>1.389275</v>
      </c>
      <c r="M47" s="126"/>
      <c r="N47" s="118"/>
    </row>
    <row r="48" spans="1:14">
      <c r="A48" s="127">
        <v>31</v>
      </c>
      <c r="B48" s="120">
        <v>7</v>
      </c>
      <c r="C48" s="73"/>
      <c r="D48" s="121">
        <f t="shared" si="3"/>
        <v>0</v>
      </c>
      <c r="E48" s="122">
        <f t="shared" si="12"/>
        <v>13.892750000000024</v>
      </c>
      <c r="F48" s="123">
        <f t="shared" si="13"/>
        <v>12.503475000000025</v>
      </c>
      <c r="G48" s="124">
        <f t="shared" si="17"/>
        <v>55.571000000000005</v>
      </c>
      <c r="H48" s="125">
        <f t="shared" si="18"/>
        <v>31</v>
      </c>
      <c r="I48" s="125">
        <f t="shared" si="19"/>
        <v>40</v>
      </c>
      <c r="J48" s="122">
        <f t="shared" si="10"/>
        <v>1.389275</v>
      </c>
      <c r="K48" s="124">
        <f t="shared" si="11"/>
        <v>0</v>
      </c>
      <c r="L48" s="123">
        <f t="shared" si="1"/>
        <v>1.389275</v>
      </c>
      <c r="M48" s="126"/>
      <c r="N48" s="118"/>
    </row>
    <row r="49" spans="1:14">
      <c r="A49" s="127">
        <v>32</v>
      </c>
      <c r="B49" s="128">
        <v>7</v>
      </c>
      <c r="C49" s="74"/>
      <c r="D49" s="129">
        <f t="shared" si="3"/>
        <v>0</v>
      </c>
      <c r="E49" s="130">
        <f t="shared" si="12"/>
        <v>12.503475000000025</v>
      </c>
      <c r="F49" s="131">
        <f t="shared" si="13"/>
        <v>11.114200000000025</v>
      </c>
      <c r="G49" s="132">
        <f t="shared" si="17"/>
        <v>55.571000000000005</v>
      </c>
      <c r="H49" s="133">
        <f t="shared" si="18"/>
        <v>32</v>
      </c>
      <c r="I49" s="133">
        <f t="shared" si="19"/>
        <v>40</v>
      </c>
      <c r="J49" s="130">
        <f t="shared" si="10"/>
        <v>1.389275</v>
      </c>
      <c r="K49" s="132">
        <f t="shared" si="11"/>
        <v>0</v>
      </c>
      <c r="L49" s="131">
        <f t="shared" si="1"/>
        <v>1.389275</v>
      </c>
      <c r="M49" s="126"/>
      <c r="N49" s="118"/>
    </row>
    <row r="50" spans="1:14">
      <c r="A50" s="127">
        <v>33</v>
      </c>
      <c r="B50" s="128">
        <v>7</v>
      </c>
      <c r="C50" s="74"/>
      <c r="D50" s="129">
        <f t="shared" si="3"/>
        <v>0</v>
      </c>
      <c r="E50" s="130">
        <f t="shared" si="12"/>
        <v>11.114200000000025</v>
      </c>
      <c r="F50" s="131">
        <f t="shared" si="13"/>
        <v>9.7249250000000256</v>
      </c>
      <c r="G50" s="132">
        <f t="shared" si="17"/>
        <v>55.571000000000005</v>
      </c>
      <c r="H50" s="133">
        <f t="shared" si="18"/>
        <v>33</v>
      </c>
      <c r="I50" s="133">
        <f t="shared" si="19"/>
        <v>40</v>
      </c>
      <c r="J50" s="130">
        <f t="shared" si="10"/>
        <v>1.389275</v>
      </c>
      <c r="K50" s="132">
        <f t="shared" si="11"/>
        <v>0</v>
      </c>
      <c r="L50" s="131">
        <f t="shared" si="1"/>
        <v>1.389275</v>
      </c>
      <c r="M50" s="126"/>
      <c r="N50" s="118"/>
    </row>
    <row r="51" spans="1:14">
      <c r="A51" s="127">
        <v>34</v>
      </c>
      <c r="B51" s="128">
        <v>7</v>
      </c>
      <c r="C51" s="74"/>
      <c r="D51" s="129">
        <f t="shared" si="3"/>
        <v>0</v>
      </c>
      <c r="E51" s="130">
        <f t="shared" si="12"/>
        <v>9.7249250000000256</v>
      </c>
      <c r="F51" s="131">
        <f t="shared" si="13"/>
        <v>8.335650000000026</v>
      </c>
      <c r="G51" s="132">
        <f t="shared" si="17"/>
        <v>55.571000000000005</v>
      </c>
      <c r="H51" s="133">
        <f t="shared" si="18"/>
        <v>34</v>
      </c>
      <c r="I51" s="133">
        <f t="shared" si="19"/>
        <v>40</v>
      </c>
      <c r="J51" s="130">
        <f t="shared" si="10"/>
        <v>1.389275</v>
      </c>
      <c r="K51" s="132">
        <f t="shared" si="11"/>
        <v>0</v>
      </c>
      <c r="L51" s="131">
        <f t="shared" si="1"/>
        <v>1.389275</v>
      </c>
      <c r="M51" s="126"/>
      <c r="N51" s="118"/>
    </row>
    <row r="52" spans="1:14">
      <c r="A52" s="127">
        <v>35</v>
      </c>
      <c r="B52" s="136">
        <v>7</v>
      </c>
      <c r="C52" s="75"/>
      <c r="D52" s="137">
        <f t="shared" si="3"/>
        <v>0</v>
      </c>
      <c r="E52" s="138">
        <f t="shared" si="12"/>
        <v>8.335650000000026</v>
      </c>
      <c r="F52" s="139">
        <f t="shared" si="13"/>
        <v>6.9463750000000264</v>
      </c>
      <c r="G52" s="140">
        <f t="shared" si="17"/>
        <v>55.571000000000005</v>
      </c>
      <c r="H52" s="141">
        <f t="shared" si="18"/>
        <v>35</v>
      </c>
      <c r="I52" s="141">
        <f t="shared" si="19"/>
        <v>40</v>
      </c>
      <c r="J52" s="138">
        <f t="shared" si="10"/>
        <v>1.389275</v>
      </c>
      <c r="K52" s="140">
        <f t="shared" si="11"/>
        <v>0</v>
      </c>
      <c r="L52" s="139">
        <f t="shared" si="1"/>
        <v>1.389275</v>
      </c>
      <c r="M52" s="126"/>
      <c r="N52" s="118"/>
    </row>
    <row r="53" spans="1:14">
      <c r="A53" s="119">
        <v>36</v>
      </c>
      <c r="B53" s="120">
        <v>8</v>
      </c>
      <c r="C53" s="73"/>
      <c r="D53" s="121">
        <f t="shared" si="3"/>
        <v>0</v>
      </c>
      <c r="E53" s="122">
        <f t="shared" si="12"/>
        <v>6.9463750000000264</v>
      </c>
      <c r="F53" s="123">
        <f t="shared" si="13"/>
        <v>5.5571000000000268</v>
      </c>
      <c r="G53" s="124">
        <f t="shared" si="17"/>
        <v>55.571000000000005</v>
      </c>
      <c r="H53" s="125">
        <f t="shared" si="18"/>
        <v>36</v>
      </c>
      <c r="I53" s="125">
        <f t="shared" si="19"/>
        <v>40</v>
      </c>
      <c r="J53" s="122">
        <f t="shared" si="10"/>
        <v>1.389275</v>
      </c>
      <c r="K53" s="124">
        <f t="shared" si="11"/>
        <v>0</v>
      </c>
      <c r="L53" s="123">
        <f t="shared" si="1"/>
        <v>1.389275</v>
      </c>
      <c r="M53" s="126"/>
      <c r="N53" s="118"/>
    </row>
    <row r="54" spans="1:14">
      <c r="A54" s="127">
        <v>37</v>
      </c>
      <c r="B54" s="128">
        <v>8</v>
      </c>
      <c r="C54" s="74"/>
      <c r="D54" s="129">
        <f t="shared" si="3"/>
        <v>0</v>
      </c>
      <c r="E54" s="130">
        <f t="shared" si="12"/>
        <v>5.5571000000000268</v>
      </c>
      <c r="F54" s="131">
        <f t="shared" si="13"/>
        <v>4.1678250000000272</v>
      </c>
      <c r="G54" s="132">
        <f t="shared" si="17"/>
        <v>55.571000000000005</v>
      </c>
      <c r="H54" s="133">
        <f t="shared" si="18"/>
        <v>37</v>
      </c>
      <c r="I54" s="133">
        <f t="shared" si="19"/>
        <v>40</v>
      </c>
      <c r="J54" s="130">
        <f t="shared" si="10"/>
        <v>1.389275</v>
      </c>
      <c r="K54" s="132">
        <f t="shared" si="11"/>
        <v>0</v>
      </c>
      <c r="L54" s="131">
        <f t="shared" si="1"/>
        <v>1.389275</v>
      </c>
      <c r="M54" s="126"/>
      <c r="N54" s="118"/>
    </row>
    <row r="55" spans="1:14">
      <c r="A55" s="127">
        <v>38</v>
      </c>
      <c r="B55" s="128">
        <v>8</v>
      </c>
      <c r="C55" s="74"/>
      <c r="D55" s="129">
        <f t="shared" si="3"/>
        <v>0</v>
      </c>
      <c r="E55" s="130">
        <f t="shared" si="12"/>
        <v>4.1678250000000272</v>
      </c>
      <c r="F55" s="131">
        <f t="shared" si="13"/>
        <v>2.7785500000000272</v>
      </c>
      <c r="G55" s="132">
        <f t="shared" si="17"/>
        <v>55.571000000000005</v>
      </c>
      <c r="H55" s="133">
        <f t="shared" si="18"/>
        <v>38</v>
      </c>
      <c r="I55" s="133">
        <f t="shared" si="19"/>
        <v>40</v>
      </c>
      <c r="J55" s="130">
        <f t="shared" si="10"/>
        <v>1.389275</v>
      </c>
      <c r="K55" s="132">
        <f t="shared" si="11"/>
        <v>0</v>
      </c>
      <c r="L55" s="131">
        <f t="shared" si="1"/>
        <v>1.389275</v>
      </c>
      <c r="M55" s="126"/>
      <c r="N55" s="118"/>
    </row>
    <row r="56" spans="1:14">
      <c r="A56" s="127">
        <v>39</v>
      </c>
      <c r="B56" s="128">
        <v>8</v>
      </c>
      <c r="C56" s="74"/>
      <c r="D56" s="129">
        <f t="shared" si="3"/>
        <v>0</v>
      </c>
      <c r="E56" s="130">
        <f t="shared" si="12"/>
        <v>2.7785500000000272</v>
      </c>
      <c r="F56" s="131">
        <f t="shared" si="13"/>
        <v>1.3892750000000271</v>
      </c>
      <c r="G56" s="132">
        <f t="shared" si="17"/>
        <v>55.571000000000005</v>
      </c>
      <c r="H56" s="133">
        <f t="shared" si="18"/>
        <v>39</v>
      </c>
      <c r="I56" s="133">
        <f t="shared" si="19"/>
        <v>40</v>
      </c>
      <c r="J56" s="130">
        <f t="shared" si="10"/>
        <v>1.389275</v>
      </c>
      <c r="K56" s="132">
        <f t="shared" si="11"/>
        <v>0</v>
      </c>
      <c r="L56" s="131">
        <f t="shared" si="1"/>
        <v>1.389275</v>
      </c>
      <c r="M56" s="126"/>
      <c r="N56" s="118"/>
    </row>
    <row r="57" spans="1:14">
      <c r="A57" s="135">
        <v>40</v>
      </c>
      <c r="B57" s="136">
        <v>8</v>
      </c>
      <c r="C57" s="75"/>
      <c r="D57" s="137">
        <f t="shared" si="3"/>
        <v>0</v>
      </c>
      <c r="E57" s="138">
        <f t="shared" si="12"/>
        <v>1.3892750000000271</v>
      </c>
      <c r="F57" s="139">
        <f t="shared" si="13"/>
        <v>2.708944180085382E-14</v>
      </c>
      <c r="G57" s="140">
        <f t="shared" si="17"/>
        <v>55.571000000000005</v>
      </c>
      <c r="H57" s="141">
        <f t="shared" si="18"/>
        <v>40</v>
      </c>
      <c r="I57" s="141">
        <f t="shared" si="19"/>
        <v>40</v>
      </c>
      <c r="J57" s="138">
        <f t="shared" si="10"/>
        <v>1.389275</v>
      </c>
      <c r="K57" s="140">
        <f t="shared" si="11"/>
        <v>0</v>
      </c>
      <c r="L57" s="139">
        <f t="shared" si="1"/>
        <v>1.389275</v>
      </c>
      <c r="M57" s="126"/>
      <c r="N57" s="118"/>
    </row>
    <row r="58" spans="1:14">
      <c r="A58" s="81"/>
      <c r="B58" s="81"/>
      <c r="C58" s="81"/>
      <c r="D58" s="81"/>
      <c r="E58" s="142"/>
      <c r="F58" s="142"/>
      <c r="G58" s="142"/>
      <c r="H58" s="83"/>
      <c r="I58" s="83"/>
      <c r="J58" s="142"/>
      <c r="K58" s="142"/>
      <c r="L58" s="142"/>
      <c r="M58" s="126"/>
      <c r="N58" s="118"/>
    </row>
    <row r="59" spans="1:14">
      <c r="A59" s="81"/>
      <c r="B59" s="81"/>
      <c r="C59" s="81"/>
      <c r="D59" s="81"/>
      <c r="E59" s="142"/>
      <c r="F59" s="142"/>
      <c r="G59" s="142"/>
      <c r="H59" s="83"/>
      <c r="I59" s="143" t="s">
        <v>5</v>
      </c>
      <c r="J59" s="144">
        <f>SUM(J18:J58)</f>
        <v>55.570999999999977</v>
      </c>
      <c r="K59" s="145">
        <f>SUM(K18:K58)</f>
        <v>0</v>
      </c>
      <c r="L59" s="146">
        <f>SUM(L18:L57)</f>
        <v>55.570999999999977</v>
      </c>
      <c r="M59" s="126"/>
      <c r="N59" s="118"/>
    </row>
    <row r="60" spans="1:14">
      <c r="A60" s="81"/>
      <c r="B60" s="81"/>
      <c r="C60" s="81"/>
      <c r="D60" s="81"/>
      <c r="E60" s="142"/>
      <c r="F60" s="82"/>
      <c r="G60" s="82"/>
      <c r="H60" s="83"/>
      <c r="I60" s="83"/>
      <c r="J60" s="147"/>
      <c r="K60" s="82"/>
      <c r="L60" s="82"/>
      <c r="M60" s="126"/>
      <c r="N60" s="118"/>
    </row>
    <row r="61" spans="1:14">
      <c r="A61" s="81"/>
      <c r="B61" s="81"/>
      <c r="C61" s="81"/>
      <c r="D61" s="81"/>
      <c r="E61" s="82"/>
      <c r="F61" s="82"/>
      <c r="G61" s="82"/>
      <c r="H61" s="83"/>
      <c r="I61" s="83"/>
      <c r="J61" s="82"/>
      <c r="K61" s="82"/>
      <c r="L61" s="82"/>
      <c r="M61" s="126"/>
      <c r="N61" s="118"/>
    </row>
    <row r="62" spans="1:14" ht="15.75">
      <c r="A62" s="81"/>
      <c r="B62" s="81"/>
      <c r="C62" s="81"/>
      <c r="D62" s="81"/>
      <c r="E62" s="82"/>
      <c r="F62" s="82"/>
      <c r="G62" s="82"/>
      <c r="H62" s="83"/>
      <c r="I62" s="148" t="s">
        <v>41</v>
      </c>
      <c r="J62" s="77"/>
      <c r="K62" s="79"/>
      <c r="L62" s="149">
        <f>NPV(J12,L18:L57)</f>
        <v>29.668068121399063</v>
      </c>
      <c r="M62" s="126"/>
      <c r="N62" s="118"/>
    </row>
    <row r="63" spans="1:14">
      <c r="A63" s="81"/>
      <c r="B63" s="81"/>
      <c r="C63" s="81"/>
      <c r="D63" s="81"/>
      <c r="E63" s="82"/>
      <c r="F63" s="82"/>
      <c r="G63" s="82"/>
      <c r="H63" s="83"/>
      <c r="I63" s="150" t="s">
        <v>42</v>
      </c>
      <c r="J63" s="151"/>
      <c r="K63" s="152"/>
      <c r="L63" s="82"/>
      <c r="M63" s="126"/>
      <c r="N63" s="118"/>
    </row>
    <row r="64" spans="1:14">
      <c r="A64" s="81"/>
      <c r="B64" s="82"/>
      <c r="C64" s="82"/>
      <c r="D64" s="82"/>
      <c r="E64" s="82"/>
      <c r="F64" s="82"/>
      <c r="G64" s="82"/>
      <c r="H64" s="83"/>
      <c r="I64" s="83"/>
      <c r="J64" s="82"/>
      <c r="K64" s="82"/>
      <c r="L64" s="82"/>
      <c r="M64" s="126"/>
      <c r="N64" s="118"/>
    </row>
    <row r="65" spans="1:14">
      <c r="A65" s="81"/>
      <c r="B65" s="82"/>
      <c r="C65" s="82"/>
      <c r="D65" s="82"/>
      <c r="E65" s="82"/>
      <c r="F65" s="82"/>
      <c r="G65" s="82"/>
      <c r="H65" s="83"/>
      <c r="I65" s="83"/>
      <c r="J65" s="82"/>
      <c r="K65" s="82"/>
      <c r="L65" s="82"/>
      <c r="M65" s="126"/>
      <c r="N65" s="118"/>
    </row>
    <row r="66" spans="1:14">
      <c r="A66" s="153"/>
      <c r="B66" s="151"/>
      <c r="C66" s="151"/>
      <c r="D66" s="151"/>
      <c r="E66" s="151"/>
      <c r="F66" s="151"/>
      <c r="G66" s="151"/>
      <c r="H66" s="154"/>
      <c r="I66" s="154"/>
      <c r="J66" s="151"/>
      <c r="K66" s="151"/>
      <c r="L66" s="151"/>
      <c r="M66" s="155"/>
      <c r="N66" s="118"/>
    </row>
    <row r="67" spans="1:14">
      <c r="L67" s="159"/>
      <c r="M67" s="160"/>
      <c r="N67" s="161"/>
    </row>
    <row r="68" spans="1:14">
      <c r="L68" s="159"/>
      <c r="M68" s="160"/>
      <c r="N68" s="161"/>
    </row>
  </sheetData>
  <sheetProtection password="C6BE" sheet="1" objects="1" scenarios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Capital Expenditure</vt:lpstr>
      <vt:lpstr>WACC &amp; NPV Calculations</vt:lpstr>
    </vt:vector>
  </TitlesOfParts>
  <Company>IT Assist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Craig</dc:creator>
  <cp:lastModifiedBy>Graham Craig</cp:lastModifiedBy>
  <dcterms:created xsi:type="dcterms:W3CDTF">2013-11-13T11:53:15Z</dcterms:created>
  <dcterms:modified xsi:type="dcterms:W3CDTF">2014-02-04T15:21:58Z</dcterms:modified>
</cp:coreProperties>
</file>