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18720" windowHeight="11952"/>
  </bookViews>
  <sheets>
    <sheet name="Guidance" sheetId="20" r:id="rId1"/>
    <sheet name="Index" sheetId="12" r:id="rId2"/>
    <sheet name="Main Inputs&gt;&gt;" sheetId="2" r:id="rId3"/>
    <sheet name="Inflation" sheetId="3" r:id="rId4"/>
    <sheet name="FD Allowances" sheetId="11" r:id="rId5"/>
    <sheet name="Post FD Inputs" sheetId="16" r:id="rId6"/>
    <sheet name="RAB Inputs" sheetId="6" r:id="rId7"/>
    <sheet name="Calcs &gt;&gt;" sheetId="4" r:id="rId8"/>
    <sheet name="Cost Sharing" sheetId="17" r:id="rId9"/>
    <sheet name="RAB - NB" sheetId="8" r:id="rId10"/>
    <sheet name="RAB - Build" sheetId="9" r:id="rId11"/>
    <sheet name="Results" sheetId="13" r:id="rId12"/>
    <sheet name="RAB Summary (2020-25)" sheetId="14" r:id="rId13"/>
    <sheet name="RAB Summary (from 2010)" sheetId="19" r:id="rId14"/>
    <sheet name="Return" sheetId="15" r:id="rId1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3" l="1"/>
  <c r="L18" i="19" l="1"/>
  <c r="G11" i="19" l="1"/>
  <c r="H11" i="19"/>
  <c r="I11" i="19"/>
  <c r="L20" i="19"/>
  <c r="M20" i="19"/>
  <c r="D11" i="19"/>
  <c r="Q69" i="6"/>
  <c r="R66" i="6" s="1"/>
  <c r="E8" i="3"/>
  <c r="F8" i="3"/>
  <c r="G8" i="3"/>
  <c r="H8" i="3"/>
  <c r="I8" i="3"/>
  <c r="J8" i="3"/>
  <c r="K8" i="3"/>
  <c r="L8" i="3"/>
  <c r="M8" i="3"/>
  <c r="D8" i="3"/>
  <c r="D4" i="3"/>
  <c r="R69" i="6" l="1"/>
  <c r="R70" i="6" s="1"/>
  <c r="Q70" i="6"/>
  <c r="L21" i="19" l="1"/>
  <c r="M18" i="19" l="1"/>
  <c r="L22" i="19"/>
  <c r="M21" i="19"/>
  <c r="M22" i="19" l="1"/>
  <c r="A26" i="9" l="1"/>
  <c r="M34" i="8" l="1"/>
  <c r="N34" i="8"/>
  <c r="O34" i="8"/>
  <c r="P34" i="8"/>
  <c r="Q34" i="8"/>
  <c r="R34" i="8"/>
  <c r="S34" i="8"/>
  <c r="T34" i="8"/>
  <c r="U34" i="8"/>
  <c r="V34" i="8"/>
  <c r="W34" i="8"/>
  <c r="M35" i="8"/>
  <c r="N35" i="8"/>
  <c r="O35" i="8"/>
  <c r="P35" i="8"/>
  <c r="Q35" i="8"/>
  <c r="R35" i="8"/>
  <c r="S35" i="8"/>
  <c r="T35" i="8"/>
  <c r="U35" i="8"/>
  <c r="V35" i="8"/>
  <c r="W35" i="8"/>
  <c r="M36" i="8"/>
  <c r="N36" i="8"/>
  <c r="O36" i="8"/>
  <c r="P36" i="8"/>
  <c r="Q36" i="8"/>
  <c r="R36" i="8"/>
  <c r="S36" i="8"/>
  <c r="T36" i="8"/>
  <c r="U36" i="8"/>
  <c r="V36" i="8"/>
  <c r="W36" i="8"/>
  <c r="M37" i="8"/>
  <c r="N37" i="8"/>
  <c r="O37" i="8"/>
  <c r="P37" i="8"/>
  <c r="Q37" i="8"/>
  <c r="R37" i="8"/>
  <c r="S37" i="8"/>
  <c r="T37" i="8"/>
  <c r="U37" i="8"/>
  <c r="V37" i="8"/>
  <c r="W37" i="8"/>
  <c r="M38" i="8"/>
  <c r="N38" i="8"/>
  <c r="O38" i="8"/>
  <c r="P38" i="8"/>
  <c r="Q38" i="8"/>
  <c r="R38" i="8"/>
  <c r="S38" i="8"/>
  <c r="T38" i="8"/>
  <c r="U38" i="8"/>
  <c r="V38" i="8"/>
  <c r="W38" i="8"/>
  <c r="M39" i="8"/>
  <c r="N39" i="8"/>
  <c r="O39" i="8"/>
  <c r="P39" i="8"/>
  <c r="Q39" i="8"/>
  <c r="R39" i="8"/>
  <c r="S39" i="8"/>
  <c r="T39" i="8"/>
  <c r="U39" i="8"/>
  <c r="V39" i="8"/>
  <c r="W39" i="8"/>
  <c r="H34" i="8"/>
  <c r="I34" i="8"/>
  <c r="J34" i="8"/>
  <c r="K34" i="8"/>
  <c r="L34" i="8"/>
  <c r="H35" i="8"/>
  <c r="I35" i="8"/>
  <c r="J35" i="8"/>
  <c r="K35" i="8"/>
  <c r="L35" i="8"/>
  <c r="H36" i="8"/>
  <c r="I36" i="8"/>
  <c r="J36" i="8"/>
  <c r="K36" i="8"/>
  <c r="L36" i="8"/>
  <c r="H37" i="8"/>
  <c r="I37" i="8"/>
  <c r="J37" i="8"/>
  <c r="K37" i="8"/>
  <c r="L37" i="8"/>
  <c r="H38" i="8"/>
  <c r="I38" i="8"/>
  <c r="J38" i="8"/>
  <c r="K38" i="8"/>
  <c r="L38" i="8"/>
  <c r="H39" i="8"/>
  <c r="I39" i="8"/>
  <c r="J39" i="8"/>
  <c r="K39" i="8"/>
  <c r="L39" i="8"/>
  <c r="G34" i="8"/>
  <c r="G35" i="8"/>
  <c r="G36" i="8"/>
  <c r="G37" i="8"/>
  <c r="G38" i="8"/>
  <c r="G39" i="8"/>
  <c r="E34" i="8"/>
  <c r="F34" i="8"/>
  <c r="E35" i="8"/>
  <c r="F35" i="8"/>
  <c r="E36" i="8"/>
  <c r="F36" i="8"/>
  <c r="E37" i="8"/>
  <c r="F37" i="8"/>
  <c r="E38" i="8"/>
  <c r="F38" i="8"/>
  <c r="E39" i="8"/>
  <c r="F39" i="8"/>
  <c r="D35" i="8"/>
  <c r="D36" i="8"/>
  <c r="D37" i="8"/>
  <c r="D38" i="8"/>
  <c r="D39" i="8"/>
  <c r="E107" i="8"/>
  <c r="F107" i="8"/>
  <c r="G107" i="8"/>
  <c r="H107" i="8"/>
  <c r="D107" i="8"/>
  <c r="W18" i="9"/>
  <c r="V18" i="9"/>
  <c r="U18" i="9"/>
  <c r="T18" i="9"/>
  <c r="S18" i="9"/>
  <c r="R18" i="9"/>
  <c r="Q18" i="9"/>
  <c r="P18" i="9"/>
  <c r="O18" i="9"/>
  <c r="N18" i="9"/>
  <c r="M18" i="9"/>
  <c r="L18" i="9"/>
  <c r="K18" i="9"/>
  <c r="J18" i="9"/>
  <c r="I18" i="9"/>
  <c r="H18" i="9"/>
  <c r="G18" i="9"/>
  <c r="F18" i="9"/>
  <c r="E18" i="9"/>
  <c r="A26" i="8"/>
  <c r="D18" i="9"/>
  <c r="E18" i="8"/>
  <c r="F18" i="8"/>
  <c r="G18" i="8"/>
  <c r="H18" i="8"/>
  <c r="I18" i="8"/>
  <c r="J18" i="8"/>
  <c r="K18" i="8"/>
  <c r="L18" i="8"/>
  <c r="M18" i="8"/>
  <c r="N18" i="8"/>
  <c r="O18" i="8"/>
  <c r="P18" i="8"/>
  <c r="Q18" i="8"/>
  <c r="R18" i="8"/>
  <c r="S18" i="8"/>
  <c r="T18" i="8"/>
  <c r="U18" i="8"/>
  <c r="V18" i="8"/>
  <c r="W18" i="8"/>
  <c r="D18" i="8"/>
  <c r="E12" i="15"/>
  <c r="E13" i="15" s="1"/>
  <c r="F12" i="15"/>
  <c r="F13" i="15" s="1"/>
  <c r="G12" i="15"/>
  <c r="G13" i="15" s="1"/>
  <c r="H12" i="15"/>
  <c r="H13" i="15" s="1"/>
  <c r="D12" i="15"/>
  <c r="D13" i="15" s="1"/>
  <c r="E27" i="16" l="1"/>
  <c r="F27" i="16"/>
  <c r="G27" i="16"/>
  <c r="H27" i="16"/>
  <c r="D27" i="16"/>
  <c r="I27" i="16" s="1"/>
  <c r="I25" i="16"/>
  <c r="I24" i="16"/>
  <c r="E33" i="17"/>
  <c r="F33" i="17"/>
  <c r="G33" i="17"/>
  <c r="H33" i="17"/>
  <c r="E34" i="17"/>
  <c r="F34" i="17"/>
  <c r="G34" i="17"/>
  <c r="H34" i="17"/>
  <c r="D34" i="17"/>
  <c r="I34" i="17" s="1"/>
  <c r="D33" i="17"/>
  <c r="E29" i="17"/>
  <c r="F29" i="17"/>
  <c r="G29" i="17"/>
  <c r="H29" i="17"/>
  <c r="E30" i="17"/>
  <c r="F30" i="17"/>
  <c r="G30" i="17"/>
  <c r="H30" i="17"/>
  <c r="D30" i="17"/>
  <c r="D29" i="17"/>
  <c r="E16" i="17"/>
  <c r="F16" i="17"/>
  <c r="G16" i="17"/>
  <c r="H16" i="17"/>
  <c r="E17" i="17"/>
  <c r="F17" i="17"/>
  <c r="G17" i="17"/>
  <c r="H17" i="17"/>
  <c r="D17" i="17"/>
  <c r="D16" i="17"/>
  <c r="E8" i="17"/>
  <c r="F8" i="17"/>
  <c r="G8" i="17"/>
  <c r="H8" i="17"/>
  <c r="E9" i="17"/>
  <c r="F9" i="17"/>
  <c r="G9" i="17"/>
  <c r="H9" i="17"/>
  <c r="E11" i="17"/>
  <c r="F11" i="17"/>
  <c r="G11" i="17"/>
  <c r="H11" i="17"/>
  <c r="E12" i="17"/>
  <c r="F12" i="17"/>
  <c r="G12" i="17"/>
  <c r="H12" i="17"/>
  <c r="D9" i="17"/>
  <c r="D11" i="17"/>
  <c r="D12" i="17"/>
  <c r="D8" i="17"/>
  <c r="I6" i="16"/>
  <c r="I15" i="16"/>
  <c r="I16" i="16"/>
  <c r="E17" i="16"/>
  <c r="F17" i="16"/>
  <c r="G17" i="16"/>
  <c r="H17" i="16"/>
  <c r="D17" i="16"/>
  <c r="E13" i="16"/>
  <c r="F13" i="16"/>
  <c r="G13" i="16"/>
  <c r="H13" i="16"/>
  <c r="D13" i="16"/>
  <c r="H19" i="16" l="1"/>
  <c r="G19" i="16"/>
  <c r="F19" i="16"/>
  <c r="E19" i="16"/>
  <c r="I17" i="16"/>
  <c r="I13" i="16"/>
  <c r="E35" i="17"/>
  <c r="H31" i="17"/>
  <c r="D31" i="17"/>
  <c r="G31" i="17"/>
  <c r="F31" i="17"/>
  <c r="H35" i="17"/>
  <c r="I30" i="17"/>
  <c r="E31" i="17"/>
  <c r="G35" i="17"/>
  <c r="D35" i="17"/>
  <c r="F35" i="17"/>
  <c r="D19" i="16"/>
  <c r="E7" i="16"/>
  <c r="F7" i="16"/>
  <c r="G7" i="16"/>
  <c r="H7" i="16"/>
  <c r="D7" i="16"/>
  <c r="I33" i="17"/>
  <c r="I29" i="17"/>
  <c r="I17" i="17"/>
  <c r="I16" i="17"/>
  <c r="I12" i="17"/>
  <c r="I11" i="17"/>
  <c r="I9" i="17"/>
  <c r="I8" i="17"/>
  <c r="I12" i="16"/>
  <c r="I11" i="16"/>
  <c r="I5" i="16"/>
  <c r="I19" i="16" l="1"/>
  <c r="I31" i="17"/>
  <c r="I7" i="16"/>
  <c r="I35" i="17"/>
  <c r="I7" i="11" l="1"/>
  <c r="I8" i="11"/>
  <c r="I5" i="11"/>
  <c r="I4" i="11"/>
  <c r="E4" i="3"/>
  <c r="F4" i="3"/>
  <c r="G4" i="3"/>
  <c r="H4" i="3"/>
  <c r="I4" i="3"/>
  <c r="J4" i="3"/>
  <c r="K4" i="3"/>
  <c r="M4" i="3"/>
  <c r="L4" i="3"/>
  <c r="I33" i="9" l="1"/>
  <c r="J33" i="9"/>
  <c r="K33" i="9"/>
  <c r="L33" i="9"/>
  <c r="M33" i="9"/>
  <c r="H33" i="9"/>
  <c r="E10" i="9" l="1"/>
  <c r="F10" i="9"/>
  <c r="G10" i="9"/>
  <c r="H10" i="9"/>
  <c r="I10" i="9"/>
  <c r="J10" i="9"/>
  <c r="E5" i="9"/>
  <c r="F5" i="9"/>
  <c r="G5" i="9"/>
  <c r="H5" i="9"/>
  <c r="I5" i="9"/>
  <c r="I7" i="9" s="1"/>
  <c r="J5" i="9"/>
  <c r="D10" i="9"/>
  <c r="D12" i="9" s="1"/>
  <c r="D5" i="9"/>
  <c r="G99" i="9"/>
  <c r="F99" i="9"/>
  <c r="E99" i="9"/>
  <c r="D99" i="9"/>
  <c r="M97" i="9"/>
  <c r="H12" i="19" s="1"/>
  <c r="L97" i="9"/>
  <c r="G12" i="19" s="1"/>
  <c r="K97" i="9"/>
  <c r="F12" i="19" s="1"/>
  <c r="J97" i="9"/>
  <c r="E12" i="19" s="1"/>
  <c r="I97" i="9"/>
  <c r="D12" i="19" s="1"/>
  <c r="H97" i="9"/>
  <c r="R81" i="9"/>
  <c r="Q81" i="9"/>
  <c r="P81" i="9"/>
  <c r="O81" i="9"/>
  <c r="N81" i="9"/>
  <c r="M81" i="9"/>
  <c r="L81" i="9"/>
  <c r="K81" i="9"/>
  <c r="J81" i="9"/>
  <c r="I81" i="9"/>
  <c r="H81" i="9"/>
  <c r="X45" i="9"/>
  <c r="W45" i="9"/>
  <c r="V45" i="9"/>
  <c r="U45" i="9"/>
  <c r="T45" i="9"/>
  <c r="S45" i="9"/>
  <c r="R45" i="9"/>
  <c r="Q45" i="9"/>
  <c r="P45" i="9"/>
  <c r="O45" i="9"/>
  <c r="N45" i="9"/>
  <c r="M45" i="9"/>
  <c r="L45" i="9"/>
  <c r="K45" i="9"/>
  <c r="J45" i="9"/>
  <c r="I45" i="9"/>
  <c r="H45" i="9"/>
  <c r="G45" i="9"/>
  <c r="F45" i="9"/>
  <c r="E45" i="9"/>
  <c r="E7" i="9" l="1"/>
  <c r="D7" i="9"/>
  <c r="H7" i="9"/>
  <c r="G7" i="9"/>
  <c r="J7" i="9"/>
  <c r="F7" i="9"/>
  <c r="H11" i="9"/>
  <c r="H12" i="9"/>
  <c r="F26" i="9" s="1"/>
  <c r="I12" i="9"/>
  <c r="G26" i="9" s="1"/>
  <c r="G12" i="9"/>
  <c r="E26" i="9" s="1"/>
  <c r="F12" i="9"/>
  <c r="E12" i="9"/>
  <c r="J6" i="9"/>
  <c r="J12" i="9"/>
  <c r="H26" i="9" s="1"/>
  <c r="G11" i="9"/>
  <c r="I6" i="9"/>
  <c r="E11" i="9"/>
  <c r="D6" i="9"/>
  <c r="H6" i="9"/>
  <c r="G6" i="9"/>
  <c r="F11" i="9"/>
  <c r="F6" i="9"/>
  <c r="J11" i="9"/>
  <c r="E6" i="9"/>
  <c r="I11" i="9"/>
  <c r="D11" i="9"/>
  <c r="J49" i="9"/>
  <c r="N52" i="9"/>
  <c r="N50" i="9"/>
  <c r="N53" i="9"/>
  <c r="O53" i="9" s="1"/>
  <c r="P53" i="9" s="1"/>
  <c r="Q53" i="9" s="1"/>
  <c r="R53" i="9" s="1"/>
  <c r="S53" i="9" s="1"/>
  <c r="M52" i="9"/>
  <c r="M51" i="9"/>
  <c r="M50" i="9"/>
  <c r="M49" i="9"/>
  <c r="I48" i="9"/>
  <c r="H67" i="9" s="1"/>
  <c r="J48" i="9"/>
  <c r="K50" i="9"/>
  <c r="K48" i="9"/>
  <c r="L51" i="9"/>
  <c r="L48" i="9"/>
  <c r="K49" i="9"/>
  <c r="M48" i="9"/>
  <c r="L49" i="9"/>
  <c r="L50" i="9"/>
  <c r="N51" i="9"/>
  <c r="N49" i="9"/>
  <c r="N48" i="9"/>
  <c r="D26" i="9" l="1"/>
  <c r="D27" i="9" s="1"/>
  <c r="H27" i="9"/>
  <c r="R82" i="9" s="1"/>
  <c r="G27" i="9"/>
  <c r="Q36" i="9" s="1"/>
  <c r="E27" i="9"/>
  <c r="O98" i="9" s="1"/>
  <c r="J12" i="19" s="1"/>
  <c r="F27" i="9"/>
  <c r="P82" i="9" s="1"/>
  <c r="I67" i="9"/>
  <c r="I99" i="9" s="1"/>
  <c r="D13" i="19" s="1"/>
  <c r="K67" i="9"/>
  <c r="K99" i="9" s="1"/>
  <c r="F13" i="19" s="1"/>
  <c r="J14" i="9"/>
  <c r="O52" i="9"/>
  <c r="P52" i="9" s="1"/>
  <c r="Q52" i="9" s="1"/>
  <c r="R52" i="9" s="1"/>
  <c r="S52" i="9" s="1"/>
  <c r="O49" i="9"/>
  <c r="P49" i="9" s="1"/>
  <c r="Q49" i="9" s="1"/>
  <c r="R49" i="9" s="1"/>
  <c r="S49" i="9" s="1"/>
  <c r="O51" i="9"/>
  <c r="P51" i="9" s="1"/>
  <c r="Q51" i="9" s="1"/>
  <c r="R51" i="9" s="1"/>
  <c r="S51" i="9" s="1"/>
  <c r="O50" i="9"/>
  <c r="P50" i="9" s="1"/>
  <c r="Q50" i="9" s="1"/>
  <c r="R50" i="9" s="1"/>
  <c r="S50" i="9" s="1"/>
  <c r="M67" i="9"/>
  <c r="O48" i="9"/>
  <c r="H99" i="9"/>
  <c r="H100" i="9" s="1"/>
  <c r="H83" i="9"/>
  <c r="H84" i="9" s="1"/>
  <c r="J67" i="9"/>
  <c r="L67" i="9"/>
  <c r="R36" i="9" l="1"/>
  <c r="S58" i="9" s="1"/>
  <c r="T58" i="9" s="1"/>
  <c r="U58" i="9" s="1"/>
  <c r="V58" i="9" s="1"/>
  <c r="W58" i="9" s="1"/>
  <c r="X58" i="9" s="1"/>
  <c r="T53" i="9"/>
  <c r="U53" i="9" s="1"/>
  <c r="V53" i="9" s="1"/>
  <c r="W53" i="9" s="1"/>
  <c r="X53" i="9" s="1"/>
  <c r="K83" i="9"/>
  <c r="P98" i="9"/>
  <c r="K12" i="19" s="1"/>
  <c r="P36" i="9"/>
  <c r="Q56" i="9" s="1"/>
  <c r="Q82" i="9"/>
  <c r="Q98" i="9"/>
  <c r="L12" i="19" s="1"/>
  <c r="O82" i="9"/>
  <c r="O36" i="9"/>
  <c r="P55" i="9" s="1"/>
  <c r="I83" i="9"/>
  <c r="R98" i="9"/>
  <c r="M12" i="19" s="1"/>
  <c r="T50" i="9"/>
  <c r="U50" i="9" s="1"/>
  <c r="V50" i="9" s="1"/>
  <c r="W50" i="9" s="1"/>
  <c r="X50" i="9" s="1"/>
  <c r="T51" i="9"/>
  <c r="U51" i="9" s="1"/>
  <c r="V51" i="9" s="1"/>
  <c r="W51" i="9" s="1"/>
  <c r="X51" i="9" s="1"/>
  <c r="T49" i="9"/>
  <c r="U49" i="9" s="1"/>
  <c r="V49" i="9" s="1"/>
  <c r="W49" i="9" s="1"/>
  <c r="X49" i="9" s="1"/>
  <c r="T52" i="9"/>
  <c r="U52" i="9" s="1"/>
  <c r="V52" i="9" s="1"/>
  <c r="W52" i="9" s="1"/>
  <c r="X52" i="9" s="1"/>
  <c r="N80" i="9"/>
  <c r="L99" i="9"/>
  <c r="G13" i="19" s="1"/>
  <c r="L83" i="9"/>
  <c r="J99" i="9"/>
  <c r="E13" i="19" s="1"/>
  <c r="J83" i="9"/>
  <c r="P48" i="9"/>
  <c r="I96" i="9"/>
  <c r="H101" i="9"/>
  <c r="N98" i="9"/>
  <c r="I12" i="19" s="1"/>
  <c r="N36" i="9"/>
  <c r="N82" i="9"/>
  <c r="I80" i="9"/>
  <c r="H85" i="9"/>
  <c r="S57" i="9"/>
  <c r="T57" i="9" s="1"/>
  <c r="U57" i="9" s="1"/>
  <c r="V57" i="9" s="1"/>
  <c r="W57" i="9" s="1"/>
  <c r="X57" i="9" s="1"/>
  <c r="R57" i="9"/>
  <c r="M99" i="9"/>
  <c r="H13" i="19" s="1"/>
  <c r="M83" i="9"/>
  <c r="D14" i="19" l="1"/>
  <c r="R56" i="9"/>
  <c r="S56" i="9"/>
  <c r="T56" i="9" s="1"/>
  <c r="U56" i="9" s="1"/>
  <c r="V56" i="9" s="1"/>
  <c r="W56" i="9" s="1"/>
  <c r="X56" i="9" s="1"/>
  <c r="S55" i="9"/>
  <c r="T55" i="9" s="1"/>
  <c r="U55" i="9" s="1"/>
  <c r="V55" i="9" s="1"/>
  <c r="W55" i="9" s="1"/>
  <c r="X55" i="9" s="1"/>
  <c r="Q55" i="9"/>
  <c r="R55" i="9"/>
  <c r="S54" i="9"/>
  <c r="T54" i="9" s="1"/>
  <c r="U54" i="9" s="1"/>
  <c r="V54" i="9" s="1"/>
  <c r="W54" i="9" s="1"/>
  <c r="X54" i="9" s="1"/>
  <c r="R54" i="9"/>
  <c r="Q54" i="9"/>
  <c r="P54" i="9"/>
  <c r="O67" i="9" s="1"/>
  <c r="O83" i="9" s="1"/>
  <c r="O54" i="9"/>
  <c r="N67" i="9" s="1"/>
  <c r="N83" i="9" s="1"/>
  <c r="I84" i="9"/>
  <c r="J80" i="9" s="1"/>
  <c r="Q48" i="9"/>
  <c r="I100" i="9"/>
  <c r="J96" i="9" s="1"/>
  <c r="D15" i="19" l="1"/>
  <c r="E11" i="19"/>
  <c r="E14" i="19" s="1"/>
  <c r="R48" i="9"/>
  <c r="P67" i="9"/>
  <c r="P83" i="9" s="1"/>
  <c r="J84" i="9"/>
  <c r="K80" i="9" s="1"/>
  <c r="J100" i="9"/>
  <c r="K96" i="9" s="1"/>
  <c r="I85" i="9"/>
  <c r="N84" i="9"/>
  <c r="I101" i="9"/>
  <c r="E15" i="19" l="1"/>
  <c r="F11" i="19"/>
  <c r="F14" i="19" s="1"/>
  <c r="F15" i="19" s="1"/>
  <c r="J85" i="9"/>
  <c r="K84" i="9"/>
  <c r="L80" i="9" s="1"/>
  <c r="K100" i="9"/>
  <c r="L96" i="9" s="1"/>
  <c r="J101" i="9"/>
  <c r="S48" i="9"/>
  <c r="T48" i="9" s="1"/>
  <c r="Q67" i="9"/>
  <c r="Q83" i="9" s="1"/>
  <c r="O80" i="9"/>
  <c r="N85" i="9"/>
  <c r="G14" i="19" l="1"/>
  <c r="G15" i="19"/>
  <c r="O84" i="9"/>
  <c r="P80" i="9" s="1"/>
  <c r="R67" i="9"/>
  <c r="R83" i="9" s="1"/>
  <c r="D105" i="9" s="1"/>
  <c r="L100" i="9"/>
  <c r="M96" i="9" s="1"/>
  <c r="L84" i="9"/>
  <c r="M80" i="9" s="1"/>
  <c r="K101" i="9"/>
  <c r="K85" i="9"/>
  <c r="H14" i="19" l="1"/>
  <c r="H15" i="19" s="1"/>
  <c r="O85" i="9"/>
  <c r="U48" i="9"/>
  <c r="D72" i="9"/>
  <c r="M84" i="9"/>
  <c r="M85" i="9" s="1"/>
  <c r="L85" i="9"/>
  <c r="P84" i="9"/>
  <c r="Q80" i="9" s="1"/>
  <c r="M100" i="9"/>
  <c r="N96" i="9" s="1"/>
  <c r="L101" i="9"/>
  <c r="V48" i="9" l="1"/>
  <c r="E72" i="9"/>
  <c r="M101" i="9"/>
  <c r="Q84" i="9"/>
  <c r="R80" i="9" s="1"/>
  <c r="P85" i="9"/>
  <c r="R84" i="9" l="1"/>
  <c r="R85" i="9" s="1"/>
  <c r="Q85" i="9"/>
  <c r="F72" i="9"/>
  <c r="W48" i="9"/>
  <c r="X48" i="9" l="1"/>
  <c r="H72" i="9" s="1"/>
  <c r="G72" i="9"/>
  <c r="E108" i="8" l="1"/>
  <c r="F108" i="8"/>
  <c r="G108" i="8"/>
  <c r="H108" i="8"/>
  <c r="D108" i="8"/>
  <c r="E109" i="8"/>
  <c r="F109" i="8"/>
  <c r="G109" i="8"/>
  <c r="H109" i="8"/>
  <c r="D109" i="8"/>
  <c r="I108" i="8" l="1"/>
  <c r="D91" i="8"/>
  <c r="D79" i="8"/>
  <c r="S77" i="8"/>
  <c r="E77" i="8"/>
  <c r="F77" i="8"/>
  <c r="G77" i="8"/>
  <c r="H77" i="8"/>
  <c r="I77" i="8"/>
  <c r="J77" i="8"/>
  <c r="K77" i="8"/>
  <c r="L77" i="8"/>
  <c r="M77" i="8"/>
  <c r="N77" i="8"/>
  <c r="O77" i="8"/>
  <c r="P77" i="8"/>
  <c r="Q77" i="8"/>
  <c r="R77" i="8"/>
  <c r="D77" i="8"/>
  <c r="D34" i="8"/>
  <c r="E25" i="8"/>
  <c r="F25" i="8"/>
  <c r="G25" i="8"/>
  <c r="H25" i="8"/>
  <c r="D25" i="8"/>
  <c r="E10" i="8"/>
  <c r="F10" i="8"/>
  <c r="G10" i="8"/>
  <c r="H10" i="8"/>
  <c r="I10" i="8"/>
  <c r="J10" i="8"/>
  <c r="D10" i="8"/>
  <c r="D12" i="8" s="1"/>
  <c r="E5" i="8"/>
  <c r="F5" i="8"/>
  <c r="G5" i="8"/>
  <c r="H5" i="8"/>
  <c r="I5" i="8"/>
  <c r="I7" i="8" s="1"/>
  <c r="J5" i="8"/>
  <c r="D5" i="8"/>
  <c r="R131" i="8"/>
  <c r="Q131" i="8"/>
  <c r="P131" i="8"/>
  <c r="O131" i="8"/>
  <c r="N131" i="8"/>
  <c r="H114" i="8"/>
  <c r="G114" i="8"/>
  <c r="R92" i="8"/>
  <c r="Q92" i="8"/>
  <c r="P92" i="8"/>
  <c r="O92" i="8"/>
  <c r="N92" i="8"/>
  <c r="H59" i="8"/>
  <c r="H57" i="8"/>
  <c r="G57" i="8"/>
  <c r="N53" i="8"/>
  <c r="M53" i="8"/>
  <c r="L53" i="8"/>
  <c r="K53" i="8"/>
  <c r="J53" i="8"/>
  <c r="I53" i="8"/>
  <c r="H53" i="8"/>
  <c r="G53" i="8"/>
  <c r="F53" i="8"/>
  <c r="E53" i="8"/>
  <c r="X50" i="8"/>
  <c r="W50" i="8"/>
  <c r="V50" i="8"/>
  <c r="U50" i="8"/>
  <c r="T50" i="8"/>
  <c r="S50" i="8"/>
  <c r="R50" i="8"/>
  <c r="Q50" i="8"/>
  <c r="P50" i="8"/>
  <c r="O50" i="8"/>
  <c r="N50" i="8"/>
  <c r="M50" i="8"/>
  <c r="L50" i="8"/>
  <c r="K50" i="8"/>
  <c r="J50" i="8"/>
  <c r="I50" i="8"/>
  <c r="H50" i="8"/>
  <c r="G50" i="8"/>
  <c r="F50" i="8"/>
  <c r="E50" i="8"/>
  <c r="J7" i="8" l="1"/>
  <c r="F7" i="8"/>
  <c r="E7" i="8"/>
  <c r="H7" i="8"/>
  <c r="D7" i="8"/>
  <c r="G7" i="8"/>
  <c r="E12" i="8"/>
  <c r="I12" i="8"/>
  <c r="G26" i="8" s="1"/>
  <c r="G12" i="8"/>
  <c r="E26" i="8" s="1"/>
  <c r="H12" i="8"/>
  <c r="F26" i="8" s="1"/>
  <c r="F12" i="8"/>
  <c r="J12" i="8"/>
  <c r="H26" i="8" s="1"/>
  <c r="M58" i="8"/>
  <c r="E6" i="8"/>
  <c r="E11" i="8"/>
  <c r="M54" i="8"/>
  <c r="J11" i="8"/>
  <c r="K14" i="8"/>
  <c r="I11" i="8"/>
  <c r="D11" i="8"/>
  <c r="H11" i="8"/>
  <c r="G11" i="8"/>
  <c r="F11" i="8"/>
  <c r="J6" i="8"/>
  <c r="I6" i="8"/>
  <c r="N57" i="8"/>
  <c r="E54" i="8"/>
  <c r="E79" i="8" s="1"/>
  <c r="G119" i="8"/>
  <c r="G124" i="8" s="1"/>
  <c r="D6" i="8"/>
  <c r="H6" i="8"/>
  <c r="L59" i="8"/>
  <c r="L55" i="8"/>
  <c r="G6" i="8"/>
  <c r="H54" i="8"/>
  <c r="L60" i="8"/>
  <c r="F6" i="8"/>
  <c r="G55" i="8"/>
  <c r="J61" i="8"/>
  <c r="G131" i="8"/>
  <c r="L58" i="8"/>
  <c r="K58" i="8"/>
  <c r="J58" i="8"/>
  <c r="I58" i="8"/>
  <c r="H58" i="8"/>
  <c r="G92" i="8"/>
  <c r="O58" i="8"/>
  <c r="N58" i="8"/>
  <c r="K131" i="8"/>
  <c r="F5" i="19" s="1"/>
  <c r="K92" i="8"/>
  <c r="N63" i="8"/>
  <c r="M63" i="8"/>
  <c r="L63" i="8"/>
  <c r="I107" i="8"/>
  <c r="L54" i="8"/>
  <c r="J55" i="8"/>
  <c r="M131" i="8"/>
  <c r="H5" i="19" s="1"/>
  <c r="N65" i="8"/>
  <c r="O65" i="8" s="1"/>
  <c r="F54" i="8"/>
  <c r="N54" i="8"/>
  <c r="G56" i="8"/>
  <c r="M57" i="8"/>
  <c r="L57" i="8"/>
  <c r="K57" i="8"/>
  <c r="J57" i="8"/>
  <c r="I57" i="8"/>
  <c r="O57" i="8"/>
  <c r="G54" i="8"/>
  <c r="I56" i="8"/>
  <c r="E92" i="8"/>
  <c r="K59" i="8"/>
  <c r="J59" i="8"/>
  <c r="I59" i="8"/>
  <c r="O59" i="8"/>
  <c r="N59" i="8"/>
  <c r="M59" i="8"/>
  <c r="F55" i="8"/>
  <c r="K56" i="8"/>
  <c r="M92" i="8"/>
  <c r="D131" i="8"/>
  <c r="D92" i="8"/>
  <c r="H131" i="8"/>
  <c r="K60" i="8"/>
  <c r="J60" i="8"/>
  <c r="I60" i="8"/>
  <c r="H92" i="8"/>
  <c r="N60" i="8"/>
  <c r="M60" i="8"/>
  <c r="I54" i="8"/>
  <c r="L131" i="8"/>
  <c r="G5" i="19" s="1"/>
  <c r="L92" i="8"/>
  <c r="N64" i="8"/>
  <c r="M64" i="8"/>
  <c r="E131" i="8"/>
  <c r="N55" i="8"/>
  <c r="M55" i="8"/>
  <c r="K55" i="8"/>
  <c r="I131" i="8"/>
  <c r="D5" i="19" s="1"/>
  <c r="I92" i="8"/>
  <c r="N61" i="8"/>
  <c r="M61" i="8"/>
  <c r="L61" i="8"/>
  <c r="K61" i="8"/>
  <c r="J54" i="8"/>
  <c r="H55" i="8"/>
  <c r="F131" i="8"/>
  <c r="N56" i="8"/>
  <c r="M56" i="8"/>
  <c r="L56" i="8"/>
  <c r="J56" i="8"/>
  <c r="F92" i="8"/>
  <c r="H56" i="8"/>
  <c r="J131" i="8"/>
  <c r="E5" i="19" s="1"/>
  <c r="J92" i="8"/>
  <c r="N62" i="8"/>
  <c r="M62" i="8"/>
  <c r="L62" i="8"/>
  <c r="K62" i="8"/>
  <c r="K54" i="8"/>
  <c r="I55" i="8"/>
  <c r="H119" i="8"/>
  <c r="H124" i="8" s="1"/>
  <c r="D114" i="8"/>
  <c r="D119" i="8" s="1"/>
  <c r="D124" i="8" s="1"/>
  <c r="E114" i="8"/>
  <c r="E119" i="8" s="1"/>
  <c r="E124" i="8" s="1"/>
  <c r="F114" i="8"/>
  <c r="F119" i="8" s="1"/>
  <c r="F124" i="8" s="1"/>
  <c r="I109" i="8"/>
  <c r="D26" i="8" l="1"/>
  <c r="D94" i="8"/>
  <c r="D95" i="8" s="1"/>
  <c r="D133" i="8"/>
  <c r="D134" i="8" s="1"/>
  <c r="D27" i="8"/>
  <c r="D113" i="8"/>
  <c r="D112" i="8"/>
  <c r="D117" i="8" s="1"/>
  <c r="D122" i="8" s="1"/>
  <c r="N133" i="8" s="1"/>
  <c r="I6" i="19" s="1"/>
  <c r="F27" i="8"/>
  <c r="P132" i="8" s="1"/>
  <c r="F112" i="8"/>
  <c r="F117" i="8" s="1"/>
  <c r="F113" i="8"/>
  <c r="F118" i="8" s="1"/>
  <c r="F123" i="8" s="1"/>
  <c r="F91" i="9" s="1"/>
  <c r="P99" i="9" s="1"/>
  <c r="K13" i="19" s="1"/>
  <c r="H27" i="8"/>
  <c r="H113" i="8"/>
  <c r="H118" i="8" s="1"/>
  <c r="H123" i="8" s="1"/>
  <c r="H91" i="9" s="1"/>
  <c r="R99" i="9" s="1"/>
  <c r="M13" i="19" s="1"/>
  <c r="H112" i="8"/>
  <c r="H117" i="8" s="1"/>
  <c r="E27" i="8"/>
  <c r="O42" i="8" s="1"/>
  <c r="E113" i="8"/>
  <c r="E118" i="8" s="1"/>
  <c r="E123" i="8" s="1"/>
  <c r="E91" i="9" s="1"/>
  <c r="O99" i="9" s="1"/>
  <c r="J13" i="19" s="1"/>
  <c r="E112" i="8"/>
  <c r="E117" i="8" s="1"/>
  <c r="G79" i="8"/>
  <c r="G27" i="8"/>
  <c r="Q132" i="8" s="1"/>
  <c r="G112" i="8"/>
  <c r="G117" i="8" s="1"/>
  <c r="G113" i="8"/>
  <c r="G118" i="8" s="1"/>
  <c r="G123" i="8" s="1"/>
  <c r="G91" i="9" s="1"/>
  <c r="Q99" i="9" s="1"/>
  <c r="L13" i="19" s="1"/>
  <c r="K79" i="8"/>
  <c r="F79" i="8"/>
  <c r="I79" i="8"/>
  <c r="J79" i="8"/>
  <c r="H79" i="8"/>
  <c r="M79" i="8"/>
  <c r="L79" i="8"/>
  <c r="N79" i="8"/>
  <c r="O63" i="8"/>
  <c r="P63" i="8" s="1"/>
  <c r="Q63" i="8" s="1"/>
  <c r="R63" i="8" s="1"/>
  <c r="P57" i="8"/>
  <c r="O56" i="8"/>
  <c r="P58" i="8"/>
  <c r="O55" i="8"/>
  <c r="I124" i="8"/>
  <c r="P59" i="8"/>
  <c r="O61" i="8"/>
  <c r="P61" i="8" s="1"/>
  <c r="P65" i="8"/>
  <c r="O54" i="8"/>
  <c r="O62" i="8"/>
  <c r="P62" i="8" s="1"/>
  <c r="O60" i="8"/>
  <c r="P60" i="8" s="1"/>
  <c r="I119" i="8"/>
  <c r="I114" i="8"/>
  <c r="O64" i="8"/>
  <c r="P64" i="8" s="1"/>
  <c r="K5" i="19" l="1"/>
  <c r="L5" i="19"/>
  <c r="O132" i="8"/>
  <c r="P42" i="8"/>
  <c r="Q68" i="8" s="1"/>
  <c r="Q42" i="8"/>
  <c r="R69" i="8" s="1"/>
  <c r="M94" i="8"/>
  <c r="M133" i="8"/>
  <c r="H6" i="19" s="1"/>
  <c r="L94" i="8"/>
  <c r="L133" i="8"/>
  <c r="G6" i="19" s="1"/>
  <c r="K94" i="8"/>
  <c r="K133" i="8"/>
  <c r="F6" i="19" s="1"/>
  <c r="G94" i="8"/>
  <c r="G133" i="8"/>
  <c r="F94" i="8"/>
  <c r="F133" i="8"/>
  <c r="I94" i="8"/>
  <c r="I133" i="8"/>
  <c r="D6" i="19" s="1"/>
  <c r="H94" i="8"/>
  <c r="H133" i="8"/>
  <c r="E94" i="8"/>
  <c r="E133" i="8"/>
  <c r="J94" i="8"/>
  <c r="J133" i="8"/>
  <c r="E6" i="19" s="1"/>
  <c r="F122" i="8"/>
  <c r="P133" i="8" s="1"/>
  <c r="G122" i="8"/>
  <c r="Q133" i="8" s="1"/>
  <c r="E122" i="8"/>
  <c r="O133" i="8" s="1"/>
  <c r="H122" i="8"/>
  <c r="R133" i="8" s="1"/>
  <c r="I113" i="8"/>
  <c r="D118" i="8"/>
  <c r="D123" i="8" s="1"/>
  <c r="Q61" i="8"/>
  <c r="R61" i="8" s="1"/>
  <c r="S61" i="8" s="1"/>
  <c r="O93" i="8"/>
  <c r="P67" i="8"/>
  <c r="Q67" i="8" s="1"/>
  <c r="R132" i="8"/>
  <c r="R42" i="8"/>
  <c r="Q64" i="8"/>
  <c r="R64" i="8" s="1"/>
  <c r="S64" i="8" s="1"/>
  <c r="Q62" i="8"/>
  <c r="R62" i="8" s="1"/>
  <c r="S62" i="8" s="1"/>
  <c r="Q65" i="8"/>
  <c r="R65" i="8" s="1"/>
  <c r="S65" i="8" s="1"/>
  <c r="N132" i="8"/>
  <c r="N42" i="8"/>
  <c r="I112" i="8"/>
  <c r="S63" i="8"/>
  <c r="Q60" i="8"/>
  <c r="E91" i="8"/>
  <c r="D96" i="8"/>
  <c r="I117" i="8"/>
  <c r="E130" i="8"/>
  <c r="D135" i="8"/>
  <c r="K6" i="19" l="1"/>
  <c r="M5" i="19"/>
  <c r="M6" i="19"/>
  <c r="J5" i="19"/>
  <c r="L6" i="19"/>
  <c r="I5" i="19"/>
  <c r="J6" i="19"/>
  <c r="I123" i="8"/>
  <c r="D91" i="9"/>
  <c r="P93" i="8"/>
  <c r="I118" i="8"/>
  <c r="Q93" i="8"/>
  <c r="I122" i="8"/>
  <c r="E139" i="8" s="1"/>
  <c r="R67" i="8"/>
  <c r="E134" i="8"/>
  <c r="F130" i="8" s="1"/>
  <c r="S69" i="8"/>
  <c r="T69" i="8" s="1"/>
  <c r="U69" i="8" s="1"/>
  <c r="V69" i="8" s="1"/>
  <c r="W69" i="8" s="1"/>
  <c r="R68" i="8"/>
  <c r="E95" i="8"/>
  <c r="F91" i="8" s="1"/>
  <c r="R60" i="8"/>
  <c r="R93" i="8"/>
  <c r="S70" i="8"/>
  <c r="T70" i="8" s="1"/>
  <c r="U70" i="8" s="1"/>
  <c r="V70" i="8" s="1"/>
  <c r="W70" i="8" s="1"/>
  <c r="X70" i="8" s="1"/>
  <c r="H82" i="8" s="1"/>
  <c r="N93" i="8"/>
  <c r="O66" i="8"/>
  <c r="I91" i="9" l="1"/>
  <c r="E105" i="9" s="1"/>
  <c r="F105" i="9" s="1"/>
  <c r="F108" i="9" s="1"/>
  <c r="N99" i="9"/>
  <c r="I13" i="19" s="1"/>
  <c r="I14" i="19" s="1"/>
  <c r="O79" i="8"/>
  <c r="N94" i="8" s="1"/>
  <c r="G82" i="8"/>
  <c r="F95" i="8"/>
  <c r="G91" i="8" s="1"/>
  <c r="E135" i="8"/>
  <c r="S68" i="8"/>
  <c r="T68" i="8" s="1"/>
  <c r="U68" i="8" s="1"/>
  <c r="V68" i="8" s="1"/>
  <c r="F82" i="8" s="1"/>
  <c r="S67" i="8"/>
  <c r="T67" i="8" s="1"/>
  <c r="U67" i="8" s="1"/>
  <c r="S60" i="8"/>
  <c r="F134" i="8"/>
  <c r="G130" i="8" s="1"/>
  <c r="P66" i="8"/>
  <c r="P79" i="8" s="1"/>
  <c r="O94" i="8" s="1"/>
  <c r="E96" i="8"/>
  <c r="I15" i="19" l="1"/>
  <c r="E114" i="9"/>
  <c r="E122" i="9" s="1"/>
  <c r="F114" i="9"/>
  <c r="F122" i="9" s="1"/>
  <c r="G114" i="9"/>
  <c r="G122" i="9" s="1"/>
  <c r="H114" i="9"/>
  <c r="H122" i="9" s="1"/>
  <c r="D114" i="9"/>
  <c r="D122" i="9" s="1"/>
  <c r="N100" i="9"/>
  <c r="F135" i="8"/>
  <c r="F96" i="8"/>
  <c r="E82" i="8"/>
  <c r="G134" i="8"/>
  <c r="H130" i="8" s="1"/>
  <c r="G95" i="8"/>
  <c r="H91" i="8" s="1"/>
  <c r="Q66" i="8"/>
  <c r="O96" i="9" l="1"/>
  <c r="J11" i="19" s="1"/>
  <c r="N101" i="9"/>
  <c r="Q79" i="8"/>
  <c r="P94" i="8" s="1"/>
  <c r="G96" i="8"/>
  <c r="R66" i="8"/>
  <c r="H95" i="8"/>
  <c r="I91" i="8" s="1"/>
  <c r="G135" i="8"/>
  <c r="H134" i="8"/>
  <c r="I130" i="8" s="1"/>
  <c r="D4" i="19" s="1"/>
  <c r="J14" i="19" l="1"/>
  <c r="D7" i="19"/>
  <c r="D8" i="19" s="1"/>
  <c r="O100" i="9"/>
  <c r="P96" i="9" s="1"/>
  <c r="K11" i="19" s="1"/>
  <c r="R79" i="8"/>
  <c r="Q94" i="8" s="1"/>
  <c r="H96" i="8"/>
  <c r="S66" i="8"/>
  <c r="S79" i="8" s="1"/>
  <c r="R94" i="8" s="1"/>
  <c r="I134" i="8"/>
  <c r="J130" i="8" s="1"/>
  <c r="E4" i="19" s="1"/>
  <c r="I95" i="8"/>
  <c r="J91" i="8" s="1"/>
  <c r="H135" i="8"/>
  <c r="E7" i="19" l="1"/>
  <c r="E8" i="19" s="1"/>
  <c r="J15" i="19"/>
  <c r="K14" i="19"/>
  <c r="P100" i="9"/>
  <c r="Q96" i="9" s="1"/>
  <c r="L11" i="19" s="1"/>
  <c r="O101" i="9"/>
  <c r="D139" i="8"/>
  <c r="F139" i="8" s="1"/>
  <c r="T66" i="8"/>
  <c r="D82" i="8" s="1"/>
  <c r="I135" i="8"/>
  <c r="I96" i="8"/>
  <c r="J134" i="8"/>
  <c r="K130" i="8" s="1"/>
  <c r="F4" i="19" s="1"/>
  <c r="J95" i="8"/>
  <c r="K91" i="8" s="1"/>
  <c r="P101" i="9" l="1"/>
  <c r="F7" i="19"/>
  <c r="F8" i="19" s="1"/>
  <c r="K15" i="19"/>
  <c r="L14" i="19"/>
  <c r="Q100" i="9"/>
  <c r="R96" i="9" s="1"/>
  <c r="M11" i="19" s="1"/>
  <c r="F142" i="8"/>
  <c r="J96" i="8"/>
  <c r="J135" i="8"/>
  <c r="K134" i="8"/>
  <c r="L130" i="8" s="1"/>
  <c r="G4" i="19" s="1"/>
  <c r="K95" i="8"/>
  <c r="L91" i="8" s="1"/>
  <c r="Q101" i="9" l="1"/>
  <c r="G7" i="19"/>
  <c r="G8" i="19" s="1"/>
  <c r="L15" i="19"/>
  <c r="M14" i="19"/>
  <c r="R100" i="9"/>
  <c r="D119" i="9" s="1"/>
  <c r="D35" i="14" s="1"/>
  <c r="E148" i="8"/>
  <c r="E157" i="8" s="1"/>
  <c r="G148" i="8"/>
  <c r="G157" i="8" s="1"/>
  <c r="H148" i="8"/>
  <c r="H157" i="8" s="1"/>
  <c r="D148" i="8"/>
  <c r="D157" i="8" s="1"/>
  <c r="F148" i="8"/>
  <c r="F157" i="8" s="1"/>
  <c r="K96" i="8"/>
  <c r="K135" i="8"/>
  <c r="L95" i="8"/>
  <c r="M91" i="8" s="1"/>
  <c r="L134" i="8"/>
  <c r="M130" i="8" s="1"/>
  <c r="H4" i="19" s="1"/>
  <c r="H7" i="19" l="1"/>
  <c r="H8" i="19" s="1"/>
  <c r="M15" i="19"/>
  <c r="R101" i="9"/>
  <c r="L96" i="8"/>
  <c r="L135" i="8"/>
  <c r="M134" i="8"/>
  <c r="N130" i="8" s="1"/>
  <c r="I4" i="19" s="1"/>
  <c r="M95" i="8"/>
  <c r="I7" i="19" l="1"/>
  <c r="M96" i="8"/>
  <c r="N91" i="8"/>
  <c r="N134" i="8"/>
  <c r="O130" i="8" s="1"/>
  <c r="J4" i="19" s="1"/>
  <c r="M135" i="8"/>
  <c r="I8" i="19" l="1"/>
  <c r="J7" i="19"/>
  <c r="N95" i="8"/>
  <c r="O91" i="8" s="1"/>
  <c r="N135" i="8"/>
  <c r="O134" i="8"/>
  <c r="P130" i="8" s="1"/>
  <c r="K4" i="19" s="1"/>
  <c r="J8" i="19" l="1"/>
  <c r="K7" i="19"/>
  <c r="N96" i="8"/>
  <c r="O95" i="8"/>
  <c r="P91" i="8" s="1"/>
  <c r="O135" i="8"/>
  <c r="P134" i="8"/>
  <c r="Q130" i="8" s="1"/>
  <c r="L4" i="19" s="1"/>
  <c r="K8" i="19" l="1"/>
  <c r="L7" i="19"/>
  <c r="O96" i="8"/>
  <c r="P95" i="8"/>
  <c r="Q91" i="8" s="1"/>
  <c r="Q134" i="8"/>
  <c r="R130" i="8" s="1"/>
  <c r="M4" i="19" s="1"/>
  <c r="P135" i="8"/>
  <c r="L8" i="19" l="1"/>
  <c r="M7" i="19"/>
  <c r="P96" i="8"/>
  <c r="Q95" i="8"/>
  <c r="R91" i="8" s="1"/>
  <c r="R95" i="8" s="1"/>
  <c r="R96" i="8" s="1"/>
  <c r="R134" i="8"/>
  <c r="Q135" i="8"/>
  <c r="M8" i="19" l="1"/>
  <c r="D154" i="8"/>
  <c r="D28" i="14" s="1"/>
  <c r="Q96" i="8"/>
  <c r="R135" i="8"/>
  <c r="K10" i="9" l="1"/>
  <c r="K10" i="8"/>
  <c r="D42" i="14" l="1"/>
  <c r="K12" i="8"/>
  <c r="K11" i="8"/>
  <c r="O3" i="3"/>
  <c r="N4" i="3"/>
  <c r="D4" i="17" s="1"/>
  <c r="K5" i="9"/>
  <c r="N11" i="19" s="1"/>
  <c r="K5" i="8"/>
  <c r="N4" i="19" s="1"/>
  <c r="L10" i="9"/>
  <c r="L10" i="8"/>
  <c r="K11" i="9"/>
  <c r="K12" i="9"/>
  <c r="I6" i="6"/>
  <c r="I5" i="6"/>
  <c r="I11" i="6"/>
  <c r="D61" i="6"/>
  <c r="C13" i="3"/>
  <c r="D22" i="17" l="1"/>
  <c r="D21" i="17"/>
  <c r="K6" i="8"/>
  <c r="K7" i="8"/>
  <c r="D165" i="8" s="1"/>
  <c r="D4" i="14" s="1"/>
  <c r="K6" i="9"/>
  <c r="K7" i="9"/>
  <c r="D129" i="9" s="1"/>
  <c r="D11" i="14" s="1"/>
  <c r="L11" i="9"/>
  <c r="L12" i="9"/>
  <c r="M10" i="9"/>
  <c r="M10" i="8"/>
  <c r="P3" i="3"/>
  <c r="O4" i="3"/>
  <c r="E4" i="17" s="1"/>
  <c r="L5" i="9"/>
  <c r="L5" i="8"/>
  <c r="L11" i="8"/>
  <c r="L12" i="8"/>
  <c r="L6" i="8" l="1"/>
  <c r="L7" i="8"/>
  <c r="L6" i="9"/>
  <c r="L7" i="9"/>
  <c r="D39" i="17"/>
  <c r="D45" i="17" s="1"/>
  <c r="D24" i="17"/>
  <c r="E21" i="17"/>
  <c r="E22" i="17"/>
  <c r="D40" i="17"/>
  <c r="M12" i="8"/>
  <c r="M11" i="8"/>
  <c r="M11" i="9"/>
  <c r="M12" i="9"/>
  <c r="N10" i="9"/>
  <c r="N10" i="8"/>
  <c r="Q3" i="3"/>
  <c r="P4" i="3"/>
  <c r="F4" i="17" s="1"/>
  <c r="M5" i="9"/>
  <c r="M5" i="8"/>
  <c r="S45" i="8" l="1"/>
  <c r="D166" i="8" s="1"/>
  <c r="D46" i="17"/>
  <c r="M6" i="9"/>
  <c r="M7" i="9"/>
  <c r="E40" i="17"/>
  <c r="M6" i="8"/>
  <c r="M7" i="8"/>
  <c r="F22" i="17"/>
  <c r="F21" i="17"/>
  <c r="E24" i="17"/>
  <c r="E39" i="17"/>
  <c r="E45" i="17" s="1"/>
  <c r="D41" i="17"/>
  <c r="D18" i="14"/>
  <c r="N12" i="9"/>
  <c r="N11" i="9"/>
  <c r="N12" i="8"/>
  <c r="N11" i="8"/>
  <c r="R3" i="3"/>
  <c r="Q4" i="3"/>
  <c r="G4" i="17" s="1"/>
  <c r="N5" i="9"/>
  <c r="N5" i="8"/>
  <c r="O10" i="9"/>
  <c r="O10" i="8"/>
  <c r="D5" i="14" l="1"/>
  <c r="N5" i="19"/>
  <c r="F40" i="17"/>
  <c r="S39" i="9"/>
  <c r="D130" i="9" s="1"/>
  <c r="N6" i="8"/>
  <c r="N7" i="8"/>
  <c r="G22" i="17"/>
  <c r="G21" i="17"/>
  <c r="E41" i="17"/>
  <c r="D47" i="17"/>
  <c r="N6" i="9"/>
  <c r="N7" i="9"/>
  <c r="T45" i="8"/>
  <c r="E166" i="8" s="1"/>
  <c r="F39" i="17"/>
  <c r="F24" i="17"/>
  <c r="E46" i="17"/>
  <c r="T39" i="9" s="1"/>
  <c r="E130" i="9" s="1"/>
  <c r="R4" i="3"/>
  <c r="H4" i="17" s="1"/>
  <c r="O5" i="9"/>
  <c r="O5" i="8"/>
  <c r="O12" i="9"/>
  <c r="O11" i="9"/>
  <c r="O12" i="8"/>
  <c r="O11" i="8"/>
  <c r="F41" i="17" l="1"/>
  <c r="E12" i="14"/>
  <c r="O12" i="19"/>
  <c r="D12" i="14"/>
  <c r="D19" i="14" s="1"/>
  <c r="N12" i="19"/>
  <c r="V60" i="9"/>
  <c r="E5" i="14"/>
  <c r="E19" i="14" s="1"/>
  <c r="O5" i="19"/>
  <c r="W60" i="9"/>
  <c r="U60" i="9"/>
  <c r="E120" i="9"/>
  <c r="E36" i="14" s="1"/>
  <c r="U72" i="8"/>
  <c r="V72" i="8" s="1"/>
  <c r="E155" i="8"/>
  <c r="E29" i="14" s="1"/>
  <c r="O6" i="9"/>
  <c r="O7" i="9"/>
  <c r="X60" i="9"/>
  <c r="H22" i="17"/>
  <c r="I22" i="17" s="1"/>
  <c r="H21" i="17"/>
  <c r="F45" i="17"/>
  <c r="E47" i="17"/>
  <c r="F46" i="17"/>
  <c r="U39" i="9" s="1"/>
  <c r="F130" i="9" s="1"/>
  <c r="G39" i="17"/>
  <c r="G45" i="17" s="1"/>
  <c r="G24" i="17"/>
  <c r="O6" i="8"/>
  <c r="O7" i="8"/>
  <c r="G40" i="17"/>
  <c r="G46" i="17" s="1"/>
  <c r="E43" i="14" l="1"/>
  <c r="F12" i="14"/>
  <c r="P12" i="19"/>
  <c r="W72" i="8"/>
  <c r="X72" i="8" s="1"/>
  <c r="V39" i="9"/>
  <c r="V45" i="8"/>
  <c r="G166" i="8" s="1"/>
  <c r="G47" i="17"/>
  <c r="U45" i="8"/>
  <c r="F166" i="8" s="1"/>
  <c r="F47" i="17"/>
  <c r="G41" i="17"/>
  <c r="H39" i="17"/>
  <c r="H24" i="17"/>
  <c r="I24" i="17" s="1"/>
  <c r="I21" i="17"/>
  <c r="H40" i="17"/>
  <c r="I40" i="17" s="1"/>
  <c r="D120" i="9"/>
  <c r="X59" i="9"/>
  <c r="U59" i="9"/>
  <c r="E73" i="9" s="1"/>
  <c r="E74" i="9" s="1"/>
  <c r="E121" i="9" s="1"/>
  <c r="T59" i="9"/>
  <c r="D73" i="9" s="1"/>
  <c r="D74" i="9" s="1"/>
  <c r="D121" i="9" s="1"/>
  <c r="V59" i="9"/>
  <c r="W59" i="9"/>
  <c r="D155" i="8"/>
  <c r="T71" i="8"/>
  <c r="U71" i="8" s="1"/>
  <c r="G5" i="14" l="1"/>
  <c r="Q5" i="19"/>
  <c r="F5" i="14"/>
  <c r="F19" i="14" s="1"/>
  <c r="P5" i="19"/>
  <c r="W74" i="8"/>
  <c r="X74" i="8" s="1"/>
  <c r="G155" i="8"/>
  <c r="G29" i="14" s="1"/>
  <c r="H46" i="17"/>
  <c r="G130" i="9"/>
  <c r="X62" i="9"/>
  <c r="G120" i="9"/>
  <c r="G36" i="14" s="1"/>
  <c r="W62" i="9"/>
  <c r="H41" i="17"/>
  <c r="I41" i="17" s="1"/>
  <c r="I39" i="17"/>
  <c r="H45" i="17"/>
  <c r="D131" i="9"/>
  <c r="D37" i="14"/>
  <c r="E131" i="9"/>
  <c r="E37" i="14"/>
  <c r="E83" i="8"/>
  <c r="E84" i="8" s="1"/>
  <c r="E156" i="8" s="1"/>
  <c r="V71" i="8"/>
  <c r="W71" i="8" s="1"/>
  <c r="D83" i="8"/>
  <c r="D84" i="8" s="1"/>
  <c r="D156" i="8" s="1"/>
  <c r="D29" i="14"/>
  <c r="D36" i="14"/>
  <c r="D123" i="9"/>
  <c r="G43" i="14" l="1"/>
  <c r="D13" i="14"/>
  <c r="N13" i="19"/>
  <c r="N14" i="19" s="1"/>
  <c r="O11" i="19" s="1"/>
  <c r="G12" i="14"/>
  <c r="G19" i="14" s="1"/>
  <c r="Q12" i="19"/>
  <c r="E13" i="14"/>
  <c r="O13" i="19"/>
  <c r="D38" i="14"/>
  <c r="W45" i="8"/>
  <c r="H47" i="17"/>
  <c r="I47" i="17" s="1"/>
  <c r="I45" i="17"/>
  <c r="W39" i="9"/>
  <c r="H130" i="9" s="1"/>
  <c r="I46" i="17"/>
  <c r="D14" i="14"/>
  <c r="D132" i="9"/>
  <c r="D158" i="8"/>
  <c r="E154" i="8" s="1"/>
  <c r="D167" i="8"/>
  <c r="D30" i="14"/>
  <c r="D31" i="14" s="1"/>
  <c r="E30" i="14"/>
  <c r="E167" i="8"/>
  <c r="O6" i="19" s="1"/>
  <c r="D43" i="14"/>
  <c r="X71" i="8"/>
  <c r="F155" i="8"/>
  <c r="F29" i="14" s="1"/>
  <c r="V73" i="8"/>
  <c r="W73" i="8" s="1"/>
  <c r="G83" i="8" s="1"/>
  <c r="G84" i="8" s="1"/>
  <c r="G156" i="8" s="1"/>
  <c r="X61" i="9"/>
  <c r="W61" i="9"/>
  <c r="G73" i="9" s="1"/>
  <c r="G74" i="9" s="1"/>
  <c r="G121" i="9" s="1"/>
  <c r="V61" i="9"/>
  <c r="F73" i="9" s="1"/>
  <c r="F74" i="9" s="1"/>
  <c r="F121" i="9" s="1"/>
  <c r="F120" i="9"/>
  <c r="F36" i="14" s="1"/>
  <c r="E119" i="9"/>
  <c r="D124" i="9"/>
  <c r="H12" i="14" l="1"/>
  <c r="R12" i="19"/>
  <c r="O14" i="19"/>
  <c r="P11" i="19" s="1"/>
  <c r="N15" i="19"/>
  <c r="D45" i="14"/>
  <c r="D6" i="14"/>
  <c r="D20" i="14" s="1"/>
  <c r="N6" i="19"/>
  <c r="D159" i="8"/>
  <c r="E6" i="14"/>
  <c r="H166" i="8"/>
  <c r="H155" i="8"/>
  <c r="H29" i="14" s="1"/>
  <c r="X75" i="8"/>
  <c r="E11" i="14"/>
  <c r="E14" i="14" s="1"/>
  <c r="D15" i="14"/>
  <c r="D5" i="15" s="1"/>
  <c r="D19" i="15" s="1"/>
  <c r="D27" i="15" s="1"/>
  <c r="F43" i="14"/>
  <c r="E129" i="9"/>
  <c r="D133" i="9"/>
  <c r="G131" i="9"/>
  <c r="G37" i="14"/>
  <c r="F37" i="14"/>
  <c r="F131" i="9"/>
  <c r="D44" i="14"/>
  <c r="E44" i="14"/>
  <c r="D168" i="8"/>
  <c r="G30" i="14"/>
  <c r="G167" i="8"/>
  <c r="Q6" i="19" s="1"/>
  <c r="D32" i="14"/>
  <c r="E158" i="8"/>
  <c r="F154" i="8" s="1"/>
  <c r="E123" i="9"/>
  <c r="F119" i="9" s="1"/>
  <c r="F83" i="8"/>
  <c r="F84" i="8" s="1"/>
  <c r="F156" i="8" s="1"/>
  <c r="F30" i="14" s="1"/>
  <c r="D39" i="14"/>
  <c r="E35" i="14"/>
  <c r="E38" i="14" s="1"/>
  <c r="X73" i="8"/>
  <c r="H83" i="8" l="1"/>
  <c r="H84" i="8" s="1"/>
  <c r="H156" i="8" s="1"/>
  <c r="D7" i="14"/>
  <c r="E4" i="14" s="1"/>
  <c r="N7" i="19"/>
  <c r="N8" i="19" s="1"/>
  <c r="O15" i="19"/>
  <c r="G13" i="14"/>
  <c r="Q13" i="19"/>
  <c r="H5" i="14"/>
  <c r="H19" i="14" s="1"/>
  <c r="R5" i="19"/>
  <c r="F13" i="14"/>
  <c r="P13" i="19"/>
  <c r="E124" i="9"/>
  <c r="G6" i="14"/>
  <c r="F11" i="14"/>
  <c r="E15" i="14"/>
  <c r="E5" i="15" s="1"/>
  <c r="E19" i="15" s="1"/>
  <c r="E27" i="15" s="1"/>
  <c r="E20" i="14"/>
  <c r="E132" i="9"/>
  <c r="F129" i="9" s="1"/>
  <c r="H30" i="14"/>
  <c r="H167" i="8"/>
  <c r="F167" i="8"/>
  <c r="P6" i="19" s="1"/>
  <c r="G44" i="14"/>
  <c r="E165" i="8"/>
  <c r="D169" i="8"/>
  <c r="D46" i="14"/>
  <c r="E28" i="14"/>
  <c r="E159" i="8"/>
  <c r="F123" i="9"/>
  <c r="G119" i="9" s="1"/>
  <c r="X63" i="9"/>
  <c r="H73" i="9" s="1"/>
  <c r="H74" i="9" s="1"/>
  <c r="H121" i="9" s="1"/>
  <c r="H120" i="9"/>
  <c r="H36" i="14" s="1"/>
  <c r="H43" i="14" s="1"/>
  <c r="F158" i="8"/>
  <c r="G154" i="8" s="1"/>
  <c r="E39" i="14"/>
  <c r="F35" i="14"/>
  <c r="F38" i="14" s="1"/>
  <c r="D8" i="14" l="1"/>
  <c r="D21" i="14"/>
  <c r="F14" i="14"/>
  <c r="G11" i="14" s="1"/>
  <c r="G14" i="14" s="1"/>
  <c r="P14" i="19"/>
  <c r="Q11" i="19" s="1"/>
  <c r="O4" i="19"/>
  <c r="H6" i="14"/>
  <c r="R6" i="19"/>
  <c r="F6" i="14"/>
  <c r="D22" i="14"/>
  <c r="D4" i="15"/>
  <c r="G20" i="14"/>
  <c r="E7" i="14"/>
  <c r="E18" i="14"/>
  <c r="F124" i="9"/>
  <c r="F132" i="9"/>
  <c r="G129" i="9" s="1"/>
  <c r="H131" i="9"/>
  <c r="R13" i="19" s="1"/>
  <c r="H37" i="14"/>
  <c r="E133" i="9"/>
  <c r="E168" i="8"/>
  <c r="F165" i="8" s="1"/>
  <c r="F44" i="14"/>
  <c r="E31" i="14"/>
  <c r="E32" i="14" s="1"/>
  <c r="E42" i="14"/>
  <c r="F159" i="8"/>
  <c r="G158" i="8"/>
  <c r="H154" i="8" s="1"/>
  <c r="H158" i="8" s="1"/>
  <c r="H159" i="8" s="1"/>
  <c r="G123" i="9"/>
  <c r="H119" i="9" s="1"/>
  <c r="H123" i="9" s="1"/>
  <c r="H124" i="9" s="1"/>
  <c r="F39" i="14"/>
  <c r="G35" i="14"/>
  <c r="G38" i="14" s="1"/>
  <c r="F15" i="14" l="1"/>
  <c r="F5" i="15" s="1"/>
  <c r="F19" i="15" s="1"/>
  <c r="F27" i="15" s="1"/>
  <c r="O7" i="19"/>
  <c r="O8" i="19" s="1"/>
  <c r="Q14" i="19"/>
  <c r="R11" i="19" s="1"/>
  <c r="P15" i="19"/>
  <c r="F133" i="9"/>
  <c r="F4" i="14"/>
  <c r="E21" i="14"/>
  <c r="H11" i="14"/>
  <c r="G15" i="14"/>
  <c r="G5" i="15" s="1"/>
  <c r="G19" i="15" s="1"/>
  <c r="G27" i="15" s="1"/>
  <c r="D18" i="15"/>
  <c r="D26" i="15" s="1"/>
  <c r="D28" i="15" s="1"/>
  <c r="D6" i="15"/>
  <c r="F20" i="14"/>
  <c r="H13" i="14"/>
  <c r="E8" i="14"/>
  <c r="H44" i="14"/>
  <c r="G132" i="9"/>
  <c r="H129" i="9" s="1"/>
  <c r="G124" i="9"/>
  <c r="E169" i="8"/>
  <c r="F168" i="8"/>
  <c r="G165" i="8" s="1"/>
  <c r="E46" i="14"/>
  <c r="F28" i="14"/>
  <c r="E45" i="14"/>
  <c r="G159" i="8"/>
  <c r="H35" i="14"/>
  <c r="G39" i="14"/>
  <c r="P4" i="19" l="1"/>
  <c r="Q15" i="19"/>
  <c r="R14" i="19"/>
  <c r="R15" i="19" s="1"/>
  <c r="D20" i="15"/>
  <c r="E22" i="14"/>
  <c r="E4" i="15"/>
  <c r="E18" i="15" s="1"/>
  <c r="E26" i="15" s="1"/>
  <c r="E28" i="15" s="1"/>
  <c r="H14" i="14"/>
  <c r="H15" i="14" s="1"/>
  <c r="H5" i="15" s="1"/>
  <c r="H19" i="15" s="1"/>
  <c r="H27" i="15" s="1"/>
  <c r="H20" i="14"/>
  <c r="F7" i="14"/>
  <c r="F8" i="14" s="1"/>
  <c r="F18" i="14"/>
  <c r="F169" i="8"/>
  <c r="G133" i="9"/>
  <c r="H132" i="9"/>
  <c r="H133" i="9" s="1"/>
  <c r="G168" i="8"/>
  <c r="H165" i="8" s="1"/>
  <c r="F31" i="14"/>
  <c r="F42" i="14"/>
  <c r="H38" i="14"/>
  <c r="H39" i="14" s="1"/>
  <c r="P7" i="19" l="1"/>
  <c r="P8" i="19" s="1"/>
  <c r="E6" i="15"/>
  <c r="F22" i="14"/>
  <c r="F4" i="15"/>
  <c r="F18" i="15" s="1"/>
  <c r="F26" i="15" s="1"/>
  <c r="G4" i="14"/>
  <c r="F21" i="14"/>
  <c r="G169" i="8"/>
  <c r="E20" i="15"/>
  <c r="H168" i="8"/>
  <c r="H169" i="8" s="1"/>
  <c r="F45" i="14"/>
  <c r="G28" i="14"/>
  <c r="F32" i="14"/>
  <c r="Q4" i="19" l="1"/>
  <c r="G7" i="14"/>
  <c r="G8" i="14" s="1"/>
  <c r="G18" i="14"/>
  <c r="F46" i="14"/>
  <c r="G31" i="14"/>
  <c r="G32" i="14" s="1"/>
  <c r="G42" i="14"/>
  <c r="Q7" i="19" l="1"/>
  <c r="Q8" i="19" s="1"/>
  <c r="G22" i="14"/>
  <c r="G4" i="15"/>
  <c r="G18" i="15" s="1"/>
  <c r="G26" i="15" s="1"/>
  <c r="H4" i="14"/>
  <c r="G21" i="14"/>
  <c r="G46" i="14"/>
  <c r="G45" i="14"/>
  <c r="H28" i="14"/>
  <c r="F6" i="15"/>
  <c r="R4" i="19" l="1"/>
  <c r="H18" i="14"/>
  <c r="H7" i="14"/>
  <c r="H21" i="14" s="1"/>
  <c r="H42" i="14"/>
  <c r="H31" i="14"/>
  <c r="G6" i="15"/>
  <c r="R7" i="19" l="1"/>
  <c r="H8" i="14"/>
  <c r="H22" i="14" s="1"/>
  <c r="H32" i="14"/>
  <c r="H45" i="14"/>
  <c r="F20" i="15"/>
  <c r="F28" i="15"/>
  <c r="R8" i="19" l="1"/>
  <c r="H4" i="15"/>
  <c r="H18" i="15" s="1"/>
  <c r="H26" i="15" s="1"/>
  <c r="H46" i="14"/>
  <c r="G20" i="15"/>
  <c r="G28" i="15"/>
  <c r="H6" i="15" l="1"/>
  <c r="H20" i="15" l="1"/>
  <c r="H28" i="15"/>
</calcChain>
</file>

<file path=xl/sharedStrings.xml><?xml version="1.0" encoding="utf-8"?>
<sst xmlns="http://schemas.openxmlformats.org/spreadsheetml/2006/main" count="1395" uniqueCount="289">
  <si>
    <t>Index of tabs</t>
  </si>
  <si>
    <t>Category</t>
  </si>
  <si>
    <t>Tab name</t>
  </si>
  <si>
    <t>Overview of contents</t>
  </si>
  <si>
    <t>Main inputs</t>
  </si>
  <si>
    <t>Inflation</t>
  </si>
  <si>
    <t>RAB inputs</t>
  </si>
  <si>
    <t>Calcs</t>
  </si>
  <si>
    <t>Return</t>
  </si>
  <si>
    <t>Results</t>
  </si>
  <si>
    <t>Unit</t>
  </si>
  <si>
    <t>Index</t>
  </si>
  <si>
    <t>Inflation indices</t>
  </si>
  <si>
    <t>Reported CPIH in April of the year (e.g. April 2019 for 2018/19)</t>
  </si>
  <si>
    <t>Reported RPI in April of the year (e.g. April 2014 for 2013/14)</t>
  </si>
  <si>
    <t>2010/11</t>
  </si>
  <si>
    <t>2011/12</t>
  </si>
  <si>
    <t>2012/13</t>
  </si>
  <si>
    <t>2013/14</t>
  </si>
  <si>
    <t>2014/15</t>
  </si>
  <si>
    <t>2015/16</t>
  </si>
  <si>
    <t>2016/17</t>
  </si>
  <si>
    <t>2017/18</t>
  </si>
  <si>
    <t>2018/19</t>
  </si>
  <si>
    <t>2019/20</t>
  </si>
  <si>
    <t>Assumed annual growth rate in CPIH (from 2020/21 onwards)</t>
  </si>
  <si>
    <t>%</t>
  </si>
  <si>
    <t>2020/21</t>
  </si>
  <si>
    <t>2021/22</t>
  </si>
  <si>
    <t>2022/23</t>
  </si>
  <si>
    <t>2023/24</t>
  </si>
  <si>
    <t>20124/25</t>
  </si>
  <si>
    <t>Transition of RAB indexation from 2014 RPI to 2019 CPIH</t>
  </si>
  <si>
    <t>RAB calculations</t>
  </si>
  <si>
    <t>Indexation</t>
  </si>
  <si>
    <t>Units</t>
  </si>
  <si>
    <t>2024/25</t>
  </si>
  <si>
    <t>CPIH conversion factor from nominal to base year 2018/19 (historical)</t>
  </si>
  <si>
    <t>Factor</t>
  </si>
  <si>
    <t>Uplift to be applied to 2019/20 RAB (in RPI) to calculate 2020/21 RAB (in CPIH)</t>
  </si>
  <si>
    <t>Asset life assumptions for regulatory depreciation</t>
  </si>
  <si>
    <t>In period ending</t>
  </si>
  <si>
    <t>Non-building assets</t>
  </si>
  <si>
    <t>Years</t>
  </si>
  <si>
    <t>Building assets</t>
  </si>
  <si>
    <t>Capital expenditure reported by SONI for the 2015-20 period</t>
  </si>
  <si>
    <t>Price base</t>
  </si>
  <si>
    <t>Total</t>
  </si>
  <si>
    <t>£000s</t>
  </si>
  <si>
    <t>April 2014 RPI</t>
  </si>
  <si>
    <t>Non-Building assets - Application of 50% cost sharing for the 2015-20 period</t>
  </si>
  <si>
    <t>Start date</t>
  </si>
  <si>
    <t>End date</t>
  </si>
  <si>
    <t>Allowed RAB additions for 01/10/2015 to 30/09/2020</t>
  </si>
  <si>
    <t>RAB: Non-Building assets</t>
  </si>
  <si>
    <t>Legacy (pre-2015) additions and depreciation</t>
  </si>
  <si>
    <t xml:space="preserve">Additions before 31/03/2010 </t>
  </si>
  <si>
    <t>DT additions before 31/03/2010</t>
  </si>
  <si>
    <t>Allowed RAB additions for 01/04/2010 to 30/09/2015</t>
  </si>
  <si>
    <t>Hardcoded depreciation allowances for pre-2007 assets</t>
  </si>
  <si>
    <t>Hardcoded depreciation allowances for assets funded through Dt (1)</t>
  </si>
  <si>
    <t>Hardcoded depreciation allowances for assets funded through Dt (2)</t>
  </si>
  <si>
    <t>April 2019 CPIH</t>
  </si>
  <si>
    <t>Depreciation calculations</t>
  </si>
  <si>
    <t>–</t>
  </si>
  <si>
    <t>Period ending</t>
  </si>
  <si>
    <t>Months in period</t>
  </si>
  <si>
    <t>For RAB additions in period ending</t>
  </si>
  <si>
    <t>pre 1/11/07</t>
  </si>
  <si>
    <t>30/09/2009 (Dt)</t>
  </si>
  <si>
    <t>30/03/2010 (Dt)</t>
  </si>
  <si>
    <t>Modelled depreciation on pre-2020 assets</t>
  </si>
  <si>
    <t>Modelled depreciation on post-2020 assets</t>
  </si>
  <si>
    <t>RAB: Building assets</t>
  </si>
  <si>
    <t>Opening RAB</t>
  </si>
  <si>
    <t>Depreciation</t>
  </si>
  <si>
    <t>Closing RAB</t>
  </si>
  <si>
    <t>Average RAB</t>
  </si>
  <si>
    <t>Modelled RAB up to 30 September 2020</t>
  </si>
  <si>
    <t>Additions (allowed)</t>
  </si>
  <si>
    <t>Additions (50% cost sharing during 2015-20 period)</t>
  </si>
  <si>
    <t>Modelled depreciaton</t>
  </si>
  <si>
    <t>Non-Building assets</t>
  </si>
  <si>
    <t>Capex overspend for 2010-15</t>
  </si>
  <si>
    <t>Building</t>
  </si>
  <si>
    <t>Allowed additions</t>
  </si>
  <si>
    <t>Modelled depreciation</t>
  </si>
  <si>
    <t>Nominal</t>
  </si>
  <si>
    <t>Inputs from the post-CMA financial model for 2015-20</t>
  </si>
  <si>
    <t>Opening value on 1 November 2007</t>
  </si>
  <si>
    <t>Legacy (pre-2015) RAB additions and depreciation</t>
  </si>
  <si>
    <t>Dt additions before 31/03/2010</t>
  </si>
  <si>
    <t>Additions in the price control for 01/04/2010 to 30/09/2015</t>
  </si>
  <si>
    <t>2015-20 RAB additions and depreciation in the post-CMA model</t>
  </si>
  <si>
    <t>Depreciation allowance for 01/10/2015 to 30/09/2020</t>
  </si>
  <si>
    <t>Opening value on 1 October 2010</t>
  </si>
  <si>
    <t>Allowed additions for 01/04/2010 to 30/09/2015</t>
  </si>
  <si>
    <t>Forecast RAB additions for 01/10/2015 to 30/09/2020</t>
  </si>
  <si>
    <t>Allowances for Capex overspends in the 2010-15 period</t>
  </si>
  <si>
    <t>Allowed RAB additions</t>
  </si>
  <si>
    <t>Allowed depreciation</t>
  </si>
  <si>
    <t>Split between Non-building and building RABs</t>
  </si>
  <si>
    <t>Reported overspends by SONI during 2010-15</t>
  </si>
  <si>
    <t>Split</t>
  </si>
  <si>
    <t>Non-building</t>
  </si>
  <si>
    <t>Conversion from April 2019 CPIH to nominal</t>
  </si>
  <si>
    <t>RPI conversion factor to real (April 2020 RPI)</t>
  </si>
  <si>
    <t>RPI conversion factor to nominal from (April 2014 RPI)</t>
  </si>
  <si>
    <t>In April 2014 RPI terms</t>
  </si>
  <si>
    <t>Modelled depreciation (2015-20)</t>
  </si>
  <si>
    <t>Difference</t>
  </si>
  <si>
    <t>Non-Building</t>
  </si>
  <si>
    <t>In April 2019 CPIH terms</t>
  </si>
  <si>
    <t>Adjustment to depreciation during the 2020-25 period</t>
  </si>
  <si>
    <t>Profile (for building and non-building RAB)</t>
  </si>
  <si>
    <t>Building assets - Application of 50% cost sharing for the 2015-20 period</t>
  </si>
  <si>
    <t>31/09/2021</t>
  </si>
  <si>
    <t>31/09/2022</t>
  </si>
  <si>
    <t>31/09/2023</t>
  </si>
  <si>
    <t>31/09/2024</t>
  </si>
  <si>
    <t>31/09/2025</t>
  </si>
  <si>
    <t>Legacy (pre-2015) additions</t>
  </si>
  <si>
    <t>Allowed RAB additions 1/04/2010 to 30/09/2015</t>
  </si>
  <si>
    <t>RAB Summary (April 2019 CPIH indexed)</t>
  </si>
  <si>
    <t>RAB returns</t>
  </si>
  <si>
    <t>Total return on RAB</t>
  </si>
  <si>
    <t>WACC Calculations</t>
  </si>
  <si>
    <t>Pre-tax WACC</t>
  </si>
  <si>
    <t>Additional Allowances (in period)</t>
  </si>
  <si>
    <t>Capex allowances subject to cost-sharing</t>
  </si>
  <si>
    <t xml:space="preserve">Total Allowances </t>
  </si>
  <si>
    <t>Actual Expenditure (Nominal)</t>
  </si>
  <si>
    <t>RAB Summary (Nominal)</t>
  </si>
  <si>
    <t>Return on RAB (Nominal)</t>
  </si>
  <si>
    <t>RAB - NB</t>
  </si>
  <si>
    <t>RAB - Build</t>
  </si>
  <si>
    <t>This sheet calculates the different elements of the non-building RAB for the 2020-2025 period.</t>
  </si>
  <si>
    <t>This sheet calculates the different elements of the building RAB for the 2020-2025 period.</t>
  </si>
  <si>
    <t>The sheet illustrates the return from the buildings &amp; non-building RAB which should be recovered from customers.</t>
  </si>
  <si>
    <t>Final Determinations</t>
  </si>
  <si>
    <r>
      <t xml:space="preserve">Ex ante allowances for RAB additions: Non-building RAB (subject to mechanistic cost sharing) - </t>
    </r>
    <r>
      <rPr>
        <b/>
        <sz val="10"/>
        <color theme="1"/>
        <rFont val="Arial"/>
        <family val="2"/>
      </rPr>
      <t>[UC_NBt]</t>
    </r>
  </si>
  <si>
    <r>
      <t xml:space="preserve">Ex ante allowances for RAB additions: Non-building RAB (subject to conditional cost sharing) - </t>
    </r>
    <r>
      <rPr>
        <b/>
        <sz val="10"/>
        <color theme="1"/>
        <rFont val="Arial"/>
        <family val="2"/>
      </rPr>
      <t>[BC_NBt]</t>
    </r>
  </si>
  <si>
    <r>
      <t xml:space="preserve">Ex ante allowances for RAB additions: Building RAB (subject to conditional cost sharing) - </t>
    </r>
    <r>
      <rPr>
        <b/>
        <sz val="10"/>
        <color theme="1"/>
        <rFont val="Arial"/>
        <family val="2"/>
      </rPr>
      <t>[BC_BDt]</t>
    </r>
  </si>
  <si>
    <r>
      <t xml:space="preserve">Ex ante allowances for RAB additions: Building RAB (subject to mechanistic cost sharing) - </t>
    </r>
    <r>
      <rPr>
        <b/>
        <sz val="10"/>
        <color theme="1"/>
        <rFont val="Arial"/>
        <family val="2"/>
      </rPr>
      <t>[UC_BDt]</t>
    </r>
  </si>
  <si>
    <t>Post FD Inputs</t>
  </si>
  <si>
    <r>
      <t xml:space="preserve">Actual Spend on Non-building RAB (subject to conditional cost sharing) - </t>
    </r>
    <r>
      <rPr>
        <b/>
        <sz val="10"/>
        <color theme="1"/>
        <rFont val="Arial"/>
        <family val="2"/>
      </rPr>
      <t>[AC_NBt]</t>
    </r>
  </si>
  <si>
    <r>
      <t xml:space="preserve">Actual Spend on Non-building RAB (subject to mechanistic cost sharing) - </t>
    </r>
    <r>
      <rPr>
        <b/>
        <sz val="10"/>
        <color theme="1"/>
        <rFont val="Arial"/>
        <family val="2"/>
      </rPr>
      <t>[AC_NBt]</t>
    </r>
  </si>
  <si>
    <r>
      <t>Actual Spend on Building RAB (subject to conditional cost sharing)</t>
    </r>
    <r>
      <rPr>
        <b/>
        <sz val="10"/>
        <color theme="1"/>
        <rFont val="Arial"/>
        <family val="2"/>
      </rPr>
      <t xml:space="preserve"> - [AC_BDt]</t>
    </r>
  </si>
  <si>
    <r>
      <t>Actual Spend on Building RAB (subject to mechanistic cost sharing)</t>
    </r>
    <r>
      <rPr>
        <b/>
        <sz val="10"/>
        <color theme="1"/>
        <rFont val="Arial"/>
        <family val="2"/>
      </rPr>
      <t xml:space="preserve"> - [AC_BDt]</t>
    </r>
  </si>
  <si>
    <t>Cost Sharing Calculations</t>
  </si>
  <si>
    <t>Additional UR Allowances (in period)</t>
  </si>
  <si>
    <t>Actual SONI Expenditure (Nominal)</t>
  </si>
  <si>
    <t>Total Allowance: Non-building RAB - [C_NBt]</t>
  </si>
  <si>
    <t>Total Allowance: Building RAB - [C_BDt]</t>
  </si>
  <si>
    <t>Total actual capital spend for buildings and non-buildings RAB - [AC_Rt]</t>
  </si>
  <si>
    <t>Total Spend: Non-building RAB - [AC_NBt]</t>
  </si>
  <si>
    <t>Total Spend: Building RAB - [AC_BDt]</t>
  </si>
  <si>
    <t>UR Decisions on Conditional Cost Sharing</t>
  </si>
  <si>
    <t>Total additional capex allowance for buildings and non-buildings RAB - [V_Rt]</t>
  </si>
  <si>
    <t>Total actual capital spend for non-buildings RAB - [AC_NBt]</t>
  </si>
  <si>
    <t>Total actual capital spend for buildings RAB - [AC_BDt]</t>
  </si>
  <si>
    <r>
      <t xml:space="preserve">UR decision on Non-building RAB conditional cost sharing adjustment - </t>
    </r>
    <r>
      <rPr>
        <b/>
        <sz val="10"/>
        <color theme="1"/>
        <rFont val="Arial"/>
        <family val="2"/>
      </rPr>
      <t>[CSCA_NBt]</t>
    </r>
  </si>
  <si>
    <r>
      <t>UR decision on Building RAB conditional cost sharing adjustment</t>
    </r>
    <r>
      <rPr>
        <b/>
        <sz val="10"/>
        <color theme="1"/>
        <rFont val="Arial"/>
        <family val="2"/>
      </rPr>
      <t xml:space="preserve"> - [CSCA_BDt]</t>
    </r>
  </si>
  <si>
    <t>Total buildings and non-buildings RAB conditional cost sharing adjustment - [CSCA_Rt]</t>
  </si>
  <si>
    <r>
      <t>Non-Building RAB</t>
    </r>
    <r>
      <rPr>
        <b/>
        <sz val="10"/>
        <color theme="1"/>
        <rFont val="Arial"/>
        <family val="2"/>
      </rPr>
      <t xml:space="preserve"> - [CSC_NBt]</t>
    </r>
  </si>
  <si>
    <t>Cost Sharing RAB Additions</t>
  </si>
  <si>
    <t>RAB Additions</t>
  </si>
  <si>
    <r>
      <t>Non-Building RAB</t>
    </r>
    <r>
      <rPr>
        <b/>
        <sz val="10"/>
        <color theme="1"/>
        <rFont val="Arial"/>
        <family val="2"/>
      </rPr>
      <t xml:space="preserve"> - [C_NBt + CSC_NBt]</t>
    </r>
  </si>
  <si>
    <t>FD Allowances</t>
  </si>
  <si>
    <t>This sheet sets out the price control capex allowances for the buildings and non-buildings RAB.</t>
  </si>
  <si>
    <t>Cost Sharing</t>
  </si>
  <si>
    <t>This sheet calculates the additions to the RAB as a result of mechanistic and conditional cost sharing.</t>
  </si>
  <si>
    <r>
      <t>Buildings RAB</t>
    </r>
    <r>
      <rPr>
        <b/>
        <sz val="10"/>
        <color theme="1"/>
        <rFont val="Arial"/>
        <family val="2"/>
      </rPr>
      <t xml:space="preserve"> - [C_BDt + CSC_BDt]</t>
    </r>
  </si>
  <si>
    <t>RAB outputs for the 2020-25 period (Non-building assets)</t>
  </si>
  <si>
    <r>
      <t xml:space="preserve">Opening RAB - </t>
    </r>
    <r>
      <rPr>
        <b/>
        <sz val="10"/>
        <color theme="1"/>
        <rFont val="Arial"/>
        <family val="2"/>
      </rPr>
      <t>[ORAB_NBt]</t>
    </r>
  </si>
  <si>
    <r>
      <t xml:space="preserve">Allowed additions - </t>
    </r>
    <r>
      <rPr>
        <b/>
        <sz val="10"/>
        <color theme="1"/>
        <rFont val="Arial"/>
        <family val="2"/>
      </rPr>
      <t>[C_NBt + CSC_NBt]</t>
    </r>
  </si>
  <si>
    <r>
      <t xml:space="preserve">Closing RAB - </t>
    </r>
    <r>
      <rPr>
        <b/>
        <sz val="10"/>
        <color theme="1"/>
        <rFont val="Arial"/>
        <family val="2"/>
      </rPr>
      <t>[CRAB_NBt]</t>
    </r>
  </si>
  <si>
    <t>CPIH conversion factor from base year (2018/19) to nominal</t>
  </si>
  <si>
    <t>RAB outputs for the 2020-25 period (Building assets)</t>
  </si>
  <si>
    <r>
      <t xml:space="preserve">Opening RAB - </t>
    </r>
    <r>
      <rPr>
        <b/>
        <sz val="10"/>
        <color theme="1"/>
        <rFont val="Arial"/>
        <family val="2"/>
      </rPr>
      <t>[ORAB_BDt]</t>
    </r>
  </si>
  <si>
    <r>
      <t xml:space="preserve">Allowed additions - </t>
    </r>
    <r>
      <rPr>
        <b/>
        <sz val="10"/>
        <color theme="1"/>
        <rFont val="Arial"/>
        <family val="2"/>
      </rPr>
      <t>[C_BDt + CSC_BDt]</t>
    </r>
  </si>
  <si>
    <r>
      <t xml:space="preserve">Closing RAB - </t>
    </r>
    <r>
      <rPr>
        <b/>
        <sz val="10"/>
        <color theme="1"/>
        <rFont val="Arial"/>
        <family val="2"/>
      </rPr>
      <t>[CRAB_BDt]</t>
    </r>
  </si>
  <si>
    <r>
      <t xml:space="preserve">Notional Gearing - </t>
    </r>
    <r>
      <rPr>
        <b/>
        <sz val="10"/>
        <color theme="1"/>
        <rFont val="Arial"/>
        <family val="2"/>
      </rPr>
      <t>[NGt]</t>
    </r>
  </si>
  <si>
    <r>
      <t xml:space="preserve">Cost of Debt - </t>
    </r>
    <r>
      <rPr>
        <b/>
        <sz val="10"/>
        <color theme="1"/>
        <rFont val="Arial"/>
        <family val="2"/>
      </rPr>
      <t>[CODt]</t>
    </r>
  </si>
  <si>
    <r>
      <t xml:space="preserve">Corporation Tax - </t>
    </r>
    <r>
      <rPr>
        <b/>
        <sz val="10"/>
        <color theme="1"/>
        <rFont val="Arial"/>
        <family val="2"/>
      </rPr>
      <t>[CTt]</t>
    </r>
  </si>
  <si>
    <t>Corporation Tax</t>
  </si>
  <si>
    <r>
      <t xml:space="preserve">Corporate Tax Rate - </t>
    </r>
    <r>
      <rPr>
        <b/>
        <sz val="10"/>
        <color theme="1"/>
        <rFont val="Arial"/>
        <family val="2"/>
      </rPr>
      <t>[CTt]</t>
    </r>
  </si>
  <si>
    <r>
      <t xml:space="preserve">Post Tax Cost of Equity - </t>
    </r>
    <r>
      <rPr>
        <b/>
        <sz val="10"/>
        <color theme="1"/>
        <rFont val="Arial"/>
        <family val="2"/>
      </rPr>
      <t>[COEt]</t>
    </r>
  </si>
  <si>
    <t>Return on RAB (April 2019 Prices)</t>
  </si>
  <si>
    <t>UR - TSO Price control 2020-25 (RAB Model)</t>
  </si>
  <si>
    <r>
      <t xml:space="preserve">This sheet sets out the inflation indices.  Cells in </t>
    </r>
    <r>
      <rPr>
        <sz val="10"/>
        <color rgb="FFFF0000"/>
        <rFont val="Arial"/>
        <family val="2"/>
      </rPr>
      <t>red text</t>
    </r>
    <r>
      <rPr>
        <sz val="10"/>
        <color theme="1"/>
        <rFont val="Arial"/>
        <family val="2"/>
      </rPr>
      <t xml:space="preserve"> are provisional values and must be updated as the price control develops.</t>
    </r>
  </si>
  <si>
    <r>
      <t xml:space="preserve">This sheet captures information which must be inputted throughout the price control.  This includes interim allowances, actual SONI spend, UR decisions regarding conditional cost sharing and changes to the corporation tax rate.  Cells in </t>
    </r>
    <r>
      <rPr>
        <sz val="10"/>
        <color rgb="FFFF0000"/>
        <rFont val="Arial"/>
        <family val="2"/>
      </rPr>
      <t>red text</t>
    </r>
    <r>
      <rPr>
        <sz val="10"/>
        <color theme="1"/>
        <rFont val="Arial"/>
        <family val="2"/>
      </rPr>
      <t xml:space="preserve"> are provisional values in line with allowances but should be updated with actual spend throughout the control period.</t>
    </r>
  </si>
  <si>
    <r>
      <t xml:space="preserve">Inflation forecasts used for provisional figures marked in </t>
    </r>
    <r>
      <rPr>
        <b/>
        <sz val="10"/>
        <color rgb="FFFF0000"/>
        <rFont val="Arial"/>
        <family val="2"/>
      </rPr>
      <t>red</t>
    </r>
  </si>
  <si>
    <t>This sheet contains input data for the calculation of the TSO's RAB. It draws on the post-CMA financial model for the 2015-20 period, the FD Financial Model, the current TSO licence, SONI's Business Plan submission and the RIGs return.</t>
  </si>
  <si>
    <r>
      <t>Additional ex ante non-building RAB additions approved during period (subject to mechanistic cost sharing) -</t>
    </r>
    <r>
      <rPr>
        <b/>
        <sz val="10"/>
        <color theme="1"/>
        <rFont val="Arial"/>
        <family val="2"/>
      </rPr>
      <t xml:space="preserve"> [V_NBt]</t>
    </r>
  </si>
  <si>
    <r>
      <t xml:space="preserve">Additional ex ante building RAB additions approved during period (subject to mechanistic cost sharing) - </t>
    </r>
    <r>
      <rPr>
        <b/>
        <sz val="10"/>
        <color theme="1"/>
        <rFont val="Arial"/>
        <family val="2"/>
      </rPr>
      <t>[V_BDt]</t>
    </r>
  </si>
  <si>
    <t>N/A</t>
  </si>
  <si>
    <t>2020-25 RAB additions (after cost sharing)</t>
  </si>
  <si>
    <t>Modelled depreciation for 2020-25</t>
  </si>
  <si>
    <r>
      <t xml:space="preserve">Net RAB depreciation - </t>
    </r>
    <r>
      <rPr>
        <b/>
        <sz val="10"/>
        <color theme="1"/>
        <rFont val="Arial"/>
        <family val="2"/>
      </rPr>
      <t>[DP_BDt]</t>
    </r>
  </si>
  <si>
    <r>
      <t xml:space="preserve">Net RAB depreciation - </t>
    </r>
    <r>
      <rPr>
        <b/>
        <sz val="10"/>
        <color theme="1"/>
        <rFont val="Arial"/>
        <family val="2"/>
      </rPr>
      <t>[DP_NBt]</t>
    </r>
  </si>
  <si>
    <t xml:space="preserve">Opening RAB </t>
  </si>
  <si>
    <t xml:space="preserve">Allowed additions </t>
  </si>
  <si>
    <t xml:space="preserve">Closing RAB </t>
  </si>
  <si>
    <t>Actual depreciation used for calculation of BIt term in post-CMA licence for 2015-20 period</t>
  </si>
  <si>
    <t>Ex ante allowance for RAB additions for 2015-20 period</t>
  </si>
  <si>
    <t>Allowed RAB additions for 2015-20 period after application of 50% cost sharing</t>
  </si>
  <si>
    <t>2015-20 additions</t>
  </si>
  <si>
    <t>Modelled depreciation for 2020-25 period</t>
  </si>
  <si>
    <t xml:space="preserve">Allowed RAB additions and depreciation for Capex overspends during 2010-2015 </t>
  </si>
  <si>
    <t>Allowed RAB additions after application of 50% cost sharing</t>
  </si>
  <si>
    <t>RAB inputs: Non-Building assets</t>
  </si>
  <si>
    <t>RAB depreciation allowances for 2015-20 period under post-CMA licence</t>
  </si>
  <si>
    <t>Ratio of modelled depreciation for building and non-building assets assumed for purposes of FD for 2020-25 control</t>
  </si>
  <si>
    <t>Profiled adjustment to depreciation allowances in 2020-25 period</t>
  </si>
  <si>
    <t>Allowed RAB additions for 2020-25 after cost sharing</t>
  </si>
  <si>
    <t>RAB depreciation allowances for 2015-20 period under post-CMA licence - allocation between Buildings RAB and Non-buildings RAB</t>
  </si>
  <si>
    <t>Allowed depreciation via Bt term</t>
  </si>
  <si>
    <t>Actual depreciation used for calculation of BIt term - allocation by RAB</t>
  </si>
  <si>
    <t>Depreciation allowed through the BIt term - allocation by RAB</t>
  </si>
  <si>
    <t>Total depreciation allowance under the Bt and BIt terms - allocation by RAB</t>
  </si>
  <si>
    <t>Evolution of RAB based on allowed depreciation (rather than modelled depreciation)</t>
  </si>
  <si>
    <t>Difference between modelled depreciation and allowed depreciation for 2015-20 period</t>
  </si>
  <si>
    <t>Allowed depreciation (2015-20)</t>
  </si>
  <si>
    <t>Modelled depreciation: up to 30 September 2020</t>
  </si>
  <si>
    <t>Total modelled depreciation for 2020-25 period</t>
  </si>
  <si>
    <t>Actual capital expenditure attributable to the non-buildings RAB (source: RIGS)</t>
  </si>
  <si>
    <t>Actual capital expenditure attributable to the buildings RAB (source: RIGS)</t>
  </si>
  <si>
    <t>Actual Spend attributable to Non-building RAB: costs subject to conditional cost sharing</t>
  </si>
  <si>
    <t>Actual Spend attributable to Non-building RAB: costs subject to mechanistic cost sharing</t>
  </si>
  <si>
    <t>Actual Spend attributable to Building RAB: costs subject to conditional cost sharing</t>
  </si>
  <si>
    <t>Actual Spend attributable to Building RAB: costs subject to mechanistic cost sharing</t>
  </si>
  <si>
    <t>Actual depreciation used in calculation of depreciation allowances for 2015-20 period</t>
  </si>
  <si>
    <t>Adjustment to depreciation during the 2020-25 period to reconcile for 2015-20 period</t>
  </si>
  <si>
    <t>Adjustment to modelled depreciation to reconcile for 2015-20 period</t>
  </si>
  <si>
    <t>NB: value for year t should be consistent with figures used as part of K factor calculations in year t+2</t>
  </si>
  <si>
    <t>RAB inputs: Building assets</t>
  </si>
  <si>
    <t>Allowed additions up to 2014/15</t>
  </si>
  <si>
    <t>Allowed additions for 2015-20 period after application of 50% cost sharing</t>
  </si>
  <si>
    <r>
      <t xml:space="preserve">Net RAB depreciation  - </t>
    </r>
    <r>
      <rPr>
        <b/>
        <sz val="10"/>
        <color theme="1"/>
        <rFont val="Arial"/>
        <family val="2"/>
      </rPr>
      <t>[DP_BDt]</t>
    </r>
  </si>
  <si>
    <t xml:space="preserve">Net RAB depreciation </t>
  </si>
  <si>
    <r>
      <t xml:space="preserve">Net RAB depreciation  - </t>
    </r>
    <r>
      <rPr>
        <b/>
        <sz val="10"/>
        <color theme="1"/>
        <rFont val="Arial"/>
        <family val="2"/>
      </rPr>
      <t>[DEP_BNBt]</t>
    </r>
  </si>
  <si>
    <t>RAB: Sub-total for building and non-building RAB</t>
  </si>
  <si>
    <t>Non-Building RAB</t>
  </si>
  <si>
    <t>Building RAB</t>
  </si>
  <si>
    <t>Sub-total for building and non-building RAB</t>
  </si>
  <si>
    <t>Total Return on building RAB and non-building RAB - [RET_BNBt]</t>
  </si>
  <si>
    <r>
      <t xml:space="preserve">Return on non-building RAB - </t>
    </r>
    <r>
      <rPr>
        <b/>
        <sz val="10"/>
        <color theme="1"/>
        <rFont val="Arial"/>
        <family val="2"/>
      </rPr>
      <t>[RT_NBt]</t>
    </r>
  </si>
  <si>
    <r>
      <t xml:space="preserve">Return on building RAB- </t>
    </r>
    <r>
      <rPr>
        <b/>
        <sz val="10"/>
        <color theme="1"/>
        <rFont val="Arial"/>
        <family val="2"/>
      </rPr>
      <t>[RT_BDt]</t>
    </r>
  </si>
  <si>
    <t>Return on RAB</t>
  </si>
  <si>
    <t>Average RAB values</t>
  </si>
  <si>
    <t>Total Return on building RAB and non-building RAB</t>
  </si>
  <si>
    <t>Return on non-building RAB</t>
  </si>
  <si>
    <t>Return on building RAB</t>
  </si>
  <si>
    <t>Total Allowance: Building &amp; Non-Buildings RAB</t>
  </si>
  <si>
    <t>Total RAB Additions for building RAB and non-building RAB</t>
  </si>
  <si>
    <r>
      <t>Building RAB</t>
    </r>
    <r>
      <rPr>
        <b/>
        <sz val="10"/>
        <color theme="1"/>
        <rFont val="Arial"/>
        <family val="2"/>
      </rPr>
      <t xml:space="preserve"> - [CSC_BDt]</t>
    </r>
  </si>
  <si>
    <t>Total cost sharing additions for building RAB and non-building RAB</t>
  </si>
  <si>
    <t>RAB depreciation</t>
  </si>
  <si>
    <t>Conversion of April 2019 prices to nominal using CPIH</t>
  </si>
  <si>
    <t>Conversion of April 2014 prices to nominal using RPI</t>
  </si>
  <si>
    <t>RAB: Capex overspend for 2010-15</t>
  </si>
  <si>
    <t>RAB Summary (2020-25)</t>
  </si>
  <si>
    <t>RAB Summary (from 2010)</t>
  </si>
  <si>
    <t>The sheet presents the evolution of the buildings RAB &amp; non-building RAB over the period 1 October 2020 to 30 September 2025</t>
  </si>
  <si>
    <t>The sheet presents the evolution of the buildings RAB, non-building RAB and the RAB for capex overspend (2010-15) over the period 1 October 2010 to 30 September 2025</t>
  </si>
  <si>
    <t>Guidance on Updating of the RAB Model Spreadsheet</t>
  </si>
  <si>
    <r>
      <t xml:space="preserve">3) All other cells should be fixed or calculated by pre-determined formula.  Any changes to the fixed values in the </t>
    </r>
    <r>
      <rPr>
        <i/>
        <sz val="10"/>
        <color theme="1"/>
        <rFont val="Arial"/>
        <family val="2"/>
      </rPr>
      <t>RAB Inputs</t>
    </r>
    <r>
      <rPr>
        <sz val="10"/>
        <color theme="1"/>
        <rFont val="Arial"/>
        <family val="2"/>
      </rPr>
      <t xml:space="preserve"> tab or other formula will require consultation with SONI. </t>
    </r>
  </si>
  <si>
    <t xml:space="preserve">2) Each year various cells in the model will require updating.  This includes the following:    </t>
  </si>
  <si>
    <t>If historical data does need to be revised or corrected this will feed through into impacts on calculation of the revenue control correction factor (K factor) in subsequent years.</t>
  </si>
  <si>
    <r>
      <rPr>
        <b/>
        <sz val="10"/>
        <color theme="1"/>
        <rFont val="Arial"/>
        <family val="2"/>
      </rPr>
      <t xml:space="preserve">Step 1: </t>
    </r>
    <r>
      <rPr>
        <sz val="10"/>
        <color theme="1"/>
        <rFont val="Arial"/>
        <family val="2"/>
      </rPr>
      <t>By 31 January SONI will submit the RIGS return alongside it's CCS assessment.</t>
    </r>
  </si>
  <si>
    <r>
      <rPr>
        <b/>
        <sz val="10"/>
        <color theme="1"/>
        <rFont val="Arial"/>
        <family val="2"/>
      </rPr>
      <t xml:space="preserve">Step 4: </t>
    </r>
    <r>
      <rPr>
        <sz val="10"/>
        <color theme="1"/>
        <rFont val="Arial"/>
        <family val="2"/>
      </rPr>
      <t>Review of actual spend by UR and draft assessment of CCS (all of March).</t>
    </r>
  </si>
  <si>
    <r>
      <rPr>
        <b/>
        <sz val="10"/>
        <color theme="1"/>
        <rFont val="Arial"/>
        <family val="2"/>
      </rPr>
      <t xml:space="preserve">Step 5: </t>
    </r>
    <r>
      <rPr>
        <sz val="10"/>
        <color theme="1"/>
        <rFont val="Arial"/>
        <family val="2"/>
      </rPr>
      <t>SONI respond to draft CCS decision (mid-April).</t>
    </r>
  </si>
  <si>
    <r>
      <rPr>
        <b/>
        <sz val="10"/>
        <color theme="1"/>
        <rFont val="Arial"/>
        <family val="2"/>
      </rPr>
      <t xml:space="preserve">Step 6: </t>
    </r>
    <r>
      <rPr>
        <sz val="10"/>
        <color theme="1"/>
        <rFont val="Arial"/>
        <family val="2"/>
      </rPr>
      <t>UR make CCS decision (mid-May).</t>
    </r>
  </si>
  <si>
    <r>
      <rPr>
        <b/>
        <sz val="10"/>
        <color theme="1"/>
        <rFont val="Arial"/>
        <family val="2"/>
      </rPr>
      <t xml:space="preserve">Step 8: </t>
    </r>
    <r>
      <rPr>
        <sz val="10"/>
        <color theme="1"/>
        <rFont val="Arial"/>
        <family val="2"/>
      </rPr>
      <t>SONI raise any comments or issues with the model (early June).</t>
    </r>
  </si>
  <si>
    <r>
      <rPr>
        <b/>
        <sz val="10"/>
        <color theme="1"/>
        <rFont val="Arial"/>
        <family val="2"/>
      </rPr>
      <t xml:space="preserve">Step 9: </t>
    </r>
    <r>
      <rPr>
        <sz val="10"/>
        <color theme="1"/>
        <rFont val="Arial"/>
        <family val="2"/>
      </rPr>
      <t>UR issue a final model with depreciation and return to be used in tariffs and K-factor calculations (mid-June).</t>
    </r>
  </si>
  <si>
    <r>
      <rPr>
        <b/>
        <sz val="10"/>
        <color theme="1"/>
        <rFont val="Arial"/>
        <family val="2"/>
      </rPr>
      <t xml:space="preserve">Step 10: </t>
    </r>
    <r>
      <rPr>
        <sz val="10"/>
        <color theme="1"/>
        <rFont val="Arial"/>
        <family val="2"/>
      </rPr>
      <t>SONI submit tariffs (early July).</t>
    </r>
  </si>
  <si>
    <t xml:space="preserve">6) Use of actual spend in the RAB model as reported in the RIGS should not be taken as acceptance or endorsement of these figures.  Any later DIWE reviews or corrections to SONI's reported data may require amendment of the model's input data. </t>
  </si>
  <si>
    <t>5) Overview of Annual Process</t>
  </si>
  <si>
    <r>
      <rPr>
        <b/>
        <sz val="10"/>
        <color theme="1"/>
        <rFont val="Arial"/>
        <family val="2"/>
      </rPr>
      <t xml:space="preserve">Step 2: </t>
    </r>
    <r>
      <rPr>
        <sz val="10"/>
        <color theme="1"/>
        <rFont val="Arial"/>
        <family val="2"/>
      </rPr>
      <t xml:space="preserve">UR undertake review of RIGS submission and verification of under/over spend against allowances (mid-February). </t>
    </r>
    <r>
      <rPr>
        <i/>
        <sz val="10"/>
        <color theme="1"/>
        <rFont val="Arial"/>
        <family val="2"/>
      </rPr>
      <t>N.B.</t>
    </r>
    <r>
      <rPr>
        <sz val="10"/>
        <color theme="1"/>
        <rFont val="Arial"/>
        <family val="2"/>
      </rPr>
      <t xml:space="preserve"> This stage could be subject to delay if there are queries or concerns about the input data quality of the RIGS.</t>
    </r>
  </si>
  <si>
    <t xml:space="preserve">1) The RAB model will need to be updated on an annual basis to account for actual spend and various UR decisions.  This guidance reflects the typical approach to the annual process, but may be subject to change if there are data concerns.  </t>
  </si>
  <si>
    <t>a) CPIH / RPI inflation as published by the ONS.</t>
  </si>
  <si>
    <r>
      <t xml:space="preserve">b) Additional ex-ante allowances for building and non-buildings [Population of cells in tab </t>
    </r>
    <r>
      <rPr>
        <i/>
        <sz val="10"/>
        <color theme="1"/>
        <rFont val="Arial"/>
        <family val="2"/>
      </rPr>
      <t>‘Post FD Inputs’</t>
    </r>
    <r>
      <rPr>
        <sz val="10"/>
        <color theme="1"/>
        <rFont val="Arial"/>
        <family val="2"/>
      </rPr>
      <t xml:space="preserve"> in cell range D5 to H6, depending on the year, uncertainty mechanism used and relevant RAB].</t>
    </r>
  </si>
  <si>
    <r>
      <t xml:space="preserve">c) Actual capital spend for buildings and non-building projects [Population of cells in tab </t>
    </r>
    <r>
      <rPr>
        <i/>
        <sz val="10"/>
        <color theme="1"/>
        <rFont val="Arial"/>
        <family val="2"/>
      </rPr>
      <t>‘Post FD Inputs’</t>
    </r>
    <r>
      <rPr>
        <sz val="10"/>
        <color theme="1"/>
        <rFont val="Arial"/>
        <family val="2"/>
      </rPr>
      <t xml:space="preserve"> in cell range D11 to H12 and D15 to H16, depending on the year, uncertainty mechanism used and relevant RAB].</t>
    </r>
  </si>
  <si>
    <r>
      <t xml:space="preserve">d) UR decisions on conditional cost sharing (CCS) [Population of cells in tab </t>
    </r>
    <r>
      <rPr>
        <i/>
        <sz val="10"/>
        <color theme="1"/>
        <rFont val="Arial"/>
        <family val="2"/>
      </rPr>
      <t>‘Post FD Inputs’</t>
    </r>
    <r>
      <rPr>
        <sz val="10"/>
        <color theme="1"/>
        <rFont val="Arial"/>
        <family val="2"/>
      </rPr>
      <t xml:space="preserve"> in cell range D24 to H25, depending on the year and relevant RAB]. </t>
    </r>
  </si>
  <si>
    <t>e) Any change to the main corporate tax rate as published by HMRC.</t>
  </si>
  <si>
    <t>4) All changes to the RAB model will be made by the UR in co-operation with SONI.</t>
  </si>
  <si>
    <r>
      <rPr>
        <b/>
        <sz val="10"/>
        <color theme="1"/>
        <rFont val="Arial"/>
        <family val="2"/>
      </rPr>
      <t xml:space="preserve">Step 3: </t>
    </r>
    <r>
      <rPr>
        <sz val="10"/>
        <color theme="1"/>
        <rFont val="Arial"/>
        <family val="2"/>
      </rPr>
      <t>Application of CCS materiality threshold (end of February). [Draft model may be shared with SONI at this time pending any decisions on CCS or interim allowances].</t>
    </r>
  </si>
  <si>
    <r>
      <rPr>
        <b/>
        <sz val="10"/>
        <color theme="1"/>
        <rFont val="Arial"/>
        <family val="2"/>
      </rPr>
      <t xml:space="preserve">Step 7: </t>
    </r>
    <r>
      <rPr>
        <sz val="10"/>
        <color theme="1"/>
        <rFont val="Arial"/>
        <family val="2"/>
      </rPr>
      <t>UR issue draft of the model to SONI incorporating inflation adjustments, actual spend from RIGS, CCS decisions and any interim UR allowances which can be submitted and approved at any time throughout the year (before end of May).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</si>
</sst>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0.0"/>
    <numFmt numFmtId="166" formatCode="0.000"/>
    <numFmt numFmtId="167" formatCode="0.000000"/>
    <numFmt numFmtId="168" formatCode="0.0000"/>
    <numFmt numFmtId="169" formatCode="_-* #,##0_-;\-* #,##0_-;_-* &quot;-&quot;??_-;_-@_-"/>
    <numFmt numFmtId="170" formatCode="#,##0_ ;[Red]\-#,##0\ "/>
    <numFmt numFmtId="171" formatCode="0_ ;[Red]\-0\ "/>
    <numFmt numFmtId="172" formatCode="0.000_ ;[Red]\-0.000\ "/>
    <numFmt numFmtId="173" formatCode="#,##0.0000_ ;[Red]\-#,##0.0000\ "/>
    <numFmt numFmtId="174" formatCode="#,##0.000000_ ;[Red]\-#,##0.000000\ "/>
    <numFmt numFmtId="175" formatCode="#,##0.00000"/>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1"/>
      <name val="Arial"/>
      <family val="2"/>
    </font>
    <font>
      <b/>
      <sz val="10"/>
      <name val="Arial"/>
      <family val="2"/>
    </font>
    <font>
      <b/>
      <sz val="10"/>
      <color theme="1"/>
      <name val="Arial"/>
      <family val="2"/>
    </font>
    <font>
      <b/>
      <sz val="10"/>
      <color rgb="FFFF0000"/>
      <name val="Arial"/>
      <family val="2"/>
    </font>
    <font>
      <sz val="10"/>
      <color rgb="FFFF0000"/>
      <name val="Arial"/>
      <family val="2"/>
    </font>
    <font>
      <i/>
      <sz val="10"/>
      <color theme="1"/>
      <name val="Arial"/>
      <family val="2"/>
    </font>
    <font>
      <sz val="10"/>
      <color rgb="FF000000"/>
      <name val="Arial"/>
      <family val="2"/>
    </font>
    <font>
      <u/>
      <sz val="10"/>
      <color theme="1"/>
      <name val="Arial"/>
      <family val="2"/>
    </font>
    <font>
      <b/>
      <sz val="10"/>
      <color theme="0"/>
      <name val="Arial"/>
      <family val="2"/>
    </font>
    <font>
      <u/>
      <sz val="10"/>
      <color theme="10"/>
      <name val="Arial"/>
      <family val="2"/>
    </font>
    <font>
      <sz val="10"/>
      <color theme="8" tint="-0.249977111117893"/>
      <name val="Arial"/>
      <family val="2"/>
    </font>
    <font>
      <b/>
      <i/>
      <sz val="10"/>
      <color theme="1"/>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1" fillId="0" borderId="0"/>
  </cellStyleXfs>
  <cellXfs count="146">
    <xf numFmtId="0" fontId="0" fillId="0" borderId="0" xfId="0"/>
    <xf numFmtId="0" fontId="4" fillId="8" borderId="0" xfId="0" applyFont="1" applyFill="1"/>
    <xf numFmtId="0" fontId="4" fillId="0" borderId="0" xfId="0" applyFont="1"/>
    <xf numFmtId="1" fontId="4" fillId="8" borderId="0" xfId="0" applyNumberFormat="1" applyFont="1" applyFill="1"/>
    <xf numFmtId="165" fontId="4" fillId="8" borderId="0" xfId="0" applyNumberFormat="1" applyFont="1" applyFill="1" applyAlignment="1">
      <alignment horizontal="center"/>
    </xf>
    <xf numFmtId="0" fontId="4" fillId="8" borderId="0" xfId="0" applyFont="1" applyFill="1" applyAlignment="1">
      <alignment horizontal="center"/>
    </xf>
    <xf numFmtId="0" fontId="4" fillId="0" borderId="0" xfId="0" applyFont="1" applyAlignment="1">
      <alignment horizontal="center"/>
    </xf>
    <xf numFmtId="0" fontId="6" fillId="2" borderId="0" xfId="0" applyFont="1" applyFill="1"/>
    <xf numFmtId="0" fontId="4" fillId="2" borderId="0" xfId="0" applyFont="1" applyFill="1" applyAlignment="1">
      <alignment horizontal="center"/>
    </xf>
    <xf numFmtId="0" fontId="6" fillId="0" borderId="0" xfId="0" applyFont="1" applyAlignment="1">
      <alignment horizontal="center"/>
    </xf>
    <xf numFmtId="0" fontId="6" fillId="0" borderId="0" xfId="0" applyFont="1"/>
    <xf numFmtId="3" fontId="4" fillId="8" borderId="0" xfId="0" applyNumberFormat="1" applyFont="1" applyFill="1" applyAlignment="1">
      <alignment horizontal="center"/>
    </xf>
    <xf numFmtId="167" fontId="4" fillId="8" borderId="0" xfId="0" applyNumberFormat="1" applyFont="1" applyFill="1" applyAlignment="1">
      <alignment horizontal="center"/>
    </xf>
    <xf numFmtId="1" fontId="4" fillId="8" borderId="0" xfId="0" applyNumberFormat="1" applyFont="1" applyFill="1" applyAlignment="1">
      <alignment horizontal="center"/>
    </xf>
    <xf numFmtId="9" fontId="4" fillId="8" borderId="0" xfId="0" applyNumberFormat="1" applyFont="1" applyFill="1"/>
    <xf numFmtId="9" fontId="6" fillId="8" borderId="0" xfId="0" applyNumberFormat="1" applyFont="1" applyFill="1" applyAlignment="1">
      <alignment horizontal="center"/>
    </xf>
    <xf numFmtId="0" fontId="6" fillId="8" borderId="0" xfId="0" applyFont="1" applyFill="1"/>
    <xf numFmtId="0" fontId="6" fillId="10" borderId="0" xfId="0" applyFont="1" applyFill="1" applyAlignment="1">
      <alignment horizontal="center"/>
    </xf>
    <xf numFmtId="0" fontId="4" fillId="2" borderId="0" xfId="0" applyFont="1" applyFill="1"/>
    <xf numFmtId="0" fontId="9" fillId="8" borderId="0" xfId="0" applyFont="1" applyFill="1"/>
    <xf numFmtId="0" fontId="6" fillId="10" borderId="0" xfId="0" applyFont="1" applyFill="1"/>
    <xf numFmtId="0" fontId="6" fillId="10" borderId="0" xfId="0" applyFont="1" applyFill="1" applyAlignment="1">
      <alignment horizontal="right"/>
    </xf>
    <xf numFmtId="2" fontId="4" fillId="8" borderId="0" xfId="0" applyNumberFormat="1" applyFont="1" applyFill="1"/>
    <xf numFmtId="0" fontId="9" fillId="10" borderId="0" xfId="0" applyFont="1" applyFill="1" applyAlignment="1">
      <alignment horizontal="right"/>
    </xf>
    <xf numFmtId="14" fontId="6" fillId="10" borderId="0" xfId="0" applyNumberFormat="1" applyFont="1" applyFill="1" applyAlignment="1">
      <alignment horizontal="center"/>
    </xf>
    <xf numFmtId="169" fontId="4" fillId="0" borderId="0" xfId="1" applyNumberFormat="1" applyFont="1"/>
    <xf numFmtId="0" fontId="4" fillId="10" borderId="0" xfId="0" applyFont="1" applyFill="1"/>
    <xf numFmtId="14" fontId="6" fillId="10" borderId="0" xfId="0" applyNumberFormat="1" applyFont="1" applyFill="1"/>
    <xf numFmtId="14" fontId="6" fillId="10" borderId="0" xfId="0" applyNumberFormat="1" applyFont="1" applyFill="1" applyAlignment="1">
      <alignment horizontal="right"/>
    </xf>
    <xf numFmtId="170" fontId="4" fillId="8" borderId="0" xfId="0" applyNumberFormat="1" applyFont="1" applyFill="1"/>
    <xf numFmtId="14" fontId="4" fillId="10" borderId="0" xfId="0" applyNumberFormat="1" applyFont="1" applyFill="1"/>
    <xf numFmtId="14" fontId="4" fillId="10" borderId="0" xfId="0" applyNumberFormat="1" applyFont="1" applyFill="1" applyAlignment="1">
      <alignment horizontal="right"/>
    </xf>
    <xf numFmtId="171" fontId="4" fillId="10" borderId="0" xfId="0" applyNumberFormat="1" applyFont="1" applyFill="1" applyAlignment="1">
      <alignment horizontal="center"/>
    </xf>
    <xf numFmtId="171" fontId="4" fillId="10" borderId="0" xfId="0" applyNumberFormat="1" applyFont="1" applyFill="1"/>
    <xf numFmtId="172" fontId="4" fillId="10" borderId="0" xfId="0" applyNumberFormat="1" applyFont="1" applyFill="1"/>
    <xf numFmtId="0" fontId="4" fillId="8" borderId="0" xfId="0" applyFont="1" applyFill="1" applyAlignment="1">
      <alignment horizontal="left"/>
    </xf>
    <xf numFmtId="171" fontId="4" fillId="8" borderId="0" xfId="0" applyNumberFormat="1" applyFont="1" applyFill="1"/>
    <xf numFmtId="172" fontId="4" fillId="8" borderId="0" xfId="0" applyNumberFormat="1" applyFont="1" applyFill="1"/>
    <xf numFmtId="14" fontId="4" fillId="8" borderId="0" xfId="0" applyNumberFormat="1" applyFont="1" applyFill="1" applyAlignment="1">
      <alignment horizontal="left"/>
    </xf>
    <xf numFmtId="166" fontId="4" fillId="8" borderId="0" xfId="0" applyNumberFormat="1" applyFont="1" applyFill="1"/>
    <xf numFmtId="9" fontId="4" fillId="8" borderId="0" xfId="2" applyFont="1" applyFill="1"/>
    <xf numFmtId="169" fontId="4" fillId="8" borderId="0" xfId="1" applyNumberFormat="1" applyFont="1" applyFill="1"/>
    <xf numFmtId="2" fontId="4" fillId="0" borderId="0" xfId="0" applyNumberFormat="1" applyFont="1"/>
    <xf numFmtId="1" fontId="4" fillId="0" borderId="0" xfId="0" applyNumberFormat="1" applyFont="1"/>
    <xf numFmtId="1" fontId="4" fillId="0" borderId="0" xfId="0" applyNumberFormat="1" applyFont="1" applyBorder="1"/>
    <xf numFmtId="1" fontId="4" fillId="10" borderId="0" xfId="0" applyNumberFormat="1" applyFont="1" applyFill="1"/>
    <xf numFmtId="43" fontId="4" fillId="0" borderId="0" xfId="1" applyFont="1"/>
    <xf numFmtId="9" fontId="4" fillId="0" borderId="0" xfId="2" applyFont="1"/>
    <xf numFmtId="169" fontId="4" fillId="0" borderId="0" xfId="0" applyNumberFormat="1" applyFont="1"/>
    <xf numFmtId="0" fontId="4" fillId="10" borderId="0" xfId="0" applyFont="1" applyFill="1" applyBorder="1"/>
    <xf numFmtId="0" fontId="6" fillId="10" borderId="0" xfId="0" applyFont="1" applyFill="1" applyBorder="1"/>
    <xf numFmtId="169" fontId="6" fillId="0" borderId="0" xfId="0" applyNumberFormat="1" applyFont="1"/>
    <xf numFmtId="169" fontId="6" fillId="0" borderId="0" xfId="1" applyNumberFormat="1" applyFont="1"/>
    <xf numFmtId="0" fontId="6" fillId="0" borderId="0" xfId="0" applyFont="1" applyAlignment="1">
      <alignment horizontal="left"/>
    </xf>
    <xf numFmtId="169" fontId="4" fillId="8" borderId="0" xfId="0" applyNumberFormat="1" applyFont="1" applyFill="1"/>
    <xf numFmtId="0" fontId="6" fillId="0" borderId="0" xfId="0" applyFont="1" applyAlignment="1">
      <alignment horizontal="right"/>
    </xf>
    <xf numFmtId="0" fontId="11" fillId="10" borderId="0" xfId="0" applyFont="1" applyFill="1"/>
    <xf numFmtId="0" fontId="6" fillId="10" borderId="0" xfId="0" applyFont="1" applyFill="1" applyBorder="1" applyAlignment="1">
      <alignment horizontal="right"/>
    </xf>
    <xf numFmtId="164" fontId="4" fillId="8" borderId="0" xfId="2" applyNumberFormat="1" applyFont="1" applyFill="1" applyAlignment="1">
      <alignment horizontal="center"/>
    </xf>
    <xf numFmtId="165" fontId="8" fillId="8" borderId="0" xfId="0" applyNumberFormat="1" applyFont="1" applyFill="1" applyAlignment="1">
      <alignment horizontal="center"/>
    </xf>
    <xf numFmtId="0" fontId="10" fillId="11" borderId="0" xfId="0" applyFont="1" applyFill="1"/>
    <xf numFmtId="173" fontId="4" fillId="8" borderId="0" xfId="0" applyNumberFormat="1" applyFont="1" applyFill="1"/>
    <xf numFmtId="165" fontId="4" fillId="8" borderId="0" xfId="0" applyNumberFormat="1" applyFont="1" applyFill="1"/>
    <xf numFmtId="165" fontId="8" fillId="8" borderId="0" xfId="0" applyNumberFormat="1" applyFont="1" applyFill="1"/>
    <xf numFmtId="168" fontId="6" fillId="8" borderId="0" xfId="0" applyNumberFormat="1" applyFont="1" applyFill="1"/>
    <xf numFmtId="15" fontId="6" fillId="10" borderId="0" xfId="0" applyNumberFormat="1" applyFont="1" applyFill="1" applyAlignment="1">
      <alignment horizontal="center" wrapText="1"/>
    </xf>
    <xf numFmtId="170" fontId="4" fillId="10" borderId="0" xfId="0" applyNumberFormat="1" applyFont="1" applyFill="1"/>
    <xf numFmtId="14" fontId="4" fillId="10" borderId="0" xfId="0" applyNumberFormat="1" applyFont="1" applyFill="1" applyAlignment="1">
      <alignment horizontal="center"/>
    </xf>
    <xf numFmtId="14" fontId="4" fillId="8" borderId="0" xfId="0" applyNumberFormat="1" applyFont="1" applyFill="1"/>
    <xf numFmtId="0" fontId="4" fillId="0" borderId="0" xfId="0" applyFont="1" applyAlignment="1">
      <alignment horizontal="right"/>
    </xf>
    <xf numFmtId="0" fontId="6" fillId="0" borderId="0" xfId="0" applyFont="1" applyBorder="1"/>
    <xf numFmtId="0" fontId="6" fillId="0" borderId="0" xfId="0" applyFont="1" applyBorder="1" applyAlignment="1">
      <alignment horizontal="left"/>
    </xf>
    <xf numFmtId="0" fontId="6" fillId="0" borderId="0" xfId="0" applyFont="1" applyBorder="1" applyAlignment="1">
      <alignment horizontal="right"/>
    </xf>
    <xf numFmtId="0" fontId="12" fillId="3" borderId="0" xfId="0" applyFont="1" applyFill="1" applyBorder="1" applyAlignment="1">
      <alignment vertical="center" wrapText="1"/>
    </xf>
    <xf numFmtId="0" fontId="4" fillId="3" borderId="0" xfId="0" applyFont="1" applyFill="1" applyBorder="1" applyAlignment="1">
      <alignment vertical="center" wrapText="1"/>
    </xf>
    <xf numFmtId="10" fontId="4" fillId="0" borderId="0" xfId="2" applyNumberFormat="1" applyFont="1" applyBorder="1"/>
    <xf numFmtId="10" fontId="4" fillId="0" borderId="0" xfId="2" applyNumberFormat="1" applyFont="1"/>
    <xf numFmtId="0" fontId="4" fillId="4" borderId="0" xfId="0" applyFont="1" applyFill="1" applyBorder="1" applyAlignment="1">
      <alignment vertical="center" wrapText="1"/>
    </xf>
    <xf numFmtId="0" fontId="13" fillId="4" borderId="0" xfId="3" applyFont="1" applyFill="1" applyBorder="1" applyAlignment="1">
      <alignment vertical="center" wrapText="1"/>
    </xf>
    <xf numFmtId="0" fontId="6" fillId="4" borderId="0" xfId="0" applyFont="1" applyFill="1" applyBorder="1" applyAlignment="1">
      <alignment vertical="center" wrapText="1"/>
    </xf>
    <xf numFmtId="0" fontId="4" fillId="0" borderId="0" xfId="0" applyFont="1" applyBorder="1"/>
    <xf numFmtId="164" fontId="4" fillId="0" borderId="0" xfId="0" applyNumberFormat="1" applyFont="1"/>
    <xf numFmtId="0" fontId="12" fillId="5" borderId="0" xfId="0" applyFont="1" applyFill="1" applyBorder="1" applyAlignment="1">
      <alignment vertical="center" wrapText="1"/>
    </xf>
    <xf numFmtId="0" fontId="4" fillId="5" borderId="0" xfId="0" applyFont="1" applyFill="1" applyBorder="1" applyAlignment="1">
      <alignment vertical="center" wrapText="1"/>
    </xf>
    <xf numFmtId="0" fontId="13" fillId="6" borderId="0" xfId="3" applyFont="1" applyFill="1" applyBorder="1" applyAlignment="1">
      <alignment vertical="center" wrapText="1"/>
    </xf>
    <xf numFmtId="0" fontId="4" fillId="6" borderId="0" xfId="0" applyFont="1" applyFill="1" applyBorder="1" applyAlignment="1">
      <alignment vertical="center" wrapText="1"/>
    </xf>
    <xf numFmtId="0" fontId="12" fillId="7" borderId="0" xfId="0" applyFont="1" applyFill="1" applyBorder="1" applyAlignment="1">
      <alignment vertical="center" wrapText="1"/>
    </xf>
    <xf numFmtId="0" fontId="4" fillId="7" borderId="0" xfId="0" applyFont="1" applyFill="1" applyBorder="1" applyAlignment="1">
      <alignment vertical="center" wrapText="1"/>
    </xf>
    <xf numFmtId="0" fontId="4" fillId="2" borderId="0" xfId="0" applyFont="1" applyFill="1" applyBorder="1" applyAlignment="1">
      <alignment vertical="center" wrapText="1"/>
    </xf>
    <xf numFmtId="0" fontId="13" fillId="2" borderId="0" xfId="3" applyFont="1" applyFill="1" applyBorder="1" applyAlignment="1">
      <alignment vertical="center" wrapText="1"/>
    </xf>
    <xf numFmtId="167" fontId="4" fillId="8" borderId="0" xfId="0" applyNumberFormat="1" applyFont="1" applyFill="1"/>
    <xf numFmtId="43" fontId="4" fillId="0" borderId="0" xfId="0" applyNumberFormat="1" applyFont="1"/>
    <xf numFmtId="3" fontId="4" fillId="0" borderId="0" xfId="0" applyNumberFormat="1" applyFont="1"/>
    <xf numFmtId="3" fontId="4" fillId="8" borderId="0" xfId="0" applyNumberFormat="1" applyFont="1" applyFill="1"/>
    <xf numFmtId="0" fontId="6" fillId="8" borderId="0" xfId="0" applyFont="1" applyFill="1" applyAlignment="1">
      <alignment horizontal="center"/>
    </xf>
    <xf numFmtId="9" fontId="4" fillId="0" borderId="0" xfId="0" applyNumberFormat="1" applyFont="1"/>
    <xf numFmtId="170" fontId="6" fillId="8" borderId="0" xfId="0" applyNumberFormat="1" applyFont="1" applyFill="1"/>
    <xf numFmtId="10" fontId="4" fillId="8" borderId="0" xfId="2" applyNumberFormat="1" applyFont="1" applyFill="1"/>
    <xf numFmtId="10" fontId="6" fillId="8" borderId="0" xfId="2" applyNumberFormat="1" applyFont="1" applyFill="1"/>
    <xf numFmtId="166" fontId="4" fillId="8" borderId="0" xfId="0" applyNumberFormat="1" applyFont="1" applyFill="1" applyAlignment="1">
      <alignment horizontal="center"/>
    </xf>
    <xf numFmtId="168" fontId="5" fillId="8" borderId="0" xfId="0" applyNumberFormat="1" applyFont="1" applyFill="1" applyAlignment="1">
      <alignment horizontal="center"/>
    </xf>
    <xf numFmtId="169" fontId="3" fillId="0" borderId="0" xfId="0" applyNumberFormat="1" applyFont="1"/>
    <xf numFmtId="169" fontId="8" fillId="0" borderId="0" xfId="0" applyNumberFormat="1" applyFont="1"/>
    <xf numFmtId="1" fontId="6" fillId="0" borderId="0" xfId="0" applyNumberFormat="1" applyFont="1"/>
    <xf numFmtId="169" fontId="8" fillId="8" borderId="0" xfId="0" applyNumberFormat="1" applyFont="1" applyFill="1"/>
    <xf numFmtId="0" fontId="7" fillId="2" borderId="0" xfId="0" applyFont="1" applyFill="1"/>
    <xf numFmtId="0" fontId="8" fillId="0" borderId="0" xfId="0" applyFont="1"/>
    <xf numFmtId="0" fontId="5" fillId="2" borderId="0" xfId="0" applyFont="1" applyFill="1"/>
    <xf numFmtId="169" fontId="7" fillId="0" borderId="0" xfId="1" applyNumberFormat="1" applyFont="1"/>
    <xf numFmtId="0" fontId="3" fillId="0" borderId="0" xfId="0" applyFont="1"/>
    <xf numFmtId="169" fontId="7" fillId="0" borderId="0" xfId="0" applyNumberFormat="1" applyFont="1"/>
    <xf numFmtId="169" fontId="5" fillId="0" borderId="0" xfId="0" applyNumberFormat="1" applyFont="1"/>
    <xf numFmtId="3" fontId="4" fillId="0" borderId="0" xfId="0" applyNumberFormat="1" applyFont="1" applyFill="1"/>
    <xf numFmtId="1" fontId="4" fillId="0" borderId="0" xfId="0" applyNumberFormat="1" applyFont="1" applyFill="1"/>
    <xf numFmtId="170" fontId="14" fillId="8" borderId="0" xfId="0" applyNumberFormat="1" applyFont="1" applyFill="1"/>
    <xf numFmtId="0" fontId="6" fillId="0" borderId="0" xfId="0" applyFont="1" applyFill="1"/>
    <xf numFmtId="0" fontId="6" fillId="0" borderId="0" xfId="0" applyFont="1" applyFill="1" applyAlignment="1">
      <alignment horizontal="right"/>
    </xf>
    <xf numFmtId="0" fontId="7" fillId="0" borderId="0" xfId="0" applyFont="1" applyFill="1"/>
    <xf numFmtId="0" fontId="6" fillId="0" borderId="0" xfId="0" applyFont="1" applyFill="1" applyAlignment="1">
      <alignment horizontal="center"/>
    </xf>
    <xf numFmtId="169" fontId="3" fillId="8" borderId="0" xfId="0" applyNumberFormat="1" applyFont="1" applyFill="1"/>
    <xf numFmtId="169" fontId="5" fillId="0" borderId="0" xfId="1" applyNumberFormat="1" applyFont="1"/>
    <xf numFmtId="169" fontId="7" fillId="8" borderId="0" xfId="0" applyNumberFormat="1" applyFont="1" applyFill="1"/>
    <xf numFmtId="0" fontId="12" fillId="6" borderId="0" xfId="0" applyFont="1" applyFill="1" applyBorder="1" applyAlignment="1">
      <alignment vertical="center" wrapText="1"/>
    </xf>
    <xf numFmtId="164" fontId="4" fillId="8" borderId="0" xfId="2" applyNumberFormat="1" applyFont="1" applyFill="1"/>
    <xf numFmtId="164" fontId="8" fillId="8" borderId="0" xfId="2" applyNumberFormat="1" applyFont="1" applyFill="1"/>
    <xf numFmtId="170" fontId="4" fillId="0" borderId="0" xfId="0" applyNumberFormat="1" applyFont="1" applyFill="1"/>
    <xf numFmtId="0" fontId="6" fillId="9" borderId="0" xfId="0" applyFont="1" applyFill="1"/>
    <xf numFmtId="0" fontId="4" fillId="9" borderId="0" xfId="0" applyFont="1" applyFill="1"/>
    <xf numFmtId="14" fontId="6" fillId="8" borderId="0" xfId="0" applyNumberFormat="1" applyFont="1" applyFill="1" applyAlignment="1">
      <alignment horizontal="center"/>
    </xf>
    <xf numFmtId="0" fontId="10" fillId="12" borderId="0" xfId="0" applyFont="1" applyFill="1"/>
    <xf numFmtId="0" fontId="12" fillId="9" borderId="0" xfId="0" applyFont="1" applyFill="1" applyBorder="1" applyAlignment="1">
      <alignment vertical="center" wrapText="1"/>
    </xf>
    <xf numFmtId="0" fontId="4" fillId="9" borderId="0" xfId="0" applyFont="1" applyFill="1" applyBorder="1" applyAlignment="1">
      <alignment vertical="center" wrapText="1"/>
    </xf>
    <xf numFmtId="0" fontId="13" fillId="9" borderId="0" xfId="3" applyFont="1" applyFill="1" applyBorder="1" applyAlignment="1">
      <alignment vertical="center" wrapText="1"/>
    </xf>
    <xf numFmtId="0" fontId="4" fillId="8" borderId="0" xfId="0" applyFont="1" applyFill="1" applyBorder="1"/>
    <xf numFmtId="0" fontId="4" fillId="0" borderId="0" xfId="0" applyFont="1" applyFill="1"/>
    <xf numFmtId="0" fontId="9" fillId="0" borderId="0" xfId="0" applyFont="1" applyFill="1"/>
    <xf numFmtId="0" fontId="6" fillId="4" borderId="0" xfId="0" applyFont="1" applyFill="1"/>
    <xf numFmtId="174" fontId="4" fillId="0" borderId="0" xfId="0" applyNumberFormat="1" applyFont="1" applyFill="1"/>
    <xf numFmtId="0" fontId="4" fillId="0" borderId="0" xfId="0" applyFont="1" applyFill="1" applyAlignment="1">
      <alignment horizontal="center"/>
    </xf>
    <xf numFmtId="169" fontId="4" fillId="0" borderId="0" xfId="0" applyNumberFormat="1" applyFont="1" applyFill="1"/>
    <xf numFmtId="169" fontId="6" fillId="0" borderId="0" xfId="0" applyNumberFormat="1" applyFont="1" applyFill="1"/>
    <xf numFmtId="165" fontId="3" fillId="8" borderId="0" xfId="0" applyNumberFormat="1" applyFont="1" applyFill="1" applyAlignment="1">
      <alignment horizontal="center"/>
    </xf>
    <xf numFmtId="175" fontId="4" fillId="0" borderId="0" xfId="0" applyNumberFormat="1" applyFont="1"/>
    <xf numFmtId="0" fontId="6" fillId="13" borderId="0" xfId="0" applyFont="1" applyFill="1"/>
    <xf numFmtId="0" fontId="4" fillId="13" borderId="0" xfId="0" applyFont="1" applyFill="1"/>
    <xf numFmtId="0" fontId="15" fillId="0" borderId="0" xfId="0" applyFont="1"/>
  </cellXfs>
  <cellStyles count="8">
    <cellStyle name="Comma" xfId="1" builtinId="3"/>
    <cellStyle name="Hyperlink" xfId="3" builtinId="8"/>
    <cellStyle name="Normal" xfId="0" builtinId="0"/>
    <cellStyle name="Normal 10" xfId="7"/>
    <cellStyle name="Normal 2" xfId="4"/>
    <cellStyle name="Normal 3" xfId="6"/>
    <cellStyle name="Normal 4"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0"/>
  <sheetViews>
    <sheetView showGridLines="0" tabSelected="1" zoomScaleNormal="100" workbookViewId="0"/>
  </sheetViews>
  <sheetFormatPr defaultRowHeight="13.2" x14ac:dyDescent="0.25"/>
  <cols>
    <col min="1" max="16384" width="8.88671875" style="2"/>
  </cols>
  <sheetData>
    <row r="1" spans="1:17" x14ac:dyDescent="0.25">
      <c r="A1" s="143" t="s">
        <v>266</v>
      </c>
      <c r="B1" s="144"/>
      <c r="C1" s="144"/>
      <c r="D1" s="144"/>
      <c r="E1" s="144"/>
      <c r="F1" s="144"/>
      <c r="G1" s="144"/>
      <c r="H1" s="144"/>
      <c r="I1" s="144"/>
      <c r="J1" s="144"/>
      <c r="K1" s="144"/>
      <c r="L1" s="144"/>
      <c r="M1" s="144"/>
      <c r="N1" s="144"/>
      <c r="O1" s="144"/>
      <c r="P1" s="144"/>
      <c r="Q1" s="144"/>
    </row>
    <row r="3" spans="1:17" x14ac:dyDescent="0.25">
      <c r="A3" s="2" t="s">
        <v>280</v>
      </c>
    </row>
    <row r="5" spans="1:17" x14ac:dyDescent="0.25">
      <c r="A5" s="2" t="s">
        <v>268</v>
      </c>
    </row>
    <row r="7" spans="1:17" x14ac:dyDescent="0.25">
      <c r="A7" s="2" t="s">
        <v>281</v>
      </c>
    </row>
    <row r="8" spans="1:17" x14ac:dyDescent="0.25">
      <c r="A8" s="2" t="s">
        <v>282</v>
      </c>
    </row>
    <row r="9" spans="1:17" x14ac:dyDescent="0.25">
      <c r="A9" s="2" t="s">
        <v>283</v>
      </c>
    </row>
    <row r="10" spans="1:17" x14ac:dyDescent="0.25">
      <c r="A10" s="2" t="s">
        <v>284</v>
      </c>
    </row>
    <row r="11" spans="1:17" x14ac:dyDescent="0.25">
      <c r="A11" s="2" t="s">
        <v>285</v>
      </c>
    </row>
    <row r="13" spans="1:17" x14ac:dyDescent="0.25">
      <c r="A13" s="2" t="s">
        <v>267</v>
      </c>
    </row>
    <row r="15" spans="1:17" x14ac:dyDescent="0.25">
      <c r="A15" s="2" t="s">
        <v>286</v>
      </c>
    </row>
    <row r="17" spans="1:1" x14ac:dyDescent="0.25">
      <c r="A17" s="145" t="s">
        <v>278</v>
      </c>
    </row>
    <row r="18" spans="1:1" x14ac:dyDescent="0.25">
      <c r="A18" s="145"/>
    </row>
    <row r="19" spans="1:1" x14ac:dyDescent="0.25">
      <c r="A19" s="2" t="s">
        <v>270</v>
      </c>
    </row>
    <row r="21" spans="1:1" x14ac:dyDescent="0.25">
      <c r="A21" s="2" t="s">
        <v>279</v>
      </c>
    </row>
    <row r="23" spans="1:1" x14ac:dyDescent="0.25">
      <c r="A23" s="2" t="s">
        <v>287</v>
      </c>
    </row>
    <row r="25" spans="1:1" x14ac:dyDescent="0.25">
      <c r="A25" s="2" t="s">
        <v>271</v>
      </c>
    </row>
    <row r="27" spans="1:1" x14ac:dyDescent="0.25">
      <c r="A27" s="2" t="s">
        <v>272</v>
      </c>
    </row>
    <row r="29" spans="1:1" x14ac:dyDescent="0.25">
      <c r="A29" s="2" t="s">
        <v>273</v>
      </c>
    </row>
    <row r="31" spans="1:1" x14ac:dyDescent="0.25">
      <c r="A31" s="2" t="s">
        <v>288</v>
      </c>
    </row>
    <row r="33" spans="1:1" x14ac:dyDescent="0.25">
      <c r="A33" s="2" t="s">
        <v>274</v>
      </c>
    </row>
    <row r="35" spans="1:1" x14ac:dyDescent="0.25">
      <c r="A35" s="2" t="s">
        <v>275</v>
      </c>
    </row>
    <row r="37" spans="1:1" x14ac:dyDescent="0.25">
      <c r="A37" s="2" t="s">
        <v>276</v>
      </c>
    </row>
    <row r="39" spans="1:1" x14ac:dyDescent="0.25">
      <c r="A39" s="2" t="s">
        <v>277</v>
      </c>
    </row>
    <row r="40" spans="1:1" x14ac:dyDescent="0.25">
      <c r="A40" s="2" t="s">
        <v>269</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M39"/>
  <sheetViews>
    <sheetView showGridLines="0" zoomScale="85" zoomScaleNormal="85" workbookViewId="0"/>
  </sheetViews>
  <sheetFormatPr defaultColWidth="8.6640625" defaultRowHeight="13.2" x14ac:dyDescent="0.25"/>
  <cols>
    <col min="1" max="1" width="12.6640625" style="2" customWidth="1"/>
    <col min="2" max="2" width="27" style="2" customWidth="1"/>
    <col min="3" max="3" width="154.33203125" style="2" customWidth="1"/>
    <col min="4" max="23" width="10.33203125" style="2" customWidth="1"/>
    <col min="24" max="16384" width="8.6640625" style="2"/>
  </cols>
  <sheetData>
    <row r="1" spans="1:1469" x14ac:dyDescent="0.25">
      <c r="A1" s="7" t="s">
        <v>189</v>
      </c>
      <c r="B1" s="18"/>
      <c r="C1" s="18"/>
    </row>
    <row r="2" spans="1:1469" ht="16.8" customHeight="1" x14ac:dyDescent="0.25">
      <c r="A2" s="10" t="s">
        <v>0</v>
      </c>
      <c r="C2" s="69"/>
    </row>
    <row r="3" spans="1:1469" ht="19.8" customHeight="1" x14ac:dyDescent="0.25">
      <c r="A3" s="70" t="s">
        <v>1</v>
      </c>
      <c r="B3" s="70" t="s">
        <v>2</v>
      </c>
      <c r="C3" s="71" t="s">
        <v>3</v>
      </c>
      <c r="D3" s="72"/>
      <c r="E3" s="55"/>
      <c r="F3" s="55"/>
      <c r="G3" s="55"/>
      <c r="H3" s="55"/>
    </row>
    <row r="4" spans="1:1469" ht="27.6" customHeight="1" x14ac:dyDescent="0.25">
      <c r="A4" s="73" t="s">
        <v>4</v>
      </c>
      <c r="B4" s="74"/>
      <c r="C4" s="74"/>
      <c r="D4" s="75"/>
      <c r="E4" s="76"/>
      <c r="F4" s="76"/>
      <c r="G4" s="76"/>
      <c r="H4" s="42"/>
      <c r="I4" s="42"/>
    </row>
    <row r="5" spans="1:1469" ht="27.6" customHeight="1" x14ac:dyDescent="0.25">
      <c r="A5" s="77"/>
      <c r="B5" s="78" t="s">
        <v>5</v>
      </c>
      <c r="C5" s="77" t="s">
        <v>190</v>
      </c>
      <c r="D5" s="75"/>
      <c r="E5" s="76"/>
      <c r="F5" s="76"/>
      <c r="G5" s="76"/>
    </row>
    <row r="6" spans="1:1469" ht="27.6" customHeight="1" x14ac:dyDescent="0.25">
      <c r="A6" s="77"/>
      <c r="B6" s="78" t="s">
        <v>168</v>
      </c>
      <c r="C6" s="77" t="s">
        <v>169</v>
      </c>
      <c r="D6" s="75"/>
      <c r="E6" s="76"/>
      <c r="F6" s="76"/>
      <c r="G6" s="76"/>
    </row>
    <row r="7" spans="1:1469" ht="37.200000000000003" customHeight="1" x14ac:dyDescent="0.25">
      <c r="A7" s="77"/>
      <c r="B7" s="78" t="s">
        <v>144</v>
      </c>
      <c r="C7" s="77" t="s">
        <v>191</v>
      </c>
      <c r="D7" s="75"/>
      <c r="E7" s="76"/>
      <c r="F7" s="76"/>
      <c r="G7" s="76"/>
    </row>
    <row r="8" spans="1:1469" ht="39" customHeight="1" x14ac:dyDescent="0.25">
      <c r="A8" s="79"/>
      <c r="B8" s="78" t="s">
        <v>6</v>
      </c>
      <c r="C8" s="77" t="s">
        <v>193</v>
      </c>
      <c r="D8" s="75"/>
      <c r="E8" s="76"/>
      <c r="F8" s="76"/>
      <c r="G8" s="76"/>
    </row>
    <row r="9" spans="1:1469" ht="27.6" customHeight="1" x14ac:dyDescent="0.25">
      <c r="A9" s="82" t="s">
        <v>7</v>
      </c>
      <c r="B9" s="83"/>
      <c r="C9" s="83"/>
      <c r="D9" s="75"/>
      <c r="E9" s="76"/>
      <c r="F9" s="76"/>
      <c r="G9" s="76"/>
      <c r="H9" s="81"/>
    </row>
    <row r="10" spans="1:1469" ht="27.6" customHeight="1" x14ac:dyDescent="0.25">
      <c r="A10" s="82"/>
      <c r="B10" s="83"/>
      <c r="C10" s="83"/>
      <c r="D10" s="75"/>
      <c r="E10" s="76"/>
      <c r="F10" s="76"/>
      <c r="G10" s="76"/>
      <c r="H10" s="81"/>
    </row>
    <row r="11" spans="1:1469" ht="27.6" customHeight="1" x14ac:dyDescent="0.25">
      <c r="A11" s="122"/>
      <c r="B11" s="84" t="s">
        <v>170</v>
      </c>
      <c r="C11" s="85" t="s">
        <v>171</v>
      </c>
      <c r="D11" s="75"/>
      <c r="E11" s="76"/>
      <c r="F11" s="76"/>
      <c r="G11" s="76"/>
      <c r="H11" s="81"/>
    </row>
    <row r="12" spans="1:1469" ht="27.6" customHeight="1" x14ac:dyDescent="0.25">
      <c r="A12" s="85"/>
      <c r="B12" s="84" t="s">
        <v>134</v>
      </c>
      <c r="C12" s="85" t="s">
        <v>136</v>
      </c>
      <c r="D12" s="80"/>
    </row>
    <row r="13" spans="1:1469" ht="31.2" customHeight="1" x14ac:dyDescent="0.25">
      <c r="A13" s="85"/>
      <c r="B13" s="84" t="s">
        <v>135</v>
      </c>
      <c r="C13" s="85" t="s">
        <v>137</v>
      </c>
      <c r="D13" s="80"/>
    </row>
    <row r="14" spans="1:1469" ht="27.6" customHeight="1" x14ac:dyDescent="0.25">
      <c r="A14" s="86" t="s">
        <v>9</v>
      </c>
      <c r="B14" s="87"/>
      <c r="C14" s="87"/>
      <c r="D14" s="80"/>
    </row>
    <row r="15" spans="1:1469" s="127" customFormat="1" ht="27.6" customHeight="1" x14ac:dyDescent="0.25">
      <c r="A15" s="130"/>
      <c r="B15" s="132" t="s">
        <v>262</v>
      </c>
      <c r="C15" s="131" t="s">
        <v>264</v>
      </c>
      <c r="D15" s="13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row>
    <row r="16" spans="1:1469" s="127" customFormat="1" ht="27.6" customHeight="1" x14ac:dyDescent="0.25">
      <c r="A16" s="130"/>
      <c r="B16" s="132" t="s">
        <v>263</v>
      </c>
      <c r="C16" s="131" t="s">
        <v>265</v>
      </c>
      <c r="D16" s="13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row>
    <row r="17" spans="1:4" ht="27.6" customHeight="1" x14ac:dyDescent="0.25">
      <c r="A17" s="88"/>
      <c r="B17" s="89" t="s">
        <v>8</v>
      </c>
      <c r="C17" s="88" t="s">
        <v>138</v>
      </c>
      <c r="D17" s="80"/>
    </row>
    <row r="18" spans="1:4" ht="40.200000000000003" customHeight="1" x14ac:dyDescent="0.25">
      <c r="A18" s="80"/>
      <c r="B18" s="80"/>
      <c r="C18" s="80"/>
      <c r="D18" s="80"/>
    </row>
    <row r="19" spans="1:4" ht="40.200000000000003" customHeight="1" x14ac:dyDescent="0.25">
      <c r="A19" s="80"/>
      <c r="B19" s="80"/>
      <c r="C19" s="80"/>
      <c r="D19" s="80"/>
    </row>
    <row r="20" spans="1:4" ht="40.200000000000003" customHeight="1" x14ac:dyDescent="0.25">
      <c r="A20" s="80"/>
      <c r="B20" s="80"/>
      <c r="C20" s="80"/>
      <c r="D20" s="80"/>
    </row>
    <row r="21" spans="1:4" ht="40.200000000000003" customHeight="1" x14ac:dyDescent="0.25">
      <c r="A21" s="80"/>
      <c r="B21" s="80"/>
      <c r="C21" s="80"/>
      <c r="D21" s="80"/>
    </row>
    <row r="22" spans="1:4" ht="40.200000000000003" customHeight="1" x14ac:dyDescent="0.25">
      <c r="A22" s="80"/>
      <c r="B22" s="80"/>
      <c r="C22" s="80"/>
      <c r="D22" s="80"/>
    </row>
    <row r="23" spans="1:4" ht="40.200000000000003" customHeight="1" x14ac:dyDescent="0.25">
      <c r="A23" s="80"/>
      <c r="B23" s="80"/>
      <c r="C23" s="80"/>
      <c r="D23" s="80"/>
    </row>
    <row r="24" spans="1:4" ht="40.200000000000003" customHeight="1" x14ac:dyDescent="0.25">
      <c r="A24" s="80"/>
      <c r="B24" s="80"/>
      <c r="C24" s="80"/>
      <c r="D24" s="80"/>
    </row>
    <row r="25" spans="1:4" ht="40.200000000000003" customHeight="1" x14ac:dyDescent="0.25">
      <c r="A25" s="80"/>
      <c r="B25" s="80"/>
      <c r="C25" s="80"/>
      <c r="D25" s="80"/>
    </row>
    <row r="26" spans="1:4" ht="40.200000000000003" customHeight="1" x14ac:dyDescent="0.25">
      <c r="A26" s="80"/>
      <c r="B26" s="80"/>
      <c r="C26" s="80"/>
      <c r="D26" s="80"/>
    </row>
    <row r="27" spans="1:4" ht="40.200000000000003" customHeight="1" x14ac:dyDescent="0.25">
      <c r="A27" s="80"/>
      <c r="B27" s="80"/>
      <c r="C27" s="80"/>
      <c r="D27" s="80"/>
    </row>
    <row r="28" spans="1:4" ht="40.200000000000003" customHeight="1" x14ac:dyDescent="0.25">
      <c r="A28" s="80"/>
      <c r="B28" s="80"/>
      <c r="C28" s="80"/>
      <c r="D28" s="80"/>
    </row>
    <row r="29" spans="1:4" ht="40.200000000000003" customHeight="1" x14ac:dyDescent="0.25">
      <c r="A29" s="80"/>
      <c r="B29" s="80"/>
      <c r="C29" s="80"/>
      <c r="D29" s="80"/>
    </row>
    <row r="30" spans="1:4" ht="40.200000000000003" customHeight="1" x14ac:dyDescent="0.25">
      <c r="A30" s="80"/>
      <c r="B30" s="80"/>
      <c r="C30" s="80"/>
      <c r="D30" s="80"/>
    </row>
    <row r="31" spans="1:4" ht="40.200000000000003" customHeight="1" x14ac:dyDescent="0.25">
      <c r="A31" s="80"/>
      <c r="B31" s="80"/>
      <c r="C31" s="80"/>
      <c r="D31" s="80"/>
    </row>
    <row r="32" spans="1:4" ht="40.200000000000003" customHeight="1" x14ac:dyDescent="0.25">
      <c r="A32" s="80"/>
      <c r="B32" s="80"/>
      <c r="C32" s="80"/>
      <c r="D32" s="80"/>
    </row>
    <row r="33" ht="40.200000000000003" customHeight="1" x14ac:dyDescent="0.25"/>
    <row r="34" ht="40.200000000000003" customHeight="1" x14ac:dyDescent="0.25"/>
    <row r="35" ht="40.200000000000003" customHeight="1" x14ac:dyDescent="0.25"/>
    <row r="36" ht="40.200000000000003" customHeight="1" x14ac:dyDescent="0.25"/>
    <row r="37" ht="40.200000000000003" customHeight="1" x14ac:dyDescent="0.25"/>
    <row r="38" ht="40.200000000000003" customHeight="1" x14ac:dyDescent="0.25"/>
    <row r="39" ht="40.200000000000003" customHeight="1" x14ac:dyDescent="0.25"/>
  </sheetData>
  <hyperlinks>
    <hyperlink ref="B5" location="Inflation!A1" display="Inflation"/>
    <hyperlink ref="B8" location="'RAB inputs'!A1" display="RAB inputs"/>
    <hyperlink ref="B12" location="'RAB - NB'!A1" display="RAB"/>
    <hyperlink ref="B13" location="'RAB - Build'!A1" display="RAB - Build"/>
    <hyperlink ref="B17" location="Return!A1" display="Return"/>
    <hyperlink ref="B7" location="'Post FD Inputs'!A1" display="Post FD Inputs"/>
    <hyperlink ref="B15" location="'RAB Summary (2020-25)'!A1" display="RAB Summary (2020-25)"/>
    <hyperlink ref="B6" location="'FD Allowances'!A1" display="FD Allowances"/>
    <hyperlink ref="B11" location="'Cost Sharing'!A1" display="RAB - NB"/>
    <hyperlink ref="B16" location="'RAB Summary (from 2010)'!A1" display="RAB Summary (from 201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162"/>
  <sheetViews>
    <sheetView showGridLines="0" topLeftCell="B1" zoomScale="85" zoomScaleNormal="85" workbookViewId="0">
      <selection activeCell="G30" sqref="G30"/>
    </sheetView>
  </sheetViews>
  <sheetFormatPr defaultColWidth="9.109375" defaultRowHeight="13.2" x14ac:dyDescent="0.25"/>
  <cols>
    <col min="1" max="1" width="56.21875" style="1" customWidth="1"/>
    <col min="2" max="2" width="17.44140625" style="1" customWidth="1"/>
    <col min="3" max="3" width="15.33203125" style="5" customWidth="1"/>
    <col min="4" max="4" width="10.5546875" style="1" customWidth="1"/>
    <col min="5" max="18" width="10.5546875" style="5" customWidth="1"/>
    <col min="19" max="19" width="9.109375" style="5"/>
    <col min="20" max="16384" width="9.109375" style="1"/>
  </cols>
  <sheetData>
    <row r="1" spans="1:19" x14ac:dyDescent="0.25">
      <c r="A1" s="7" t="s">
        <v>12</v>
      </c>
      <c r="B1" s="8"/>
      <c r="D1" s="5"/>
      <c r="S1" s="1"/>
    </row>
    <row r="2" spans="1:19" x14ac:dyDescent="0.25">
      <c r="A2" s="2"/>
      <c r="B2" s="9" t="s">
        <v>10</v>
      </c>
      <c r="D2" s="17" t="s">
        <v>15</v>
      </c>
      <c r="E2" s="17" t="s">
        <v>16</v>
      </c>
      <c r="F2" s="17" t="s">
        <v>17</v>
      </c>
      <c r="G2" s="17" t="s">
        <v>18</v>
      </c>
      <c r="H2" s="17" t="s">
        <v>19</v>
      </c>
      <c r="I2" s="17" t="s">
        <v>20</v>
      </c>
      <c r="J2" s="17" t="s">
        <v>21</v>
      </c>
      <c r="K2" s="17" t="s">
        <v>22</v>
      </c>
      <c r="L2" s="17" t="s">
        <v>23</v>
      </c>
      <c r="M2" s="17" t="s">
        <v>24</v>
      </c>
      <c r="N2" s="17" t="s">
        <v>27</v>
      </c>
      <c r="O2" s="17" t="s">
        <v>28</v>
      </c>
      <c r="P2" s="17" t="s">
        <v>29</v>
      </c>
      <c r="Q2" s="17" t="s">
        <v>30</v>
      </c>
      <c r="R2" s="17" t="s">
        <v>31</v>
      </c>
      <c r="S2" s="1"/>
    </row>
    <row r="3" spans="1:19" x14ac:dyDescent="0.25">
      <c r="A3" s="2" t="s">
        <v>13</v>
      </c>
      <c r="B3" s="6" t="s">
        <v>11</v>
      </c>
      <c r="D3" s="5">
        <v>93.3</v>
      </c>
      <c r="E3" s="5">
        <v>95.9</v>
      </c>
      <c r="F3" s="5">
        <v>98</v>
      </c>
      <c r="G3" s="5">
        <v>99.6</v>
      </c>
      <c r="H3" s="5">
        <v>99.9</v>
      </c>
      <c r="I3" s="5">
        <v>100.6</v>
      </c>
      <c r="J3" s="5">
        <v>103.2</v>
      </c>
      <c r="K3" s="5">
        <v>105.5</v>
      </c>
      <c r="L3" s="5">
        <v>107.6</v>
      </c>
      <c r="M3" s="5">
        <v>108.6</v>
      </c>
      <c r="N3" s="141">
        <v>110.4</v>
      </c>
      <c r="O3" s="59">
        <f t="shared" ref="O3:R3" si="0">N3*(1+$C$11)</f>
        <v>112.608</v>
      </c>
      <c r="P3" s="59">
        <f t="shared" si="0"/>
        <v>114.86016000000001</v>
      </c>
      <c r="Q3" s="59">
        <f t="shared" si="0"/>
        <v>117.15736320000001</v>
      </c>
      <c r="R3" s="59">
        <f t="shared" si="0"/>
        <v>119.500510464</v>
      </c>
      <c r="S3" s="1"/>
    </row>
    <row r="4" spans="1:19" x14ac:dyDescent="0.25">
      <c r="A4" s="134" t="s">
        <v>259</v>
      </c>
      <c r="B4" s="6"/>
      <c r="D4" s="99">
        <f>D3/$L$3</f>
        <v>0.86710037174721188</v>
      </c>
      <c r="E4" s="99">
        <f t="shared" ref="E4:K4" si="1">E3/$L$3</f>
        <v>0.89126394052044622</v>
      </c>
      <c r="F4" s="99">
        <f t="shared" si="1"/>
        <v>0.91078066914498146</v>
      </c>
      <c r="G4" s="99">
        <f t="shared" si="1"/>
        <v>0.92565055762081783</v>
      </c>
      <c r="H4" s="99">
        <f t="shared" si="1"/>
        <v>0.92843866171003731</v>
      </c>
      <c r="I4" s="99">
        <f t="shared" si="1"/>
        <v>0.93494423791821557</v>
      </c>
      <c r="J4" s="99">
        <f t="shared" si="1"/>
        <v>0.9591078066914499</v>
      </c>
      <c r="K4" s="99">
        <f t="shared" si="1"/>
        <v>0.98048327137546476</v>
      </c>
      <c r="L4" s="99">
        <f>L3/$L$3</f>
        <v>1</v>
      </c>
      <c r="M4" s="99">
        <f t="shared" ref="M4:R4" si="2">M3/$L$3</f>
        <v>1.0092936802973977</v>
      </c>
      <c r="N4" s="99">
        <f t="shared" si="2"/>
        <v>1.0260223048327139</v>
      </c>
      <c r="O4" s="99">
        <f t="shared" si="2"/>
        <v>1.0465427509293681</v>
      </c>
      <c r="P4" s="99">
        <f t="shared" si="2"/>
        <v>1.0674736059479555</v>
      </c>
      <c r="Q4" s="99">
        <f t="shared" si="2"/>
        <v>1.0888230780669146</v>
      </c>
      <c r="R4" s="99">
        <f t="shared" si="2"/>
        <v>1.1105995396282529</v>
      </c>
      <c r="S4" s="1"/>
    </row>
    <row r="5" spans="1:19" x14ac:dyDescent="0.25">
      <c r="A5" s="134"/>
      <c r="B5" s="6"/>
      <c r="D5" s="5"/>
      <c r="E5" s="58"/>
      <c r="F5" s="58"/>
      <c r="G5" s="58"/>
      <c r="H5" s="58"/>
      <c r="I5" s="58"/>
      <c r="J5" s="58"/>
      <c r="K5" s="58"/>
      <c r="L5" s="58"/>
      <c r="M5" s="58"/>
      <c r="N5" s="58"/>
      <c r="O5" s="58"/>
      <c r="P5" s="58"/>
      <c r="Q5" s="58"/>
      <c r="R5" s="58"/>
      <c r="S5" s="1"/>
    </row>
    <row r="6" spans="1:19" x14ac:dyDescent="0.25">
      <c r="A6" s="134"/>
      <c r="B6" s="9"/>
      <c r="D6" s="17" t="s">
        <v>15</v>
      </c>
      <c r="E6" s="17" t="s">
        <v>16</v>
      </c>
      <c r="F6" s="17" t="s">
        <v>17</v>
      </c>
      <c r="G6" s="17" t="s">
        <v>18</v>
      </c>
      <c r="H6" s="17" t="s">
        <v>19</v>
      </c>
      <c r="I6" s="17" t="s">
        <v>20</v>
      </c>
      <c r="J6" s="17" t="s">
        <v>21</v>
      </c>
      <c r="K6" s="17" t="s">
        <v>22</v>
      </c>
      <c r="L6" s="17" t="s">
        <v>23</v>
      </c>
      <c r="M6" s="17" t="s">
        <v>24</v>
      </c>
      <c r="N6" s="17" t="s">
        <v>27</v>
      </c>
      <c r="O6" s="17" t="s">
        <v>28</v>
      </c>
      <c r="P6" s="17" t="s">
        <v>29</v>
      </c>
      <c r="Q6" s="17" t="s">
        <v>30</v>
      </c>
      <c r="R6" s="17" t="s">
        <v>31</v>
      </c>
      <c r="S6" s="1"/>
    </row>
    <row r="7" spans="1:19" x14ac:dyDescent="0.25">
      <c r="A7" s="134" t="s">
        <v>14</v>
      </c>
      <c r="B7" s="6" t="s">
        <v>11</v>
      </c>
      <c r="D7" s="5">
        <v>234.4</v>
      </c>
      <c r="E7" s="5">
        <v>242.5</v>
      </c>
      <c r="F7" s="5">
        <v>249.5</v>
      </c>
      <c r="G7" s="5">
        <v>255.7</v>
      </c>
      <c r="H7" s="5">
        <v>258</v>
      </c>
      <c r="I7" s="5">
        <v>261.39999999999998</v>
      </c>
      <c r="J7" s="5">
        <v>270.60000000000002</v>
      </c>
      <c r="K7" s="5">
        <v>279.7</v>
      </c>
      <c r="L7" s="5">
        <v>288.2</v>
      </c>
      <c r="M7" s="5">
        <v>292.60000000000002</v>
      </c>
      <c r="N7" s="141">
        <v>301.10000000000002</v>
      </c>
      <c r="O7" s="59"/>
      <c r="P7" s="59"/>
      <c r="Q7" s="59"/>
      <c r="R7" s="59"/>
      <c r="S7" s="1"/>
    </row>
    <row r="8" spans="1:19" x14ac:dyDescent="0.25">
      <c r="A8" s="134" t="s">
        <v>260</v>
      </c>
      <c r="B8" s="6"/>
      <c r="D8" s="99">
        <f>D7/$G$7</f>
        <v>0.9166992569417286</v>
      </c>
      <c r="E8" s="99">
        <f t="shared" ref="E8:R8" si="3">E7/$G$7</f>
        <v>0.9483770043019164</v>
      </c>
      <c r="F8" s="99">
        <f t="shared" si="3"/>
        <v>0.97575283535393043</v>
      </c>
      <c r="G8" s="99">
        <f t="shared" si="3"/>
        <v>1</v>
      </c>
      <c r="H8" s="99">
        <f t="shared" si="3"/>
        <v>1.0089949159170903</v>
      </c>
      <c r="I8" s="99">
        <f t="shared" si="3"/>
        <v>1.0222917481423544</v>
      </c>
      <c r="J8" s="99">
        <f t="shared" si="3"/>
        <v>1.0582714118107157</v>
      </c>
      <c r="K8" s="99">
        <f t="shared" si="3"/>
        <v>1.0938599921783341</v>
      </c>
      <c r="L8" s="99">
        <f t="shared" si="3"/>
        <v>1.127102072741494</v>
      </c>
      <c r="M8" s="99">
        <f t="shared" si="3"/>
        <v>1.1443097379741887</v>
      </c>
      <c r="N8" s="99">
        <f t="shared" si="3"/>
        <v>1.1775518185373486</v>
      </c>
      <c r="O8" s="99"/>
      <c r="P8" s="99"/>
      <c r="Q8" s="99"/>
      <c r="R8" s="99"/>
      <c r="S8" s="1"/>
    </row>
    <row r="9" spans="1:19" x14ac:dyDescent="0.25">
      <c r="B9" s="5"/>
      <c r="D9" s="5"/>
      <c r="S9" s="1"/>
    </row>
    <row r="10" spans="1:19" x14ac:dyDescent="0.25">
      <c r="A10" s="10" t="s">
        <v>192</v>
      </c>
      <c r="B10" s="6"/>
      <c r="D10" s="5"/>
      <c r="S10" s="1"/>
    </row>
    <row r="11" spans="1:19" x14ac:dyDescent="0.25">
      <c r="A11" s="2" t="s">
        <v>25</v>
      </c>
      <c r="B11" s="6" t="s">
        <v>26</v>
      </c>
      <c r="C11" s="15">
        <v>0.02</v>
      </c>
      <c r="D11" s="5"/>
      <c r="S11" s="1"/>
    </row>
    <row r="13" spans="1:19" x14ac:dyDescent="0.25">
      <c r="A13" s="16" t="s">
        <v>32</v>
      </c>
      <c r="C13" s="100">
        <f>(M7/G7)/(M3/L3)</f>
        <v>1.1337728158933951</v>
      </c>
    </row>
    <row r="17" spans="1:19" x14ac:dyDescent="0.25">
      <c r="A17" s="5"/>
      <c r="B17" s="5"/>
      <c r="D17" s="5"/>
      <c r="M17" s="1"/>
      <c r="N17" s="1"/>
      <c r="O17" s="1"/>
      <c r="P17" s="1"/>
      <c r="Q17" s="1"/>
      <c r="R17" s="1"/>
      <c r="S17" s="1"/>
    </row>
    <row r="18" spans="1:19" x14ac:dyDescent="0.25">
      <c r="A18" s="5"/>
      <c r="B18" s="5"/>
      <c r="D18" s="5"/>
      <c r="M18" s="1"/>
      <c r="N18" s="1"/>
      <c r="O18" s="1"/>
      <c r="P18" s="1"/>
      <c r="Q18" s="1"/>
      <c r="R18" s="1"/>
      <c r="S18" s="1"/>
    </row>
    <row r="19" spans="1:19" x14ac:dyDescent="0.25">
      <c r="A19" s="5"/>
      <c r="B19" s="5"/>
      <c r="D19" s="5"/>
      <c r="M19" s="1"/>
      <c r="N19" s="1"/>
      <c r="O19" s="1"/>
      <c r="P19" s="1"/>
      <c r="Q19" s="1"/>
      <c r="R19" s="1"/>
      <c r="S19" s="1"/>
    </row>
    <row r="20" spans="1:19" x14ac:dyDescent="0.25">
      <c r="A20" s="5"/>
      <c r="B20" s="5"/>
      <c r="D20" s="5"/>
      <c r="M20" s="1"/>
      <c r="N20" s="1"/>
      <c r="O20" s="1"/>
      <c r="P20" s="1"/>
      <c r="Q20" s="1"/>
      <c r="R20" s="1"/>
      <c r="S20" s="1"/>
    </row>
    <row r="21" spans="1:19" x14ac:dyDescent="0.25">
      <c r="A21" s="5"/>
      <c r="B21" s="5"/>
      <c r="D21" s="5"/>
      <c r="M21" s="1"/>
      <c r="N21" s="1"/>
      <c r="O21" s="1"/>
      <c r="P21" s="1"/>
      <c r="Q21" s="1"/>
      <c r="R21" s="1"/>
      <c r="S21" s="1"/>
    </row>
    <row r="22" spans="1:19" x14ac:dyDescent="0.25">
      <c r="A22" s="5"/>
      <c r="B22" s="5"/>
      <c r="D22" s="5"/>
      <c r="M22" s="1"/>
      <c r="N22" s="1"/>
      <c r="O22" s="1"/>
      <c r="P22" s="1"/>
      <c r="Q22" s="1"/>
      <c r="R22" s="1"/>
      <c r="S22" s="1"/>
    </row>
    <row r="23" spans="1:19" x14ac:dyDescent="0.25">
      <c r="A23" s="5"/>
      <c r="B23" s="5"/>
      <c r="D23" s="5"/>
      <c r="M23" s="1"/>
      <c r="N23" s="1"/>
      <c r="O23" s="1"/>
      <c r="P23" s="1"/>
      <c r="Q23" s="1"/>
      <c r="R23" s="1"/>
      <c r="S23" s="1"/>
    </row>
    <row r="24" spans="1:19" x14ac:dyDescent="0.25">
      <c r="C24" s="1"/>
      <c r="E24" s="1"/>
      <c r="F24" s="1"/>
      <c r="G24" s="1"/>
      <c r="H24" s="1"/>
      <c r="I24" s="1"/>
      <c r="J24" s="1"/>
      <c r="K24" s="1"/>
      <c r="L24" s="1"/>
      <c r="M24" s="1"/>
      <c r="N24" s="1"/>
      <c r="O24" s="1"/>
      <c r="P24" s="1"/>
      <c r="Q24" s="1"/>
      <c r="R24" s="1"/>
      <c r="S24" s="1"/>
    </row>
    <row r="25" spans="1:19" x14ac:dyDescent="0.25">
      <c r="C25" s="1"/>
      <c r="E25" s="1"/>
      <c r="F25" s="1"/>
      <c r="G25" s="1"/>
      <c r="H25" s="1"/>
      <c r="I25" s="1"/>
      <c r="J25" s="1"/>
      <c r="K25" s="1"/>
      <c r="L25" s="1"/>
      <c r="M25" s="1"/>
      <c r="N25" s="1"/>
      <c r="O25" s="1"/>
      <c r="P25" s="1"/>
      <c r="Q25" s="1"/>
      <c r="R25" s="1"/>
      <c r="S25" s="1"/>
    </row>
    <row r="26" spans="1:19" x14ac:dyDescent="0.25">
      <c r="C26" s="1"/>
      <c r="E26" s="1"/>
      <c r="F26" s="1"/>
      <c r="G26" s="1"/>
      <c r="H26" s="1"/>
      <c r="I26" s="1"/>
      <c r="J26" s="1"/>
      <c r="K26" s="1"/>
      <c r="L26" s="1"/>
      <c r="M26" s="1"/>
      <c r="N26" s="1"/>
      <c r="O26" s="1"/>
      <c r="P26" s="1"/>
      <c r="Q26" s="1"/>
      <c r="R26" s="1"/>
      <c r="S26" s="1"/>
    </row>
    <row r="27" spans="1:19" x14ac:dyDescent="0.25">
      <c r="C27" s="1"/>
      <c r="E27" s="1"/>
      <c r="F27" s="1"/>
      <c r="G27" s="1"/>
      <c r="H27" s="1"/>
      <c r="I27" s="1"/>
      <c r="J27" s="1"/>
      <c r="K27" s="1"/>
      <c r="L27" s="1"/>
      <c r="M27" s="1"/>
      <c r="N27" s="1"/>
      <c r="O27" s="1"/>
      <c r="P27" s="1"/>
      <c r="Q27" s="1"/>
      <c r="R27" s="1"/>
      <c r="S27" s="1"/>
    </row>
    <row r="28" spans="1:19" x14ac:dyDescent="0.25">
      <c r="C28" s="1"/>
      <c r="E28" s="1"/>
      <c r="F28" s="1"/>
      <c r="G28" s="1"/>
      <c r="H28" s="1"/>
      <c r="I28" s="1"/>
      <c r="J28" s="1"/>
      <c r="K28" s="1"/>
      <c r="L28" s="1"/>
      <c r="M28" s="1"/>
      <c r="N28" s="1"/>
      <c r="O28" s="1"/>
      <c r="P28" s="1"/>
      <c r="Q28" s="1"/>
      <c r="R28" s="1"/>
      <c r="S28" s="1"/>
    </row>
    <row r="29" spans="1:19" x14ac:dyDescent="0.25">
      <c r="C29" s="1"/>
      <c r="E29" s="1"/>
      <c r="F29" s="1"/>
      <c r="G29" s="1"/>
      <c r="H29" s="1"/>
      <c r="I29" s="1"/>
      <c r="J29" s="1"/>
      <c r="K29" s="1"/>
      <c r="L29" s="1"/>
      <c r="M29" s="1"/>
      <c r="N29" s="1"/>
      <c r="O29" s="1"/>
      <c r="P29" s="1"/>
      <c r="Q29" s="1"/>
      <c r="R29" s="1"/>
      <c r="S29" s="1"/>
    </row>
    <row r="30" spans="1:19" x14ac:dyDescent="0.25">
      <c r="C30" s="1"/>
      <c r="E30" s="1"/>
      <c r="F30" s="1"/>
      <c r="G30" s="1"/>
      <c r="H30" s="1"/>
      <c r="I30" s="1"/>
      <c r="J30" s="1"/>
      <c r="K30" s="1"/>
      <c r="L30" s="1"/>
      <c r="M30" s="1"/>
      <c r="N30" s="1"/>
      <c r="O30" s="1"/>
      <c r="P30" s="1"/>
      <c r="Q30" s="1"/>
      <c r="R30" s="1"/>
      <c r="S30" s="1"/>
    </row>
    <row r="31" spans="1:19" x14ac:dyDescent="0.25">
      <c r="C31" s="1"/>
      <c r="E31" s="1"/>
      <c r="F31" s="1"/>
      <c r="G31" s="1"/>
      <c r="H31" s="1"/>
      <c r="I31" s="1"/>
      <c r="J31" s="1"/>
      <c r="K31" s="1"/>
      <c r="L31" s="1"/>
      <c r="M31" s="1"/>
      <c r="N31" s="1"/>
      <c r="O31" s="1"/>
      <c r="P31" s="1"/>
      <c r="Q31" s="1"/>
      <c r="R31" s="1"/>
      <c r="S31" s="1"/>
    </row>
    <row r="32" spans="1:19" ht="15" customHeight="1" x14ac:dyDescent="0.25">
      <c r="C32" s="1"/>
      <c r="E32" s="1"/>
      <c r="F32" s="1"/>
      <c r="G32" s="1"/>
      <c r="H32" s="1"/>
      <c r="I32" s="1"/>
      <c r="J32" s="1"/>
      <c r="K32" s="1"/>
      <c r="L32" s="1"/>
      <c r="M32" s="1"/>
      <c r="N32" s="1"/>
      <c r="O32" s="1"/>
      <c r="P32" s="1"/>
      <c r="Q32" s="1"/>
      <c r="R32" s="1"/>
      <c r="S32" s="1"/>
    </row>
    <row r="33" spans="1:19" x14ac:dyDescent="0.25">
      <c r="C33" s="1"/>
      <c r="E33" s="1"/>
      <c r="F33" s="1"/>
      <c r="G33" s="1"/>
      <c r="H33" s="1"/>
      <c r="I33" s="1"/>
      <c r="J33" s="1"/>
      <c r="K33" s="1"/>
      <c r="L33" s="1"/>
      <c r="M33" s="1"/>
      <c r="N33" s="1"/>
      <c r="O33" s="1"/>
      <c r="P33" s="1"/>
      <c r="Q33" s="1"/>
      <c r="R33" s="1"/>
      <c r="S33" s="1"/>
    </row>
    <row r="34" spans="1:19" ht="15" customHeight="1" x14ac:dyDescent="0.25">
      <c r="C34" s="1"/>
      <c r="E34" s="1"/>
      <c r="F34" s="1"/>
      <c r="G34" s="1"/>
      <c r="H34" s="1"/>
      <c r="I34" s="1"/>
      <c r="J34" s="1"/>
      <c r="K34" s="1"/>
      <c r="L34" s="1"/>
      <c r="M34" s="1"/>
      <c r="N34" s="1"/>
      <c r="O34" s="1"/>
      <c r="P34" s="1"/>
      <c r="Q34" s="1"/>
      <c r="R34" s="1"/>
      <c r="S34" s="1"/>
    </row>
    <row r="35" spans="1:19" x14ac:dyDescent="0.25">
      <c r="C35" s="1"/>
      <c r="E35" s="1"/>
      <c r="F35" s="1"/>
      <c r="G35" s="1"/>
      <c r="H35" s="1"/>
      <c r="I35" s="1"/>
      <c r="J35" s="1"/>
      <c r="K35" s="1"/>
      <c r="L35" s="1"/>
      <c r="M35" s="1"/>
      <c r="N35" s="1"/>
      <c r="O35" s="1"/>
      <c r="P35" s="1"/>
      <c r="Q35" s="1"/>
      <c r="R35" s="1"/>
      <c r="S35" s="1"/>
    </row>
    <row r="36" spans="1:19" ht="15" customHeight="1" x14ac:dyDescent="0.25">
      <c r="C36" s="1"/>
      <c r="E36" s="1"/>
      <c r="F36" s="1"/>
      <c r="G36" s="1"/>
      <c r="H36" s="1"/>
      <c r="I36" s="1"/>
      <c r="J36" s="1"/>
      <c r="K36" s="1"/>
      <c r="L36" s="1"/>
      <c r="M36" s="1"/>
      <c r="N36" s="1"/>
      <c r="O36" s="1"/>
      <c r="P36" s="1"/>
      <c r="Q36" s="1"/>
      <c r="R36" s="1"/>
      <c r="S36" s="1"/>
    </row>
    <row r="37" spans="1:19" x14ac:dyDescent="0.25">
      <c r="C37" s="1"/>
      <c r="E37" s="1"/>
      <c r="F37" s="1"/>
      <c r="G37" s="1"/>
      <c r="H37" s="1"/>
      <c r="I37" s="1"/>
      <c r="J37" s="1"/>
      <c r="K37" s="1"/>
      <c r="L37" s="1"/>
      <c r="M37" s="1"/>
      <c r="N37" s="1"/>
      <c r="O37" s="1"/>
      <c r="P37" s="1"/>
      <c r="Q37" s="1"/>
      <c r="R37" s="1"/>
      <c r="S37" s="1"/>
    </row>
    <row r="38" spans="1:19" x14ac:dyDescent="0.25">
      <c r="A38" s="5"/>
      <c r="B38" s="5"/>
      <c r="D38" s="5"/>
      <c r="M38" s="1"/>
      <c r="N38" s="1"/>
      <c r="O38" s="1"/>
      <c r="P38" s="1"/>
      <c r="Q38" s="1"/>
      <c r="R38" s="1"/>
      <c r="S38" s="1"/>
    </row>
    <row r="39" spans="1:19" x14ac:dyDescent="0.25">
      <c r="A39" s="5"/>
      <c r="B39" s="5"/>
      <c r="D39" s="5"/>
      <c r="M39" s="1"/>
      <c r="N39" s="1"/>
      <c r="O39" s="1"/>
      <c r="P39" s="1"/>
      <c r="Q39" s="1"/>
      <c r="R39" s="1"/>
      <c r="S39" s="1"/>
    </row>
    <row r="40" spans="1:19" x14ac:dyDescent="0.25">
      <c r="A40" s="5"/>
      <c r="B40" s="5"/>
      <c r="D40" s="5"/>
      <c r="F40" s="11"/>
      <c r="J40" s="12"/>
      <c r="M40" s="1"/>
      <c r="N40" s="1"/>
      <c r="O40" s="1"/>
      <c r="P40" s="1"/>
      <c r="Q40" s="1"/>
      <c r="R40" s="1"/>
      <c r="S40" s="1"/>
    </row>
    <row r="41" spans="1:19" x14ac:dyDescent="0.25">
      <c r="A41" s="4"/>
      <c r="B41" s="5"/>
      <c r="D41" s="5"/>
      <c r="M41" s="1"/>
      <c r="N41" s="1"/>
      <c r="O41" s="1"/>
      <c r="P41" s="1"/>
      <c r="Q41" s="1"/>
      <c r="R41" s="1"/>
      <c r="S41" s="1"/>
    </row>
    <row r="42" spans="1:19" x14ac:dyDescent="0.25">
      <c r="A42" s="4"/>
      <c r="B42" s="13"/>
      <c r="D42" s="5"/>
      <c r="M42" s="1"/>
      <c r="N42" s="1"/>
      <c r="O42" s="1"/>
      <c r="P42" s="1"/>
      <c r="Q42" s="1"/>
      <c r="R42" s="1"/>
      <c r="S42" s="1"/>
    </row>
    <row r="43" spans="1:19" x14ac:dyDescent="0.25">
      <c r="A43" s="5"/>
      <c r="B43" s="5"/>
      <c r="D43" s="5"/>
      <c r="M43" s="1"/>
      <c r="N43" s="1"/>
      <c r="O43" s="1"/>
      <c r="P43" s="1"/>
      <c r="Q43" s="1"/>
      <c r="R43" s="1"/>
      <c r="S43" s="1"/>
    </row>
    <row r="44" spans="1:19" x14ac:dyDescent="0.25">
      <c r="A44" s="5"/>
      <c r="B44" s="5"/>
      <c r="D44" s="5"/>
      <c r="M44" s="1"/>
      <c r="N44" s="1"/>
      <c r="O44" s="1"/>
      <c r="P44" s="1"/>
      <c r="Q44" s="1"/>
      <c r="R44" s="1"/>
      <c r="S44" s="1"/>
    </row>
    <row r="45" spans="1:19" x14ac:dyDescent="0.25">
      <c r="A45" s="5"/>
      <c r="B45" s="5"/>
      <c r="D45" s="5"/>
      <c r="M45" s="1"/>
      <c r="N45" s="1"/>
      <c r="O45" s="1"/>
      <c r="P45" s="1"/>
      <c r="Q45" s="1"/>
      <c r="R45" s="1"/>
      <c r="S45" s="1"/>
    </row>
    <row r="46" spans="1:19" x14ac:dyDescent="0.25">
      <c r="A46" s="5"/>
      <c r="B46" s="5"/>
      <c r="D46" s="5"/>
      <c r="M46" s="1"/>
      <c r="N46" s="1"/>
      <c r="O46" s="1"/>
      <c r="P46" s="1"/>
      <c r="Q46" s="1"/>
      <c r="R46" s="1"/>
      <c r="S46" s="1"/>
    </row>
    <row r="47" spans="1:19" x14ac:dyDescent="0.25">
      <c r="A47" s="5"/>
      <c r="B47" s="5"/>
      <c r="D47" s="5"/>
      <c r="M47" s="1"/>
      <c r="N47" s="1"/>
      <c r="O47" s="1"/>
      <c r="P47" s="1"/>
      <c r="Q47" s="1"/>
      <c r="R47" s="1"/>
      <c r="S47" s="1"/>
    </row>
    <row r="48" spans="1:19" x14ac:dyDescent="0.25">
      <c r="A48" s="5"/>
      <c r="B48" s="5"/>
      <c r="D48" s="5"/>
      <c r="M48" s="1"/>
      <c r="N48" s="1"/>
      <c r="O48" s="1"/>
      <c r="P48" s="1"/>
      <c r="Q48" s="1"/>
      <c r="R48" s="1"/>
      <c r="S48" s="1"/>
    </row>
    <row r="49" spans="1:19" x14ac:dyDescent="0.25">
      <c r="A49" s="5"/>
      <c r="B49" s="5"/>
      <c r="D49" s="5"/>
      <c r="M49" s="1"/>
      <c r="N49" s="1"/>
      <c r="O49" s="1"/>
      <c r="P49" s="1"/>
      <c r="Q49" s="1"/>
      <c r="R49" s="1"/>
      <c r="S49" s="1"/>
    </row>
    <row r="50" spans="1:19" x14ac:dyDescent="0.25">
      <c r="A50" s="5"/>
      <c r="B50" s="5"/>
      <c r="D50" s="5"/>
      <c r="M50" s="1"/>
      <c r="N50" s="1"/>
      <c r="O50" s="1"/>
      <c r="P50" s="1"/>
      <c r="Q50" s="1"/>
      <c r="R50" s="1"/>
      <c r="S50" s="1"/>
    </row>
    <row r="51" spans="1:19" x14ac:dyDescent="0.25">
      <c r="A51" s="5"/>
      <c r="B51" s="5"/>
      <c r="D51" s="5"/>
      <c r="M51" s="1"/>
      <c r="N51" s="1"/>
      <c r="O51" s="1"/>
      <c r="P51" s="1"/>
      <c r="Q51" s="1"/>
      <c r="R51" s="1"/>
      <c r="S51" s="1"/>
    </row>
    <row r="52" spans="1:19" x14ac:dyDescent="0.25">
      <c r="A52" s="5"/>
      <c r="B52" s="5"/>
      <c r="D52" s="5"/>
      <c r="M52" s="1"/>
      <c r="N52" s="1"/>
      <c r="O52" s="1"/>
      <c r="P52" s="1"/>
      <c r="Q52" s="1"/>
      <c r="R52" s="1"/>
      <c r="S52" s="1"/>
    </row>
    <row r="53" spans="1:19" x14ac:dyDescent="0.25">
      <c r="A53" s="5"/>
      <c r="B53" s="5"/>
      <c r="D53" s="5"/>
      <c r="M53" s="1"/>
      <c r="N53" s="1"/>
      <c r="O53" s="1"/>
      <c r="P53" s="1"/>
      <c r="Q53" s="1"/>
      <c r="R53" s="1"/>
      <c r="S53" s="1"/>
    </row>
    <row r="54" spans="1:19" x14ac:dyDescent="0.25">
      <c r="A54" s="5"/>
      <c r="B54" s="5"/>
      <c r="D54" s="5"/>
      <c r="M54" s="1"/>
      <c r="N54" s="1"/>
      <c r="O54" s="1"/>
      <c r="P54" s="1"/>
      <c r="Q54" s="1"/>
      <c r="R54" s="1"/>
      <c r="S54" s="1"/>
    </row>
    <row r="55" spans="1:19" x14ac:dyDescent="0.25">
      <c r="A55" s="5"/>
      <c r="B55" s="5"/>
      <c r="D55" s="5"/>
      <c r="M55" s="1"/>
      <c r="N55" s="1"/>
      <c r="O55" s="1"/>
      <c r="P55" s="1"/>
      <c r="Q55" s="1"/>
      <c r="R55" s="1"/>
      <c r="S55" s="1"/>
    </row>
    <row r="56" spans="1:19" x14ac:dyDescent="0.25">
      <c r="A56" s="5"/>
      <c r="B56" s="5"/>
      <c r="D56" s="5"/>
      <c r="M56" s="1"/>
      <c r="N56" s="1"/>
      <c r="O56" s="1"/>
      <c r="P56" s="1"/>
      <c r="Q56" s="1"/>
      <c r="R56" s="1"/>
      <c r="S56" s="1"/>
    </row>
    <row r="57" spans="1:19" x14ac:dyDescent="0.25">
      <c r="A57" s="5"/>
      <c r="B57" s="5"/>
      <c r="D57" s="5"/>
      <c r="M57" s="1"/>
      <c r="N57" s="1"/>
      <c r="O57" s="1"/>
      <c r="P57" s="1"/>
      <c r="Q57" s="1"/>
      <c r="R57" s="1"/>
      <c r="S57" s="1"/>
    </row>
    <row r="58" spans="1:19" x14ac:dyDescent="0.25">
      <c r="A58" s="5"/>
      <c r="B58" s="5"/>
      <c r="D58" s="5"/>
      <c r="M58" s="1"/>
      <c r="N58" s="1"/>
      <c r="O58" s="1"/>
      <c r="P58" s="1"/>
      <c r="Q58" s="1"/>
      <c r="R58" s="1"/>
      <c r="S58" s="1"/>
    </row>
    <row r="59" spans="1:19" x14ac:dyDescent="0.25">
      <c r="A59" s="5"/>
      <c r="B59" s="5"/>
      <c r="D59" s="5"/>
      <c r="M59" s="1"/>
      <c r="N59" s="1"/>
      <c r="O59" s="1"/>
      <c r="P59" s="1"/>
      <c r="Q59" s="1"/>
      <c r="R59" s="1"/>
      <c r="S59" s="1"/>
    </row>
    <row r="60" spans="1:19" x14ac:dyDescent="0.25">
      <c r="A60" s="5"/>
      <c r="B60" s="5"/>
      <c r="D60" s="5"/>
      <c r="M60" s="1"/>
      <c r="N60" s="1"/>
      <c r="O60" s="1"/>
      <c r="P60" s="1"/>
      <c r="Q60" s="1"/>
      <c r="R60" s="1"/>
      <c r="S60" s="1"/>
    </row>
    <row r="61" spans="1:19" x14ac:dyDescent="0.25">
      <c r="A61" s="5"/>
      <c r="B61" s="5"/>
      <c r="D61" s="5"/>
      <c r="M61" s="1"/>
      <c r="N61" s="1"/>
      <c r="O61" s="1"/>
      <c r="P61" s="1"/>
      <c r="Q61" s="1"/>
      <c r="R61" s="1"/>
      <c r="S61" s="1"/>
    </row>
    <row r="62" spans="1:19" x14ac:dyDescent="0.25">
      <c r="A62" s="5"/>
      <c r="B62" s="5"/>
      <c r="D62" s="5"/>
      <c r="M62" s="1"/>
      <c r="N62" s="1"/>
      <c r="O62" s="1"/>
      <c r="P62" s="1"/>
      <c r="Q62" s="1"/>
      <c r="R62" s="1"/>
      <c r="S62" s="1"/>
    </row>
    <row r="63" spans="1:19" x14ac:dyDescent="0.25">
      <c r="A63" s="5"/>
      <c r="B63" s="5"/>
      <c r="D63" s="5"/>
      <c r="M63" s="1"/>
      <c r="N63" s="1"/>
      <c r="O63" s="1"/>
      <c r="P63" s="1"/>
      <c r="Q63" s="1"/>
      <c r="R63" s="1"/>
      <c r="S63" s="1"/>
    </row>
    <row r="64" spans="1:19" x14ac:dyDescent="0.25">
      <c r="A64" s="5"/>
      <c r="B64" s="5"/>
      <c r="D64" s="5"/>
      <c r="M64" s="1"/>
      <c r="N64" s="1"/>
      <c r="O64" s="1"/>
      <c r="P64" s="1"/>
      <c r="Q64" s="1"/>
      <c r="R64" s="1"/>
      <c r="S64" s="1"/>
    </row>
    <row r="65" spans="1:19" x14ac:dyDescent="0.25">
      <c r="A65" s="5"/>
      <c r="B65" s="5"/>
      <c r="D65" s="5"/>
      <c r="M65" s="1"/>
      <c r="N65" s="1"/>
      <c r="O65" s="1"/>
      <c r="P65" s="1"/>
      <c r="Q65" s="1"/>
      <c r="R65" s="1"/>
      <c r="S65" s="1"/>
    </row>
    <row r="66" spans="1:19" x14ac:dyDescent="0.25">
      <c r="A66" s="5"/>
      <c r="B66" s="5"/>
      <c r="D66" s="5"/>
      <c r="M66" s="1"/>
      <c r="N66" s="1"/>
      <c r="O66" s="1"/>
      <c r="P66" s="1"/>
      <c r="Q66" s="1"/>
      <c r="R66" s="1"/>
      <c r="S66" s="1"/>
    </row>
    <row r="67" spans="1:19" x14ac:dyDescent="0.25">
      <c r="A67" s="5"/>
      <c r="B67" s="5"/>
      <c r="D67" s="5"/>
      <c r="M67" s="1"/>
      <c r="N67" s="1"/>
      <c r="O67" s="1"/>
      <c r="P67" s="1"/>
      <c r="Q67" s="1"/>
      <c r="R67" s="1"/>
      <c r="S67" s="1"/>
    </row>
    <row r="68" spans="1:19" x14ac:dyDescent="0.25">
      <c r="A68" s="5"/>
      <c r="B68" s="5"/>
      <c r="D68" s="5"/>
      <c r="M68" s="1"/>
      <c r="N68" s="1"/>
      <c r="O68" s="1"/>
      <c r="P68" s="1"/>
      <c r="Q68" s="1"/>
      <c r="R68" s="1"/>
      <c r="S68" s="1"/>
    </row>
    <row r="69" spans="1:19" x14ac:dyDescent="0.25">
      <c r="A69" s="5"/>
      <c r="B69" s="5"/>
      <c r="D69" s="5"/>
      <c r="M69" s="1"/>
      <c r="N69" s="1"/>
      <c r="O69" s="1"/>
      <c r="P69" s="1"/>
      <c r="Q69" s="1"/>
      <c r="R69" s="1"/>
      <c r="S69" s="1"/>
    </row>
    <row r="70" spans="1:19" x14ac:dyDescent="0.25">
      <c r="A70" s="5"/>
      <c r="B70" s="5"/>
      <c r="D70" s="5"/>
      <c r="M70" s="1"/>
      <c r="N70" s="1"/>
      <c r="O70" s="1"/>
      <c r="P70" s="1"/>
      <c r="Q70" s="1"/>
      <c r="R70" s="1"/>
      <c r="S70" s="1"/>
    </row>
    <row r="71" spans="1:19" x14ac:dyDescent="0.25">
      <c r="A71" s="5"/>
      <c r="B71" s="5"/>
      <c r="D71" s="5"/>
      <c r="M71" s="1"/>
      <c r="N71" s="1"/>
      <c r="O71" s="1"/>
      <c r="P71" s="1"/>
      <c r="Q71" s="1"/>
      <c r="R71" s="1"/>
      <c r="S71" s="1"/>
    </row>
    <row r="72" spans="1:19" x14ac:dyDescent="0.25">
      <c r="A72" s="5"/>
      <c r="B72" s="5"/>
      <c r="D72" s="5"/>
      <c r="M72" s="1"/>
      <c r="N72" s="1"/>
      <c r="O72" s="1"/>
      <c r="P72" s="1"/>
      <c r="Q72" s="1"/>
      <c r="R72" s="1"/>
      <c r="S72" s="1"/>
    </row>
    <row r="73" spans="1:19" x14ac:dyDescent="0.25">
      <c r="A73" s="5"/>
      <c r="B73" s="5"/>
      <c r="D73" s="5"/>
      <c r="M73" s="1"/>
      <c r="N73" s="1"/>
      <c r="O73" s="1"/>
      <c r="P73" s="1"/>
      <c r="Q73" s="1"/>
      <c r="R73" s="1"/>
      <c r="S73" s="1"/>
    </row>
    <row r="74" spans="1:19" x14ac:dyDescent="0.25">
      <c r="A74" s="5"/>
      <c r="B74" s="5"/>
      <c r="D74" s="5"/>
      <c r="M74" s="1"/>
      <c r="N74" s="1"/>
      <c r="O74" s="1"/>
      <c r="P74" s="1"/>
      <c r="Q74" s="1"/>
      <c r="R74" s="1"/>
      <c r="S74" s="1"/>
    </row>
    <row r="75" spans="1:19" x14ac:dyDescent="0.25">
      <c r="A75" s="5"/>
      <c r="B75" s="5"/>
      <c r="D75" s="5"/>
      <c r="M75" s="1"/>
      <c r="N75" s="1"/>
      <c r="O75" s="1"/>
      <c r="P75" s="1"/>
      <c r="Q75" s="1"/>
      <c r="R75" s="1"/>
      <c r="S75" s="1"/>
    </row>
    <row r="76" spans="1:19" x14ac:dyDescent="0.25">
      <c r="A76" s="5"/>
      <c r="B76" s="5"/>
      <c r="D76" s="5"/>
      <c r="M76" s="1"/>
      <c r="N76" s="1"/>
      <c r="O76" s="1"/>
      <c r="P76" s="1"/>
      <c r="Q76" s="1"/>
      <c r="R76" s="1"/>
      <c r="S76" s="1"/>
    </row>
    <row r="77" spans="1:19" x14ac:dyDescent="0.25">
      <c r="A77" s="5"/>
      <c r="B77" s="5"/>
      <c r="D77" s="5"/>
      <c r="M77" s="1"/>
      <c r="N77" s="1"/>
      <c r="O77" s="1"/>
      <c r="P77" s="1"/>
      <c r="Q77" s="1"/>
      <c r="R77" s="1"/>
      <c r="S77" s="1"/>
    </row>
    <row r="78" spans="1:19" x14ac:dyDescent="0.25">
      <c r="A78" s="5"/>
      <c r="B78" s="5"/>
      <c r="D78" s="5"/>
      <c r="M78" s="1"/>
      <c r="N78" s="1"/>
      <c r="O78" s="1"/>
      <c r="P78" s="1"/>
      <c r="Q78" s="1"/>
      <c r="R78" s="1"/>
      <c r="S78" s="1"/>
    </row>
    <row r="79" spans="1:19" x14ac:dyDescent="0.25">
      <c r="A79" s="5"/>
      <c r="B79" s="5"/>
      <c r="D79" s="5"/>
      <c r="M79" s="1"/>
      <c r="N79" s="1"/>
      <c r="O79" s="1"/>
      <c r="P79" s="1"/>
      <c r="Q79" s="1"/>
      <c r="R79" s="1"/>
      <c r="S79" s="1"/>
    </row>
    <row r="80" spans="1:19" x14ac:dyDescent="0.25">
      <c r="A80" s="5"/>
      <c r="B80" s="5"/>
      <c r="D80" s="5"/>
      <c r="M80" s="1"/>
      <c r="N80" s="1"/>
      <c r="O80" s="1"/>
      <c r="P80" s="1"/>
      <c r="Q80" s="1"/>
      <c r="R80" s="1"/>
      <c r="S80" s="1"/>
    </row>
    <row r="81" spans="1:19" x14ac:dyDescent="0.25">
      <c r="A81" s="5"/>
      <c r="B81" s="5"/>
      <c r="D81" s="5"/>
      <c r="M81" s="1"/>
      <c r="N81" s="1"/>
      <c r="O81" s="1"/>
      <c r="P81" s="1"/>
      <c r="Q81" s="1"/>
      <c r="R81" s="1"/>
      <c r="S81" s="1"/>
    </row>
    <row r="82" spans="1:19" x14ac:dyDescent="0.25">
      <c r="A82" s="5"/>
      <c r="B82" s="5"/>
      <c r="D82" s="5"/>
      <c r="M82" s="1"/>
      <c r="N82" s="1"/>
      <c r="O82" s="1"/>
      <c r="P82" s="1"/>
      <c r="Q82" s="1"/>
      <c r="R82" s="1"/>
      <c r="S82" s="1"/>
    </row>
    <row r="83" spans="1:19" x14ac:dyDescent="0.25">
      <c r="A83" s="5"/>
      <c r="B83" s="5"/>
      <c r="D83" s="5"/>
      <c r="M83" s="1"/>
      <c r="N83" s="1"/>
      <c r="O83" s="1"/>
      <c r="P83" s="1"/>
      <c r="Q83" s="1"/>
      <c r="R83" s="1"/>
      <c r="S83" s="1"/>
    </row>
    <row r="84" spans="1:19" x14ac:dyDescent="0.25">
      <c r="A84" s="5"/>
      <c r="B84" s="5"/>
      <c r="D84" s="5"/>
      <c r="M84" s="1"/>
      <c r="N84" s="1"/>
      <c r="O84" s="1"/>
      <c r="P84" s="1"/>
      <c r="Q84" s="1"/>
      <c r="R84" s="1"/>
      <c r="S84" s="1"/>
    </row>
    <row r="85" spans="1:19" x14ac:dyDescent="0.25">
      <c r="A85" s="5"/>
      <c r="B85" s="5"/>
      <c r="D85" s="5"/>
      <c r="M85" s="1"/>
      <c r="N85" s="1"/>
      <c r="O85" s="1"/>
      <c r="P85" s="1"/>
      <c r="Q85" s="1"/>
      <c r="R85" s="1"/>
      <c r="S85" s="1"/>
    </row>
    <row r="86" spans="1:19" x14ac:dyDescent="0.25">
      <c r="A86" s="5"/>
      <c r="B86" s="5"/>
      <c r="D86" s="5"/>
      <c r="M86" s="1"/>
      <c r="N86" s="1"/>
      <c r="O86" s="1"/>
      <c r="P86" s="1"/>
      <c r="Q86" s="1"/>
      <c r="R86" s="1"/>
      <c r="S86" s="1"/>
    </row>
    <row r="87" spans="1:19" x14ac:dyDescent="0.25">
      <c r="A87" s="5"/>
      <c r="B87" s="5"/>
      <c r="D87" s="5"/>
      <c r="M87" s="1"/>
      <c r="N87" s="1"/>
      <c r="O87" s="1"/>
      <c r="P87" s="1"/>
      <c r="Q87" s="1"/>
      <c r="R87" s="1"/>
      <c r="S87" s="1"/>
    </row>
    <row r="88" spans="1:19" x14ac:dyDescent="0.25">
      <c r="A88" s="5"/>
      <c r="B88" s="5"/>
      <c r="D88" s="5"/>
      <c r="M88" s="1"/>
      <c r="N88" s="1"/>
      <c r="O88" s="1"/>
      <c r="P88" s="1"/>
      <c r="Q88" s="1"/>
      <c r="R88" s="1"/>
      <c r="S88" s="1"/>
    </row>
    <row r="89" spans="1:19" x14ac:dyDescent="0.25">
      <c r="A89" s="5"/>
      <c r="B89" s="5"/>
      <c r="D89" s="5"/>
      <c r="M89" s="1"/>
      <c r="N89" s="1"/>
      <c r="O89" s="1"/>
      <c r="P89" s="1"/>
      <c r="Q89" s="1"/>
      <c r="R89" s="1"/>
      <c r="S89" s="1"/>
    </row>
    <row r="90" spans="1:19" x14ac:dyDescent="0.25">
      <c r="A90" s="5"/>
      <c r="B90" s="5"/>
      <c r="D90" s="5"/>
      <c r="M90" s="1"/>
      <c r="N90" s="1"/>
      <c r="O90" s="1"/>
      <c r="P90" s="1"/>
      <c r="Q90" s="1"/>
      <c r="R90" s="1"/>
      <c r="S90" s="1"/>
    </row>
    <row r="91" spans="1:19" x14ac:dyDescent="0.25">
      <c r="A91" s="5"/>
      <c r="B91" s="5"/>
      <c r="D91" s="5"/>
      <c r="M91" s="1"/>
      <c r="N91" s="1"/>
      <c r="O91" s="1"/>
      <c r="P91" s="1"/>
      <c r="Q91" s="1"/>
      <c r="R91" s="1"/>
      <c r="S91" s="1"/>
    </row>
    <row r="92" spans="1:19" x14ac:dyDescent="0.25">
      <c r="A92" s="5"/>
      <c r="B92" s="5"/>
      <c r="D92" s="5"/>
      <c r="M92" s="1"/>
      <c r="N92" s="1"/>
      <c r="O92" s="1"/>
      <c r="P92" s="1"/>
      <c r="Q92" s="1"/>
      <c r="R92" s="1"/>
      <c r="S92" s="1"/>
    </row>
    <row r="93" spans="1:19" x14ac:dyDescent="0.25">
      <c r="A93" s="5"/>
      <c r="B93" s="5"/>
      <c r="D93" s="5"/>
      <c r="M93" s="1"/>
      <c r="N93" s="1"/>
      <c r="O93" s="1"/>
      <c r="P93" s="1"/>
      <c r="Q93" s="1"/>
      <c r="R93" s="1"/>
      <c r="S93" s="1"/>
    </row>
    <row r="94" spans="1:19" x14ac:dyDescent="0.25">
      <c r="A94" s="5"/>
      <c r="B94" s="5"/>
      <c r="D94" s="5"/>
      <c r="M94" s="1"/>
      <c r="N94" s="1"/>
      <c r="O94" s="1"/>
      <c r="P94" s="1"/>
      <c r="Q94" s="1"/>
      <c r="R94" s="1"/>
      <c r="S94" s="1"/>
    </row>
    <row r="95" spans="1:19" x14ac:dyDescent="0.25">
      <c r="A95" s="5"/>
      <c r="B95" s="5"/>
      <c r="D95" s="5"/>
      <c r="M95" s="1"/>
      <c r="N95" s="1"/>
      <c r="O95" s="1"/>
      <c r="P95" s="1"/>
      <c r="Q95" s="1"/>
      <c r="R95" s="1"/>
      <c r="S95" s="1"/>
    </row>
    <row r="96" spans="1:19" x14ac:dyDescent="0.25">
      <c r="A96" s="5"/>
      <c r="B96" s="5"/>
      <c r="D96" s="5"/>
      <c r="M96" s="1"/>
      <c r="N96" s="1"/>
      <c r="O96" s="1"/>
      <c r="P96" s="1"/>
      <c r="Q96" s="1"/>
      <c r="R96" s="1"/>
      <c r="S96" s="1"/>
    </row>
    <row r="97" spans="1:19" x14ac:dyDescent="0.25">
      <c r="A97" s="5"/>
      <c r="B97" s="5"/>
      <c r="D97" s="5"/>
      <c r="M97" s="1"/>
      <c r="N97" s="1"/>
      <c r="O97" s="1"/>
      <c r="P97" s="1"/>
      <c r="Q97" s="1"/>
      <c r="R97" s="1"/>
      <c r="S97" s="1"/>
    </row>
    <row r="98" spans="1:19" x14ac:dyDescent="0.25">
      <c r="A98" s="5"/>
      <c r="B98" s="5"/>
      <c r="D98" s="5"/>
      <c r="M98" s="1"/>
      <c r="N98" s="1"/>
      <c r="O98" s="1"/>
      <c r="P98" s="1"/>
      <c r="Q98" s="1"/>
      <c r="R98" s="1"/>
      <c r="S98" s="1"/>
    </row>
    <row r="99" spans="1:19" x14ac:dyDescent="0.25">
      <c r="A99" s="5"/>
      <c r="B99" s="5"/>
      <c r="D99" s="5"/>
      <c r="M99" s="1"/>
      <c r="N99" s="1"/>
      <c r="O99" s="1"/>
      <c r="P99" s="1"/>
      <c r="Q99" s="1"/>
      <c r="R99" s="1"/>
      <c r="S99" s="1"/>
    </row>
    <row r="100" spans="1:19" x14ac:dyDescent="0.25">
      <c r="A100" s="5"/>
      <c r="B100" s="5"/>
      <c r="D100" s="5"/>
      <c r="M100" s="1"/>
      <c r="N100" s="1"/>
      <c r="O100" s="1"/>
      <c r="P100" s="1"/>
      <c r="Q100" s="1"/>
      <c r="R100" s="1"/>
      <c r="S100" s="1"/>
    </row>
    <row r="101" spans="1:19" x14ac:dyDescent="0.25">
      <c r="A101" s="5"/>
      <c r="B101" s="5"/>
      <c r="D101" s="5"/>
      <c r="M101" s="1"/>
      <c r="N101" s="1"/>
      <c r="O101" s="1"/>
      <c r="P101" s="1"/>
      <c r="Q101" s="1"/>
      <c r="R101" s="1"/>
      <c r="S101" s="1"/>
    </row>
    <row r="102" spans="1:19" x14ac:dyDescent="0.25">
      <c r="A102" s="5"/>
      <c r="B102" s="5"/>
      <c r="D102" s="5"/>
      <c r="M102" s="1"/>
      <c r="N102" s="1"/>
      <c r="O102" s="1"/>
      <c r="P102" s="1"/>
      <c r="Q102" s="1"/>
      <c r="R102" s="1"/>
      <c r="S102" s="1"/>
    </row>
    <row r="103" spans="1:19" x14ac:dyDescent="0.25">
      <c r="A103" s="5"/>
      <c r="B103" s="5"/>
      <c r="D103" s="5"/>
      <c r="M103" s="1"/>
      <c r="N103" s="1"/>
      <c r="O103" s="1"/>
      <c r="P103" s="1"/>
      <c r="Q103" s="1"/>
      <c r="R103" s="1"/>
      <c r="S103" s="1"/>
    </row>
    <row r="104" spans="1:19" x14ac:dyDescent="0.25">
      <c r="A104" s="5"/>
      <c r="B104" s="5"/>
      <c r="D104" s="5"/>
      <c r="M104" s="1"/>
      <c r="N104" s="1"/>
      <c r="O104" s="1"/>
      <c r="P104" s="1"/>
      <c r="Q104" s="1"/>
      <c r="R104" s="1"/>
      <c r="S104" s="1"/>
    </row>
    <row r="105" spans="1:19" x14ac:dyDescent="0.25">
      <c r="A105" s="5"/>
      <c r="B105" s="5"/>
      <c r="D105" s="5"/>
      <c r="M105" s="1"/>
      <c r="N105" s="1"/>
      <c r="O105" s="1"/>
      <c r="P105" s="1"/>
      <c r="Q105" s="1"/>
      <c r="R105" s="1"/>
      <c r="S105" s="1"/>
    </row>
    <row r="106" spans="1:19" x14ac:dyDescent="0.25">
      <c r="A106" s="5"/>
      <c r="B106" s="5"/>
      <c r="D106" s="5"/>
      <c r="M106" s="1"/>
      <c r="N106" s="1"/>
      <c r="O106" s="1"/>
      <c r="P106" s="1"/>
      <c r="Q106" s="1"/>
      <c r="R106" s="1"/>
      <c r="S106" s="1"/>
    </row>
    <row r="107" spans="1:19" x14ac:dyDescent="0.25">
      <c r="A107" s="5"/>
      <c r="B107" s="5"/>
      <c r="D107" s="5"/>
      <c r="M107" s="1"/>
      <c r="N107" s="1"/>
      <c r="O107" s="1"/>
      <c r="P107" s="1"/>
      <c r="Q107" s="1"/>
      <c r="R107" s="1"/>
      <c r="S107" s="1"/>
    </row>
    <row r="108" spans="1:19" x14ac:dyDescent="0.25">
      <c r="A108" s="5"/>
      <c r="B108" s="5"/>
      <c r="D108" s="5"/>
      <c r="M108" s="1"/>
      <c r="N108" s="1"/>
      <c r="O108" s="1"/>
      <c r="P108" s="1"/>
      <c r="Q108" s="1"/>
      <c r="R108" s="1"/>
      <c r="S108" s="1"/>
    </row>
    <row r="109" spans="1:19" x14ac:dyDescent="0.25">
      <c r="A109" s="5"/>
      <c r="B109" s="5"/>
      <c r="D109" s="5"/>
      <c r="M109" s="1"/>
      <c r="N109" s="1"/>
      <c r="O109" s="1"/>
      <c r="P109" s="1"/>
      <c r="Q109" s="1"/>
      <c r="R109" s="1"/>
      <c r="S109" s="1"/>
    </row>
    <row r="110" spans="1:19" x14ac:dyDescent="0.25">
      <c r="A110" s="5"/>
      <c r="B110" s="5"/>
      <c r="D110" s="5"/>
      <c r="M110" s="1"/>
      <c r="N110" s="1"/>
      <c r="O110" s="1"/>
      <c r="P110" s="1"/>
      <c r="Q110" s="1"/>
      <c r="R110" s="1"/>
      <c r="S110" s="1"/>
    </row>
    <row r="111" spans="1:19" x14ac:dyDescent="0.25">
      <c r="A111" s="5"/>
      <c r="B111" s="5"/>
      <c r="D111" s="5"/>
      <c r="M111" s="1"/>
      <c r="N111" s="1"/>
      <c r="O111" s="1"/>
      <c r="P111" s="1"/>
      <c r="Q111" s="1"/>
      <c r="R111" s="1"/>
      <c r="S111" s="1"/>
    </row>
    <row r="112" spans="1:19" x14ac:dyDescent="0.25">
      <c r="A112" s="5"/>
      <c r="B112" s="5"/>
      <c r="D112" s="5"/>
      <c r="M112" s="1"/>
      <c r="N112" s="1"/>
      <c r="O112" s="1"/>
      <c r="P112" s="1"/>
      <c r="Q112" s="1"/>
      <c r="R112" s="1"/>
      <c r="S112" s="1"/>
    </row>
    <row r="113" spans="1:19" x14ac:dyDescent="0.25">
      <c r="A113" s="5"/>
      <c r="B113" s="5"/>
      <c r="D113" s="5"/>
      <c r="M113" s="1"/>
      <c r="N113" s="1"/>
      <c r="O113" s="1"/>
      <c r="P113" s="1"/>
      <c r="Q113" s="1"/>
      <c r="R113" s="1"/>
      <c r="S113" s="1"/>
    </row>
    <row r="114" spans="1:19" x14ac:dyDescent="0.25">
      <c r="A114" s="5"/>
      <c r="B114" s="5"/>
      <c r="D114" s="5"/>
      <c r="M114" s="1"/>
      <c r="N114" s="1"/>
      <c r="O114" s="1"/>
      <c r="P114" s="1"/>
      <c r="Q114" s="1"/>
      <c r="R114" s="1"/>
      <c r="S114" s="1"/>
    </row>
    <row r="115" spans="1:19" x14ac:dyDescent="0.25">
      <c r="A115" s="5"/>
      <c r="B115" s="5"/>
      <c r="D115" s="5"/>
      <c r="M115" s="1"/>
      <c r="N115" s="1"/>
      <c r="O115" s="1"/>
      <c r="P115" s="1"/>
      <c r="Q115" s="1"/>
      <c r="R115" s="1"/>
      <c r="S115" s="1"/>
    </row>
    <row r="116" spans="1:19" x14ac:dyDescent="0.25">
      <c r="A116" s="5"/>
      <c r="B116" s="5"/>
      <c r="D116" s="5"/>
      <c r="M116" s="1"/>
      <c r="N116" s="1"/>
      <c r="O116" s="1"/>
      <c r="P116" s="1"/>
      <c r="Q116" s="1"/>
      <c r="R116" s="1"/>
      <c r="S116" s="1"/>
    </row>
    <row r="117" spans="1:19" x14ac:dyDescent="0.25">
      <c r="A117" s="5"/>
      <c r="B117" s="5"/>
      <c r="D117" s="5"/>
      <c r="M117" s="1"/>
      <c r="N117" s="1"/>
      <c r="O117" s="1"/>
      <c r="P117" s="1"/>
      <c r="Q117" s="1"/>
      <c r="R117" s="1"/>
      <c r="S117" s="1"/>
    </row>
    <row r="118" spans="1:19" x14ac:dyDescent="0.25">
      <c r="A118" s="5"/>
      <c r="B118" s="5"/>
      <c r="D118" s="5"/>
      <c r="M118" s="1"/>
      <c r="N118" s="1"/>
      <c r="O118" s="1"/>
      <c r="P118" s="1"/>
      <c r="Q118" s="1"/>
      <c r="R118" s="1"/>
      <c r="S118" s="1"/>
    </row>
    <row r="119" spans="1:19" x14ac:dyDescent="0.25">
      <c r="A119" s="5"/>
      <c r="B119" s="5"/>
      <c r="D119" s="5"/>
      <c r="M119" s="1"/>
      <c r="N119" s="1"/>
      <c r="O119" s="1"/>
      <c r="P119" s="1"/>
      <c r="Q119" s="1"/>
      <c r="R119" s="1"/>
      <c r="S119" s="1"/>
    </row>
    <row r="120" spans="1:19" x14ac:dyDescent="0.25">
      <c r="A120" s="5"/>
      <c r="B120" s="5"/>
      <c r="D120" s="5"/>
      <c r="M120" s="1"/>
      <c r="N120" s="1"/>
      <c r="O120" s="1"/>
      <c r="P120" s="1"/>
      <c r="Q120" s="1"/>
      <c r="R120" s="1"/>
      <c r="S120" s="1"/>
    </row>
    <row r="121" spans="1:19" x14ac:dyDescent="0.25">
      <c r="A121" s="5"/>
      <c r="B121" s="5"/>
      <c r="D121" s="5"/>
      <c r="M121" s="1"/>
      <c r="N121" s="1"/>
      <c r="O121" s="1"/>
      <c r="P121" s="1"/>
      <c r="Q121" s="1"/>
      <c r="R121" s="1"/>
      <c r="S121" s="1"/>
    </row>
    <row r="122" spans="1:19" x14ac:dyDescent="0.25">
      <c r="A122" s="5"/>
      <c r="B122" s="5"/>
      <c r="D122" s="5"/>
      <c r="M122" s="1"/>
      <c r="N122" s="1"/>
      <c r="O122" s="1"/>
      <c r="P122" s="1"/>
      <c r="Q122" s="1"/>
      <c r="R122" s="1"/>
      <c r="S122" s="1"/>
    </row>
    <row r="123" spans="1:19" x14ac:dyDescent="0.25">
      <c r="A123" s="5"/>
      <c r="B123" s="5"/>
      <c r="D123" s="5"/>
      <c r="M123" s="1"/>
      <c r="N123" s="1"/>
      <c r="O123" s="1"/>
      <c r="P123" s="1"/>
      <c r="Q123" s="1"/>
      <c r="R123" s="1"/>
      <c r="S123" s="1"/>
    </row>
    <row r="124" spans="1:19" x14ac:dyDescent="0.25">
      <c r="A124" s="5"/>
      <c r="B124" s="5"/>
      <c r="D124" s="5"/>
      <c r="M124" s="1"/>
      <c r="N124" s="1"/>
      <c r="O124" s="1"/>
      <c r="P124" s="1"/>
      <c r="Q124" s="1"/>
      <c r="R124" s="1"/>
      <c r="S124" s="1"/>
    </row>
    <row r="125" spans="1:19" x14ac:dyDescent="0.25">
      <c r="A125" s="5"/>
      <c r="B125" s="5"/>
      <c r="D125" s="5"/>
      <c r="M125" s="1"/>
      <c r="N125" s="1"/>
      <c r="O125" s="1"/>
      <c r="P125" s="1"/>
      <c r="Q125" s="1"/>
      <c r="R125" s="1"/>
      <c r="S125" s="1"/>
    </row>
    <row r="126" spans="1:19" x14ac:dyDescent="0.25">
      <c r="A126" s="5"/>
      <c r="B126" s="5"/>
      <c r="D126" s="5"/>
      <c r="M126" s="1"/>
      <c r="N126" s="1"/>
      <c r="O126" s="1"/>
      <c r="P126" s="1"/>
      <c r="Q126" s="1"/>
      <c r="R126" s="1"/>
      <c r="S126" s="1"/>
    </row>
    <row r="127" spans="1:19" x14ac:dyDescent="0.25">
      <c r="A127" s="5"/>
      <c r="B127" s="5"/>
      <c r="D127" s="5"/>
      <c r="M127" s="1"/>
      <c r="N127" s="1"/>
      <c r="O127" s="1"/>
      <c r="P127" s="1"/>
      <c r="Q127" s="1"/>
      <c r="R127" s="1"/>
      <c r="S127" s="1"/>
    </row>
    <row r="128" spans="1:19" x14ac:dyDescent="0.25">
      <c r="A128" s="5"/>
      <c r="B128" s="5"/>
      <c r="D128" s="5"/>
      <c r="M128" s="1"/>
      <c r="N128" s="1"/>
      <c r="O128" s="1"/>
      <c r="P128" s="1"/>
      <c r="Q128" s="1"/>
      <c r="R128" s="1"/>
      <c r="S128" s="1"/>
    </row>
    <row r="129" spans="1:19" x14ac:dyDescent="0.25">
      <c r="A129" s="5"/>
      <c r="B129" s="5"/>
      <c r="D129" s="5"/>
      <c r="M129" s="1"/>
      <c r="N129" s="1"/>
      <c r="O129" s="1"/>
      <c r="P129" s="1"/>
      <c r="Q129" s="1"/>
      <c r="R129" s="1"/>
      <c r="S129" s="1"/>
    </row>
    <row r="130" spans="1:19" x14ac:dyDescent="0.25">
      <c r="A130" s="5"/>
      <c r="B130" s="5"/>
      <c r="D130" s="5"/>
      <c r="M130" s="1"/>
      <c r="N130" s="1"/>
      <c r="O130" s="1"/>
      <c r="P130" s="1"/>
      <c r="Q130" s="1"/>
      <c r="R130" s="1"/>
      <c r="S130" s="1"/>
    </row>
    <row r="131" spans="1:19" x14ac:dyDescent="0.25">
      <c r="A131" s="5"/>
      <c r="B131" s="5"/>
      <c r="D131" s="5"/>
      <c r="M131" s="1"/>
      <c r="N131" s="1"/>
      <c r="O131" s="1"/>
      <c r="P131" s="1"/>
      <c r="Q131" s="1"/>
      <c r="R131" s="1"/>
      <c r="S131" s="1"/>
    </row>
    <row r="132" spans="1:19" x14ac:dyDescent="0.25">
      <c r="A132" s="5"/>
      <c r="B132" s="5"/>
      <c r="D132" s="5"/>
      <c r="M132" s="1"/>
      <c r="N132" s="1"/>
      <c r="O132" s="1"/>
      <c r="P132" s="1"/>
      <c r="Q132" s="1"/>
      <c r="R132" s="1"/>
      <c r="S132" s="1"/>
    </row>
    <row r="133" spans="1:19" x14ac:dyDescent="0.25">
      <c r="A133" s="5"/>
      <c r="B133" s="5"/>
      <c r="D133" s="5"/>
      <c r="M133" s="1"/>
      <c r="N133" s="1"/>
      <c r="O133" s="1"/>
      <c r="P133" s="1"/>
      <c r="Q133" s="1"/>
      <c r="R133" s="1"/>
      <c r="S133" s="1"/>
    </row>
    <row r="134" spans="1:19" x14ac:dyDescent="0.25">
      <c r="A134" s="5"/>
      <c r="B134" s="5"/>
      <c r="D134" s="5"/>
      <c r="M134" s="1"/>
      <c r="N134" s="1"/>
      <c r="O134" s="1"/>
      <c r="P134" s="1"/>
      <c r="Q134" s="1"/>
      <c r="R134" s="1"/>
      <c r="S134" s="1"/>
    </row>
    <row r="135" spans="1:19" x14ac:dyDescent="0.25">
      <c r="A135" s="5"/>
      <c r="B135" s="5"/>
      <c r="D135" s="5"/>
      <c r="M135" s="1"/>
      <c r="N135" s="1"/>
      <c r="O135" s="1"/>
      <c r="P135" s="1"/>
      <c r="Q135" s="1"/>
      <c r="R135" s="1"/>
      <c r="S135" s="1"/>
    </row>
    <row r="136" spans="1:19" x14ac:dyDescent="0.25">
      <c r="A136" s="5"/>
      <c r="B136" s="5"/>
      <c r="D136" s="5"/>
      <c r="M136" s="1"/>
      <c r="N136" s="1"/>
      <c r="O136" s="1"/>
      <c r="P136" s="1"/>
      <c r="Q136" s="1"/>
      <c r="R136" s="1"/>
      <c r="S136" s="1"/>
    </row>
    <row r="137" spans="1:19" x14ac:dyDescent="0.25">
      <c r="A137" s="5"/>
      <c r="B137" s="5"/>
      <c r="D137" s="5"/>
      <c r="M137" s="1"/>
      <c r="N137" s="1"/>
      <c r="O137" s="1"/>
      <c r="P137" s="1"/>
      <c r="Q137" s="1"/>
      <c r="R137" s="1"/>
      <c r="S137" s="1"/>
    </row>
    <row r="138" spans="1:19" x14ac:dyDescent="0.25">
      <c r="A138" s="5"/>
      <c r="B138" s="5"/>
      <c r="D138" s="5"/>
      <c r="M138" s="1"/>
      <c r="N138" s="1"/>
      <c r="O138" s="1"/>
      <c r="P138" s="1"/>
      <c r="Q138" s="1"/>
      <c r="R138" s="1"/>
      <c r="S138" s="1"/>
    </row>
    <row r="139" spans="1:19" x14ac:dyDescent="0.25">
      <c r="A139" s="5"/>
      <c r="B139" s="5"/>
      <c r="D139" s="5"/>
      <c r="M139" s="1"/>
      <c r="N139" s="1"/>
      <c r="O139" s="1"/>
      <c r="P139" s="1"/>
      <c r="Q139" s="1"/>
      <c r="R139" s="1"/>
      <c r="S139" s="1"/>
    </row>
    <row r="140" spans="1:19" x14ac:dyDescent="0.25">
      <c r="A140" s="5"/>
      <c r="B140" s="5"/>
      <c r="D140" s="5"/>
      <c r="M140" s="1"/>
      <c r="N140" s="1"/>
      <c r="O140" s="1"/>
      <c r="P140" s="1"/>
      <c r="Q140" s="1"/>
      <c r="R140" s="1"/>
      <c r="S140" s="1"/>
    </row>
    <row r="141" spans="1:19" x14ac:dyDescent="0.25">
      <c r="A141" s="5"/>
      <c r="B141" s="5"/>
      <c r="D141" s="5"/>
      <c r="M141" s="1"/>
      <c r="N141" s="1"/>
      <c r="O141" s="1"/>
      <c r="P141" s="1"/>
      <c r="Q141" s="1"/>
      <c r="R141" s="1"/>
      <c r="S141" s="1"/>
    </row>
    <row r="142" spans="1:19" x14ac:dyDescent="0.25">
      <c r="A142" s="5"/>
      <c r="B142" s="5"/>
      <c r="D142" s="5"/>
      <c r="M142" s="1"/>
      <c r="N142" s="1"/>
      <c r="O142" s="1"/>
      <c r="P142" s="1"/>
      <c r="Q142" s="1"/>
      <c r="R142" s="1"/>
      <c r="S142" s="1"/>
    </row>
    <row r="143" spans="1:19" x14ac:dyDescent="0.25">
      <c r="A143" s="5"/>
      <c r="B143" s="5"/>
      <c r="D143" s="5"/>
      <c r="M143" s="1"/>
      <c r="N143" s="1"/>
      <c r="O143" s="1"/>
      <c r="P143" s="1"/>
      <c r="Q143" s="1"/>
      <c r="R143" s="1"/>
      <c r="S143" s="1"/>
    </row>
    <row r="144" spans="1:19" x14ac:dyDescent="0.25">
      <c r="A144" s="5"/>
      <c r="B144" s="5"/>
      <c r="D144" s="5"/>
      <c r="M144" s="1"/>
      <c r="N144" s="1"/>
      <c r="O144" s="1"/>
      <c r="P144" s="1"/>
      <c r="Q144" s="1"/>
      <c r="R144" s="1"/>
      <c r="S144" s="1"/>
    </row>
    <row r="145" spans="1:19" x14ac:dyDescent="0.25">
      <c r="A145" s="5"/>
      <c r="B145" s="5"/>
      <c r="D145" s="5"/>
      <c r="M145" s="1"/>
      <c r="N145" s="1"/>
      <c r="O145" s="1"/>
      <c r="P145" s="1"/>
      <c r="Q145" s="1"/>
      <c r="R145" s="1"/>
      <c r="S145" s="1"/>
    </row>
    <row r="146" spans="1:19" x14ac:dyDescent="0.25">
      <c r="A146" s="5"/>
      <c r="B146" s="5"/>
      <c r="D146" s="5"/>
      <c r="M146" s="1"/>
      <c r="N146" s="1"/>
      <c r="O146" s="1"/>
      <c r="P146" s="1"/>
      <c r="Q146" s="1"/>
      <c r="R146" s="1"/>
      <c r="S146" s="1"/>
    </row>
    <row r="147" spans="1:19" x14ac:dyDescent="0.25">
      <c r="A147" s="5"/>
      <c r="B147" s="5"/>
      <c r="D147" s="5"/>
      <c r="M147" s="1"/>
      <c r="N147" s="1"/>
      <c r="O147" s="1"/>
      <c r="P147" s="1"/>
      <c r="Q147" s="1"/>
      <c r="R147" s="1"/>
      <c r="S147" s="1"/>
    </row>
    <row r="148" spans="1:19" x14ac:dyDescent="0.25">
      <c r="A148" s="5"/>
      <c r="B148" s="5"/>
      <c r="D148" s="5"/>
      <c r="M148" s="1"/>
      <c r="N148" s="1"/>
      <c r="O148" s="1"/>
      <c r="P148" s="1"/>
      <c r="Q148" s="1"/>
      <c r="R148" s="1"/>
      <c r="S148" s="1"/>
    </row>
    <row r="149" spans="1:19" x14ac:dyDescent="0.25">
      <c r="A149" s="5"/>
      <c r="B149" s="5"/>
      <c r="D149" s="5"/>
      <c r="M149" s="1"/>
      <c r="N149" s="1"/>
      <c r="O149" s="1"/>
      <c r="P149" s="1"/>
      <c r="Q149" s="1"/>
      <c r="R149" s="1"/>
      <c r="S149" s="1"/>
    </row>
    <row r="150" spans="1:19" x14ac:dyDescent="0.25">
      <c r="A150" s="5"/>
      <c r="B150" s="5"/>
      <c r="D150" s="5"/>
      <c r="M150" s="1"/>
      <c r="N150" s="1"/>
      <c r="O150" s="1"/>
      <c r="P150" s="1"/>
      <c r="Q150" s="1"/>
      <c r="R150" s="1"/>
      <c r="S150" s="1"/>
    </row>
    <row r="151" spans="1:19" x14ac:dyDescent="0.25">
      <c r="A151" s="5"/>
      <c r="B151" s="5"/>
      <c r="D151" s="5"/>
      <c r="M151" s="1"/>
      <c r="N151" s="1"/>
      <c r="O151" s="1"/>
      <c r="P151" s="1"/>
      <c r="Q151" s="1"/>
      <c r="R151" s="1"/>
      <c r="S151" s="1"/>
    </row>
    <row r="152" spans="1:19" x14ac:dyDescent="0.25">
      <c r="A152" s="5"/>
      <c r="B152" s="5"/>
      <c r="D152" s="5"/>
      <c r="M152" s="1"/>
      <c r="N152" s="1"/>
      <c r="O152" s="1"/>
      <c r="P152" s="1"/>
      <c r="Q152" s="1"/>
      <c r="R152" s="1"/>
      <c r="S152" s="1"/>
    </row>
    <row r="153" spans="1:19" x14ac:dyDescent="0.25">
      <c r="A153" s="5"/>
      <c r="B153" s="5"/>
      <c r="D153" s="5"/>
      <c r="M153" s="1"/>
      <c r="N153" s="1"/>
      <c r="O153" s="1"/>
      <c r="P153" s="1"/>
      <c r="Q153" s="1"/>
      <c r="R153" s="1"/>
      <c r="S153" s="1"/>
    </row>
    <row r="154" spans="1:19" x14ac:dyDescent="0.25">
      <c r="A154" s="5"/>
      <c r="B154" s="5"/>
      <c r="D154" s="5"/>
      <c r="M154" s="1"/>
      <c r="N154" s="1"/>
      <c r="O154" s="1"/>
      <c r="P154" s="1"/>
      <c r="Q154" s="1"/>
      <c r="R154" s="1"/>
      <c r="S154" s="1"/>
    </row>
    <row r="155" spans="1:19" x14ac:dyDescent="0.25">
      <c r="A155" s="5"/>
      <c r="B155" s="5"/>
      <c r="D155" s="5"/>
      <c r="M155" s="1"/>
      <c r="N155" s="1"/>
      <c r="O155" s="1"/>
      <c r="P155" s="1"/>
      <c r="Q155" s="1"/>
      <c r="R155" s="1"/>
      <c r="S155" s="1"/>
    </row>
    <row r="156" spans="1:19" x14ac:dyDescent="0.25">
      <c r="A156" s="5"/>
      <c r="B156" s="5"/>
      <c r="D156" s="5"/>
      <c r="M156" s="1"/>
      <c r="N156" s="1"/>
      <c r="O156" s="1"/>
      <c r="P156" s="1"/>
      <c r="Q156" s="1"/>
      <c r="R156" s="1"/>
      <c r="S156" s="1"/>
    </row>
    <row r="157" spans="1:19" x14ac:dyDescent="0.25">
      <c r="A157" s="5"/>
      <c r="B157" s="5"/>
      <c r="D157" s="5"/>
      <c r="M157" s="1"/>
      <c r="N157" s="1"/>
      <c r="O157" s="1"/>
      <c r="P157" s="1"/>
      <c r="Q157" s="1"/>
      <c r="R157" s="1"/>
      <c r="S157" s="1"/>
    </row>
    <row r="158" spans="1:19" x14ac:dyDescent="0.25">
      <c r="A158" s="5"/>
      <c r="B158" s="5"/>
      <c r="D158" s="5"/>
      <c r="M158" s="1"/>
      <c r="N158" s="1"/>
      <c r="O158" s="1"/>
      <c r="P158" s="1"/>
      <c r="Q158" s="1"/>
      <c r="R158" s="1"/>
      <c r="S158" s="1"/>
    </row>
    <row r="159" spans="1:19" x14ac:dyDescent="0.25">
      <c r="A159" s="5"/>
      <c r="B159" s="5"/>
      <c r="D159" s="5"/>
      <c r="M159" s="1"/>
      <c r="N159" s="1"/>
      <c r="O159" s="1"/>
      <c r="P159" s="1"/>
      <c r="Q159" s="1"/>
      <c r="R159" s="1"/>
      <c r="S159" s="1"/>
    </row>
    <row r="160" spans="1:19" x14ac:dyDescent="0.25">
      <c r="A160" s="5"/>
      <c r="B160" s="5"/>
      <c r="D160" s="5"/>
      <c r="M160" s="1"/>
      <c r="N160" s="1"/>
      <c r="O160" s="1"/>
      <c r="P160" s="1"/>
      <c r="Q160" s="1"/>
      <c r="R160" s="1"/>
      <c r="S160" s="1"/>
    </row>
    <row r="161" spans="1:19" x14ac:dyDescent="0.25">
      <c r="A161" s="5"/>
      <c r="B161" s="5"/>
      <c r="D161" s="5"/>
      <c r="N161" s="1"/>
      <c r="O161" s="1"/>
      <c r="P161" s="1"/>
      <c r="Q161" s="1"/>
      <c r="R161" s="1"/>
      <c r="S161" s="1"/>
    </row>
    <row r="162" spans="1:19" x14ac:dyDescent="0.25">
      <c r="A162" s="5"/>
      <c r="B162" s="5"/>
      <c r="D162" s="5"/>
      <c r="N162" s="1"/>
      <c r="O162" s="1"/>
      <c r="P162" s="1"/>
      <c r="Q162" s="1"/>
      <c r="R162" s="1"/>
      <c r="S162" s="1"/>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8"/>
  <sheetViews>
    <sheetView showGridLines="0" zoomScale="85" zoomScaleNormal="85" workbookViewId="0">
      <selection activeCell="A20" sqref="A20"/>
    </sheetView>
  </sheetViews>
  <sheetFormatPr defaultColWidth="8.6640625" defaultRowHeight="13.2" x14ac:dyDescent="0.25"/>
  <cols>
    <col min="1" max="1" width="105.5546875" style="2" bestFit="1" customWidth="1"/>
    <col min="2" max="2" width="8.6640625" style="2" customWidth="1"/>
    <col min="3" max="3" width="14.21875" style="2" bestFit="1" customWidth="1"/>
    <col min="4" max="4" width="9.5546875" style="2" bestFit="1" customWidth="1"/>
    <col min="5" max="9" width="9" style="2" bestFit="1" customWidth="1"/>
    <col min="10" max="16384" width="8.6640625" style="2"/>
  </cols>
  <sheetData>
    <row r="1" spans="1:9" x14ac:dyDescent="0.25">
      <c r="A1" s="7" t="s">
        <v>139</v>
      </c>
      <c r="B1" s="18"/>
    </row>
    <row r="3" spans="1:9" x14ac:dyDescent="0.25">
      <c r="A3" s="7" t="s">
        <v>129</v>
      </c>
      <c r="B3" s="20" t="s">
        <v>35</v>
      </c>
      <c r="C3" s="20" t="s">
        <v>46</v>
      </c>
      <c r="D3" s="21" t="s">
        <v>27</v>
      </c>
      <c r="E3" s="21" t="s">
        <v>28</v>
      </c>
      <c r="F3" s="21" t="s">
        <v>29</v>
      </c>
      <c r="G3" s="21" t="s">
        <v>30</v>
      </c>
      <c r="H3" s="21" t="s">
        <v>36</v>
      </c>
      <c r="I3" s="21" t="s">
        <v>47</v>
      </c>
    </row>
    <row r="4" spans="1:9" x14ac:dyDescent="0.25">
      <c r="A4" s="2" t="s">
        <v>141</v>
      </c>
      <c r="B4" s="1" t="s">
        <v>48</v>
      </c>
      <c r="C4" s="2" t="s">
        <v>62</v>
      </c>
      <c r="D4" s="54">
        <v>0</v>
      </c>
      <c r="E4" s="54">
        <v>0</v>
      </c>
      <c r="F4" s="54">
        <v>0</v>
      </c>
      <c r="G4" s="54">
        <v>0</v>
      </c>
      <c r="H4" s="54">
        <v>0</v>
      </c>
      <c r="I4" s="52">
        <f t="shared" ref="I4:I8" si="0">SUM(D4:H4)</f>
        <v>0</v>
      </c>
    </row>
    <row r="5" spans="1:9" x14ac:dyDescent="0.25">
      <c r="A5" s="2" t="s">
        <v>140</v>
      </c>
      <c r="B5" s="1" t="s">
        <v>48</v>
      </c>
      <c r="C5" s="2" t="s">
        <v>62</v>
      </c>
      <c r="D5" s="54">
        <v>2592.911525</v>
      </c>
      <c r="E5" s="54">
        <v>2230.8171675000003</v>
      </c>
      <c r="F5" s="54">
        <v>1743.2751349999999</v>
      </c>
      <c r="G5" s="54">
        <v>1552.8942999999999</v>
      </c>
      <c r="H5" s="54">
        <v>1480.0943</v>
      </c>
      <c r="I5" s="52">
        <f t="shared" si="0"/>
        <v>9599.9924275000012</v>
      </c>
    </row>
    <row r="6" spans="1:9" x14ac:dyDescent="0.25">
      <c r="I6" s="52"/>
    </row>
    <row r="7" spans="1:9" x14ac:dyDescent="0.25">
      <c r="A7" s="2" t="s">
        <v>142</v>
      </c>
      <c r="B7" s="1" t="s">
        <v>48</v>
      </c>
      <c r="C7" s="2" t="s">
        <v>62</v>
      </c>
      <c r="D7" s="48">
        <v>0</v>
      </c>
      <c r="E7" s="48">
        <v>0</v>
      </c>
      <c r="F7" s="48">
        <v>0</v>
      </c>
      <c r="G7" s="48">
        <v>0</v>
      </c>
      <c r="H7" s="48">
        <v>0</v>
      </c>
      <c r="I7" s="52">
        <f t="shared" si="0"/>
        <v>0</v>
      </c>
    </row>
    <row r="8" spans="1:9" x14ac:dyDescent="0.25">
      <c r="A8" s="2" t="s">
        <v>143</v>
      </c>
      <c r="B8" s="1" t="s">
        <v>48</v>
      </c>
      <c r="C8" s="2" t="s">
        <v>62</v>
      </c>
      <c r="D8" s="54">
        <v>47.5</v>
      </c>
      <c r="E8" s="54">
        <v>47.5</v>
      </c>
      <c r="F8" s="54">
        <v>10</v>
      </c>
      <c r="G8" s="54">
        <v>10</v>
      </c>
      <c r="H8" s="54">
        <v>10</v>
      </c>
      <c r="I8" s="52">
        <f t="shared" si="0"/>
        <v>125</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31"/>
  <sheetViews>
    <sheetView showGridLines="0" zoomScale="85" zoomScaleNormal="85" workbookViewId="0"/>
  </sheetViews>
  <sheetFormatPr defaultColWidth="8.6640625" defaultRowHeight="13.2" x14ac:dyDescent="0.25"/>
  <cols>
    <col min="1" max="1" width="98.21875" style="2" customWidth="1"/>
    <col min="2" max="2" width="8.6640625" style="2" customWidth="1"/>
    <col min="3" max="3" width="14.21875" style="6" bestFit="1" customWidth="1"/>
    <col min="4" max="4" width="9.5546875" style="2" bestFit="1" customWidth="1"/>
    <col min="5" max="9" width="9" style="2" bestFit="1" customWidth="1"/>
    <col min="10" max="16384" width="8.6640625" style="2"/>
  </cols>
  <sheetData>
    <row r="1" spans="1:11" x14ac:dyDescent="0.25">
      <c r="A1" s="7" t="s">
        <v>144</v>
      </c>
      <c r="B1" s="18"/>
    </row>
    <row r="3" spans="1:11" x14ac:dyDescent="0.25">
      <c r="A3" s="105" t="s">
        <v>150</v>
      </c>
      <c r="B3" s="20" t="s">
        <v>35</v>
      </c>
      <c r="C3" s="17" t="s">
        <v>46</v>
      </c>
      <c r="D3" s="21" t="s">
        <v>27</v>
      </c>
      <c r="E3" s="21" t="s">
        <v>28</v>
      </c>
      <c r="F3" s="21" t="s">
        <v>29</v>
      </c>
      <c r="G3" s="21" t="s">
        <v>30</v>
      </c>
      <c r="H3" s="21" t="s">
        <v>36</v>
      </c>
      <c r="I3" s="21" t="s">
        <v>47</v>
      </c>
      <c r="K3" s="10"/>
    </row>
    <row r="4" spans="1:11" x14ac:dyDescent="0.25">
      <c r="B4" s="115"/>
      <c r="C4" s="118"/>
      <c r="D4" s="116"/>
      <c r="E4" s="116"/>
      <c r="F4" s="116"/>
      <c r="G4" s="116"/>
      <c r="H4" s="116"/>
      <c r="I4" s="116"/>
      <c r="K4" s="53"/>
    </row>
    <row r="5" spans="1:11" x14ac:dyDescent="0.25">
      <c r="A5" s="2" t="s">
        <v>194</v>
      </c>
      <c r="B5" s="1" t="s">
        <v>48</v>
      </c>
      <c r="C5" s="6" t="s">
        <v>62</v>
      </c>
      <c r="D5" s="104">
        <v>0</v>
      </c>
      <c r="E5" s="104">
        <v>0</v>
      </c>
      <c r="F5" s="104">
        <v>0</v>
      </c>
      <c r="G5" s="104">
        <v>0</v>
      </c>
      <c r="H5" s="104">
        <v>0</v>
      </c>
      <c r="I5" s="108">
        <f t="shared" ref="I5:I7" si="0">SUM(D5:H5)</f>
        <v>0</v>
      </c>
      <c r="K5" s="53"/>
    </row>
    <row r="6" spans="1:11" x14ac:dyDescent="0.25">
      <c r="A6" s="2" t="s">
        <v>195</v>
      </c>
      <c r="B6" s="1" t="s">
        <v>48</v>
      </c>
      <c r="C6" s="6" t="s">
        <v>62</v>
      </c>
      <c r="D6" s="104">
        <v>0</v>
      </c>
      <c r="E6" s="104">
        <v>0</v>
      </c>
      <c r="F6" s="104">
        <v>0</v>
      </c>
      <c r="G6" s="104">
        <v>0</v>
      </c>
      <c r="H6" s="104">
        <v>0</v>
      </c>
      <c r="I6" s="108">
        <f t="shared" si="0"/>
        <v>0</v>
      </c>
    </row>
    <row r="7" spans="1:11" x14ac:dyDescent="0.25">
      <c r="A7" s="10" t="s">
        <v>158</v>
      </c>
      <c r="B7" s="16" t="s">
        <v>48</v>
      </c>
      <c r="C7" s="9" t="s">
        <v>62</v>
      </c>
      <c r="D7" s="110">
        <f>SUM(D5:D6)</f>
        <v>0</v>
      </c>
      <c r="E7" s="110">
        <f t="shared" ref="E7:H7" si="1">SUM(E5:E6)</f>
        <v>0</v>
      </c>
      <c r="F7" s="110">
        <f t="shared" si="1"/>
        <v>0</v>
      </c>
      <c r="G7" s="110">
        <f t="shared" si="1"/>
        <v>0</v>
      </c>
      <c r="H7" s="110">
        <f t="shared" si="1"/>
        <v>0</v>
      </c>
      <c r="I7" s="108">
        <f t="shared" si="0"/>
        <v>0</v>
      </c>
    </row>
    <row r="9" spans="1:11" x14ac:dyDescent="0.25">
      <c r="A9" s="105" t="s">
        <v>151</v>
      </c>
      <c r="B9" s="20" t="s">
        <v>35</v>
      </c>
      <c r="C9" s="17" t="s">
        <v>46</v>
      </c>
      <c r="D9" s="21" t="s">
        <v>27</v>
      </c>
      <c r="E9" s="21" t="s">
        <v>28</v>
      </c>
      <c r="F9" s="21" t="s">
        <v>29</v>
      </c>
      <c r="G9" s="21" t="s">
        <v>30</v>
      </c>
      <c r="H9" s="21" t="s">
        <v>36</v>
      </c>
      <c r="I9" s="21" t="s">
        <v>47</v>
      </c>
    </row>
    <row r="10" spans="1:11" x14ac:dyDescent="0.25">
      <c r="A10" s="117"/>
      <c r="B10" s="115"/>
      <c r="C10" s="118"/>
      <c r="D10" s="116"/>
      <c r="E10" s="116"/>
      <c r="F10" s="116"/>
      <c r="G10" s="116"/>
      <c r="H10" s="116"/>
      <c r="I10" s="116"/>
    </row>
    <row r="11" spans="1:11" x14ac:dyDescent="0.25">
      <c r="A11" s="2" t="s">
        <v>145</v>
      </c>
      <c r="B11" s="1" t="s">
        <v>48</v>
      </c>
      <c r="C11" s="6" t="s">
        <v>87</v>
      </c>
      <c r="D11" s="102">
        <v>0</v>
      </c>
      <c r="E11" s="102">
        <v>0</v>
      </c>
      <c r="F11" s="102">
        <v>0</v>
      </c>
      <c r="G11" s="102">
        <v>0</v>
      </c>
      <c r="H11" s="102">
        <v>0</v>
      </c>
      <c r="I11" s="110">
        <f>SUM(D11:H11)</f>
        <v>0</v>
      </c>
    </row>
    <row r="12" spans="1:11" x14ac:dyDescent="0.25">
      <c r="A12" s="2" t="s">
        <v>146</v>
      </c>
      <c r="B12" s="1" t="s">
        <v>48</v>
      </c>
      <c r="C12" s="6" t="s">
        <v>87</v>
      </c>
      <c r="D12" s="102">
        <v>2660.3850591078071</v>
      </c>
      <c r="E12" s="102">
        <v>2334.6455352959115</v>
      </c>
      <c r="F12" s="102">
        <v>1860.9001945178588</v>
      </c>
      <c r="G12" s="102">
        <v>1690.8271516385666</v>
      </c>
      <c r="H12" s="102">
        <v>1643.7920481864012</v>
      </c>
      <c r="I12" s="110">
        <f t="shared" ref="I12:I19" si="2">SUM(D12:H12)</f>
        <v>10190.549988746545</v>
      </c>
    </row>
    <row r="13" spans="1:11" x14ac:dyDescent="0.25">
      <c r="A13" s="10" t="s">
        <v>159</v>
      </c>
      <c r="B13" s="16" t="s">
        <v>48</v>
      </c>
      <c r="C13" s="9" t="s">
        <v>87</v>
      </c>
      <c r="D13" s="110">
        <f>SUM(D11:D12)</f>
        <v>2660.3850591078071</v>
      </c>
      <c r="E13" s="110">
        <f t="shared" ref="E13:H13" si="3">SUM(E11:E12)</f>
        <v>2334.6455352959115</v>
      </c>
      <c r="F13" s="110">
        <f t="shared" si="3"/>
        <v>1860.9001945178588</v>
      </c>
      <c r="G13" s="110">
        <f t="shared" si="3"/>
        <v>1690.8271516385666</v>
      </c>
      <c r="H13" s="110">
        <f t="shared" si="3"/>
        <v>1643.7920481864012</v>
      </c>
      <c r="I13" s="110">
        <f t="shared" si="2"/>
        <v>10190.549988746545</v>
      </c>
    </row>
    <row r="14" spans="1:11" x14ac:dyDescent="0.25">
      <c r="D14" s="106"/>
      <c r="E14" s="106"/>
      <c r="F14" s="106"/>
      <c r="G14" s="106"/>
      <c r="H14" s="106"/>
      <c r="I14" s="110"/>
    </row>
    <row r="15" spans="1:11" x14ac:dyDescent="0.25">
      <c r="A15" s="2" t="s">
        <v>147</v>
      </c>
      <c r="B15" s="1" t="s">
        <v>48</v>
      </c>
      <c r="C15" s="6" t="s">
        <v>87</v>
      </c>
      <c r="D15" s="102">
        <v>0</v>
      </c>
      <c r="E15" s="102">
        <v>0</v>
      </c>
      <c r="F15" s="102">
        <v>0</v>
      </c>
      <c r="G15" s="102">
        <v>0</v>
      </c>
      <c r="H15" s="102">
        <v>0</v>
      </c>
      <c r="I15" s="110">
        <f t="shared" si="2"/>
        <v>0</v>
      </c>
    </row>
    <row r="16" spans="1:11" x14ac:dyDescent="0.25">
      <c r="A16" s="2" t="s">
        <v>148</v>
      </c>
      <c r="B16" s="1" t="s">
        <v>48</v>
      </c>
      <c r="C16" s="6" t="s">
        <v>87</v>
      </c>
      <c r="D16" s="102">
        <v>48.736059479553916</v>
      </c>
      <c r="E16" s="102">
        <v>49.710780669144988</v>
      </c>
      <c r="F16" s="102">
        <v>10.674736059479555</v>
      </c>
      <c r="G16" s="102">
        <v>10.888230780669145</v>
      </c>
      <c r="H16" s="102">
        <v>11.105995396282529</v>
      </c>
      <c r="I16" s="110">
        <f t="shared" si="2"/>
        <v>131.11580238513014</v>
      </c>
    </row>
    <row r="17" spans="1:9" x14ac:dyDescent="0.25">
      <c r="A17" s="10" t="s">
        <v>160</v>
      </c>
      <c r="B17" s="16" t="s">
        <v>48</v>
      </c>
      <c r="C17" s="9" t="s">
        <v>87</v>
      </c>
      <c r="D17" s="110">
        <f>SUM(D15:D16)</f>
        <v>48.736059479553916</v>
      </c>
      <c r="E17" s="110">
        <f t="shared" ref="E17:H17" si="4">SUM(E15:E16)</f>
        <v>49.710780669144988</v>
      </c>
      <c r="F17" s="110">
        <f t="shared" si="4"/>
        <v>10.674736059479555</v>
      </c>
      <c r="G17" s="110">
        <f t="shared" si="4"/>
        <v>10.888230780669145</v>
      </c>
      <c r="H17" s="110">
        <f t="shared" si="4"/>
        <v>11.105995396282529</v>
      </c>
      <c r="I17" s="110">
        <f t="shared" si="2"/>
        <v>131.11580238513014</v>
      </c>
    </row>
    <row r="18" spans="1:9" x14ac:dyDescent="0.25">
      <c r="I18" s="110"/>
    </row>
    <row r="19" spans="1:9" x14ac:dyDescent="0.25">
      <c r="A19" s="10" t="s">
        <v>154</v>
      </c>
      <c r="B19" s="16" t="s">
        <v>48</v>
      </c>
      <c r="C19" s="9" t="s">
        <v>87</v>
      </c>
      <c r="D19" s="110">
        <f>D13+D17</f>
        <v>2709.1211185873613</v>
      </c>
      <c r="E19" s="110">
        <f t="shared" ref="E19:H19" si="5">E13+E17</f>
        <v>2384.3563159650566</v>
      </c>
      <c r="F19" s="110">
        <f t="shared" si="5"/>
        <v>1871.5749305773384</v>
      </c>
      <c r="G19" s="110">
        <f t="shared" si="5"/>
        <v>1701.7153824192358</v>
      </c>
      <c r="H19" s="110">
        <f t="shared" si="5"/>
        <v>1654.8980435826836</v>
      </c>
      <c r="I19" s="110">
        <f t="shared" si="2"/>
        <v>10321.665791131676</v>
      </c>
    </row>
    <row r="22" spans="1:9" x14ac:dyDescent="0.25">
      <c r="A22" s="105" t="s">
        <v>157</v>
      </c>
      <c r="B22" s="20" t="s">
        <v>35</v>
      </c>
      <c r="C22" s="17" t="s">
        <v>46</v>
      </c>
      <c r="D22" s="21" t="s">
        <v>27</v>
      </c>
      <c r="E22" s="21" t="s">
        <v>28</v>
      </c>
      <c r="F22" s="21" t="s">
        <v>29</v>
      </c>
      <c r="G22" s="21" t="s">
        <v>30</v>
      </c>
      <c r="H22" s="21" t="s">
        <v>36</v>
      </c>
      <c r="I22" s="21" t="s">
        <v>47</v>
      </c>
    </row>
    <row r="24" spans="1:9" x14ac:dyDescent="0.25">
      <c r="A24" s="2" t="s">
        <v>161</v>
      </c>
      <c r="B24" s="1" t="s">
        <v>48</v>
      </c>
      <c r="C24" s="6" t="s">
        <v>87</v>
      </c>
      <c r="D24" s="104">
        <v>0</v>
      </c>
      <c r="E24" s="104">
        <v>0</v>
      </c>
      <c r="F24" s="104">
        <v>0</v>
      </c>
      <c r="G24" s="104">
        <v>0</v>
      </c>
      <c r="H24" s="104">
        <v>0</v>
      </c>
      <c r="I24" s="108">
        <f t="shared" ref="I24:I25" si="6">SUM(D24:H24)</f>
        <v>0</v>
      </c>
    </row>
    <row r="25" spans="1:9" x14ac:dyDescent="0.25">
      <c r="A25" s="2" t="s">
        <v>162</v>
      </c>
      <c r="B25" s="1" t="s">
        <v>48</v>
      </c>
      <c r="C25" s="6" t="s">
        <v>87</v>
      </c>
      <c r="D25" s="104">
        <v>0</v>
      </c>
      <c r="E25" s="104">
        <v>0</v>
      </c>
      <c r="F25" s="104">
        <v>0</v>
      </c>
      <c r="G25" s="104">
        <v>0</v>
      </c>
      <c r="H25" s="104">
        <v>0</v>
      </c>
      <c r="I25" s="108">
        <f t="shared" si="6"/>
        <v>0</v>
      </c>
    </row>
    <row r="27" spans="1:9" x14ac:dyDescent="0.25">
      <c r="A27" s="10" t="s">
        <v>163</v>
      </c>
      <c r="B27" s="16" t="s">
        <v>48</v>
      </c>
      <c r="C27" s="9" t="s">
        <v>87</v>
      </c>
      <c r="D27" s="121">
        <f>D24+D25</f>
        <v>0</v>
      </c>
      <c r="E27" s="121">
        <f t="shared" ref="E27:H27" si="7">E24+E25</f>
        <v>0</v>
      </c>
      <c r="F27" s="121">
        <f t="shared" si="7"/>
        <v>0</v>
      </c>
      <c r="G27" s="121">
        <f t="shared" si="7"/>
        <v>0</v>
      </c>
      <c r="H27" s="121">
        <f t="shared" si="7"/>
        <v>0</v>
      </c>
      <c r="I27" s="108">
        <f t="shared" ref="I27" si="8">SUM(D27:H27)</f>
        <v>0</v>
      </c>
    </row>
    <row r="29" spans="1:9" x14ac:dyDescent="0.25">
      <c r="A29" s="105" t="s">
        <v>185</v>
      </c>
      <c r="B29" s="20" t="s">
        <v>35</v>
      </c>
      <c r="C29" s="17" t="s">
        <v>46</v>
      </c>
      <c r="D29" s="21" t="s">
        <v>27</v>
      </c>
      <c r="E29" s="21" t="s">
        <v>28</v>
      </c>
      <c r="F29" s="21" t="s">
        <v>29</v>
      </c>
      <c r="G29" s="21" t="s">
        <v>30</v>
      </c>
      <c r="H29" s="21" t="s">
        <v>36</v>
      </c>
    </row>
    <row r="31" spans="1:9" x14ac:dyDescent="0.25">
      <c r="A31" s="2" t="s">
        <v>186</v>
      </c>
      <c r="B31" s="1" t="s">
        <v>26</v>
      </c>
      <c r="C31" s="6" t="s">
        <v>196</v>
      </c>
      <c r="D31" s="124">
        <v>0.19</v>
      </c>
      <c r="E31" s="124">
        <v>0.19</v>
      </c>
      <c r="F31" s="124">
        <v>0.19</v>
      </c>
      <c r="G31" s="124">
        <v>0.19</v>
      </c>
      <c r="H31" s="124">
        <v>0.19</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W77"/>
  <sheetViews>
    <sheetView showGridLines="0" zoomScale="85" zoomScaleNormal="85" workbookViewId="0"/>
  </sheetViews>
  <sheetFormatPr defaultColWidth="8.6640625" defaultRowHeight="13.2" x14ac:dyDescent="0.25"/>
  <cols>
    <col min="1" max="1" width="87.5546875" style="2" bestFit="1" customWidth="1"/>
    <col min="2" max="2" width="8.6640625" style="2"/>
    <col min="3" max="3" width="14.109375" style="2" customWidth="1"/>
    <col min="4" max="4" width="12.33203125" style="2" customWidth="1"/>
    <col min="5" max="23" width="11.44140625" style="2" customWidth="1"/>
    <col min="24" max="16384" width="8.6640625" style="2"/>
  </cols>
  <sheetData>
    <row r="3" spans="1:9" x14ac:dyDescent="0.25">
      <c r="A3" s="115" t="s">
        <v>45</v>
      </c>
    </row>
    <row r="4" spans="1:9" s="1" customFormat="1" x14ac:dyDescent="0.25">
      <c r="A4" s="115"/>
      <c r="B4" s="20" t="s">
        <v>35</v>
      </c>
      <c r="C4" s="20" t="s">
        <v>46</v>
      </c>
      <c r="D4" s="21" t="s">
        <v>20</v>
      </c>
      <c r="E4" s="21" t="s">
        <v>21</v>
      </c>
      <c r="F4" s="21" t="s">
        <v>22</v>
      </c>
      <c r="G4" s="21" t="s">
        <v>23</v>
      </c>
      <c r="H4" s="21" t="s">
        <v>24</v>
      </c>
      <c r="I4" s="21" t="s">
        <v>47</v>
      </c>
    </row>
    <row r="5" spans="1:9" x14ac:dyDescent="0.25">
      <c r="A5" s="134" t="s">
        <v>226</v>
      </c>
      <c r="B5" s="1" t="s">
        <v>48</v>
      </c>
      <c r="C5" s="2" t="s">
        <v>87</v>
      </c>
      <c r="D5" s="25">
        <v>782.63641999999948</v>
      </c>
      <c r="E5" s="25">
        <v>672.08304999999996</v>
      </c>
      <c r="F5" s="25">
        <v>351.78513000000061</v>
      </c>
      <c r="G5" s="25">
        <v>790.51715000000013</v>
      </c>
      <c r="H5" s="41">
        <v>712.67340000000002</v>
      </c>
      <c r="I5" s="25">
        <f>SUM(D5:H5)</f>
        <v>3309.6951500000005</v>
      </c>
    </row>
    <row r="6" spans="1:9" x14ac:dyDescent="0.25">
      <c r="A6" s="134" t="s">
        <v>227</v>
      </c>
      <c r="B6" s="1" t="s">
        <v>48</v>
      </c>
      <c r="C6" s="2" t="s">
        <v>87</v>
      </c>
      <c r="D6" s="25">
        <v>200.24249</v>
      </c>
      <c r="E6" s="25">
        <v>27.20364</v>
      </c>
      <c r="F6" s="25">
        <v>18.069179999999999</v>
      </c>
      <c r="G6" s="25">
        <v>67.90222</v>
      </c>
      <c r="H6" s="41">
        <v>-0.51621999999999701</v>
      </c>
      <c r="I6" s="25">
        <f>SUM(D6:H6)</f>
        <v>312.90131000000002</v>
      </c>
    </row>
    <row r="7" spans="1:9" x14ac:dyDescent="0.25">
      <c r="A7" s="134"/>
    </row>
    <row r="8" spans="1:9" x14ac:dyDescent="0.25">
      <c r="A8" s="134"/>
    </row>
    <row r="9" spans="1:9" x14ac:dyDescent="0.25">
      <c r="A9" s="115" t="s">
        <v>232</v>
      </c>
    </row>
    <row r="10" spans="1:9" x14ac:dyDescent="0.25">
      <c r="A10" s="134"/>
      <c r="B10" s="20" t="s">
        <v>35</v>
      </c>
      <c r="C10" s="20" t="s">
        <v>46</v>
      </c>
      <c r="D10" s="21" t="s">
        <v>20</v>
      </c>
      <c r="E10" s="21" t="s">
        <v>21</v>
      </c>
      <c r="F10" s="21" t="s">
        <v>22</v>
      </c>
      <c r="G10" s="21" t="s">
        <v>23</v>
      </c>
      <c r="H10" s="21" t="s">
        <v>24</v>
      </c>
      <c r="I10" s="21" t="s">
        <v>47</v>
      </c>
    </row>
    <row r="11" spans="1:9" x14ac:dyDescent="0.25">
      <c r="A11" s="134" t="s">
        <v>204</v>
      </c>
      <c r="B11" s="1" t="s">
        <v>48</v>
      </c>
      <c r="C11" s="2" t="s">
        <v>87</v>
      </c>
      <c r="D11" s="25">
        <v>3203.5980985317724</v>
      </c>
      <c r="E11" s="25">
        <v>2084.8479247797177</v>
      </c>
      <c r="F11" s="25">
        <v>1533.4295596499944</v>
      </c>
      <c r="G11" s="25">
        <v>2393.9180433502825</v>
      </c>
      <c r="H11" s="25">
        <v>2666.1787606091402</v>
      </c>
      <c r="I11" s="48">
        <f>SUM(D11:H11)</f>
        <v>11881.972386920907</v>
      </c>
    </row>
    <row r="12" spans="1:9" x14ac:dyDescent="0.25">
      <c r="A12" s="135" t="s">
        <v>235</v>
      </c>
      <c r="D12" s="91"/>
      <c r="E12" s="91"/>
      <c r="F12" s="91"/>
      <c r="G12" s="91"/>
      <c r="H12" s="91"/>
      <c r="I12" s="48"/>
    </row>
    <row r="17" spans="1:18" x14ac:dyDescent="0.25">
      <c r="A17" s="7" t="s">
        <v>88</v>
      </c>
      <c r="B17" s="7"/>
    </row>
    <row r="19" spans="1:18" x14ac:dyDescent="0.25">
      <c r="A19" s="7" t="s">
        <v>54</v>
      </c>
      <c r="B19" s="18"/>
    </row>
    <row r="20" spans="1:18" x14ac:dyDescent="0.25">
      <c r="B20" s="50" t="s">
        <v>35</v>
      </c>
      <c r="C20" s="50" t="s">
        <v>46</v>
      </c>
      <c r="D20" s="49"/>
    </row>
    <row r="21" spans="1:18" x14ac:dyDescent="0.25">
      <c r="A21" s="10" t="s">
        <v>89</v>
      </c>
      <c r="B21" s="1" t="s">
        <v>48</v>
      </c>
      <c r="C21" s="2" t="s">
        <v>49</v>
      </c>
      <c r="D21" s="41">
        <v>16552.87475049901</v>
      </c>
    </row>
    <row r="23" spans="1:18" x14ac:dyDescent="0.25">
      <c r="B23" s="26"/>
      <c r="C23" s="23" t="s">
        <v>51</v>
      </c>
      <c r="D23" s="28">
        <v>39387</v>
      </c>
      <c r="E23" s="28">
        <v>39539</v>
      </c>
      <c r="F23" s="28">
        <v>39722</v>
      </c>
      <c r="G23" s="28">
        <v>40087</v>
      </c>
      <c r="H23" s="28">
        <v>40269</v>
      </c>
      <c r="I23" s="28">
        <v>40452</v>
      </c>
      <c r="J23" s="28">
        <v>40817</v>
      </c>
      <c r="K23" s="28">
        <v>41183</v>
      </c>
      <c r="L23" s="28">
        <v>41548</v>
      </c>
      <c r="M23" s="28">
        <v>41913</v>
      </c>
      <c r="N23" s="28">
        <v>42278</v>
      </c>
      <c r="O23" s="28">
        <v>42644</v>
      </c>
      <c r="P23" s="28">
        <v>43009</v>
      </c>
      <c r="Q23" s="28">
        <v>43374</v>
      </c>
      <c r="R23" s="28">
        <v>43739</v>
      </c>
    </row>
    <row r="24" spans="1:18" x14ac:dyDescent="0.25">
      <c r="B24" s="26"/>
      <c r="C24" s="23" t="s">
        <v>52</v>
      </c>
      <c r="D24" s="28">
        <v>39538</v>
      </c>
      <c r="E24" s="28">
        <v>39721</v>
      </c>
      <c r="F24" s="28">
        <v>40086</v>
      </c>
      <c r="G24" s="28">
        <v>40268</v>
      </c>
      <c r="H24" s="28">
        <v>40451</v>
      </c>
      <c r="I24" s="28">
        <v>40816</v>
      </c>
      <c r="J24" s="28">
        <v>41182</v>
      </c>
      <c r="K24" s="28">
        <v>41547</v>
      </c>
      <c r="L24" s="28">
        <v>41912</v>
      </c>
      <c r="M24" s="28">
        <v>42277</v>
      </c>
      <c r="N24" s="28">
        <v>42643</v>
      </c>
      <c r="O24" s="28">
        <v>43008</v>
      </c>
      <c r="P24" s="28">
        <v>43373</v>
      </c>
      <c r="Q24" s="28">
        <v>43738</v>
      </c>
      <c r="R24" s="28">
        <v>44104</v>
      </c>
    </row>
    <row r="25" spans="1:18" x14ac:dyDescent="0.25">
      <c r="B25" s="20" t="s">
        <v>35</v>
      </c>
      <c r="C25" s="20" t="s">
        <v>46</v>
      </c>
      <c r="D25" s="26"/>
      <c r="E25" s="26"/>
      <c r="F25" s="26"/>
      <c r="G25" s="26"/>
      <c r="H25" s="26"/>
      <c r="I25" s="26"/>
      <c r="J25" s="26"/>
      <c r="K25" s="26"/>
      <c r="L25" s="26"/>
      <c r="M25" s="26"/>
      <c r="N25" s="26"/>
      <c r="O25" s="26"/>
      <c r="P25" s="26"/>
      <c r="Q25" s="26"/>
      <c r="R25" s="26"/>
    </row>
    <row r="26" spans="1:18" x14ac:dyDescent="0.25">
      <c r="A26" s="10" t="s">
        <v>90</v>
      </c>
      <c r="B26" s="10"/>
      <c r="C26" s="10"/>
    </row>
    <row r="27" spans="1:18" x14ac:dyDescent="0.25">
      <c r="A27" s="2" t="s">
        <v>56</v>
      </c>
      <c r="B27" s="1" t="s">
        <v>48</v>
      </c>
      <c r="C27" s="2" t="s">
        <v>49</v>
      </c>
      <c r="D27" s="25">
        <v>2116.7832446290081</v>
      </c>
      <c r="E27" s="25">
        <v>1262.6801421709006</v>
      </c>
      <c r="F27" s="25">
        <v>2346.1860374137109</v>
      </c>
      <c r="G27" s="25">
        <v>1466.300982890592</v>
      </c>
      <c r="H27" s="25"/>
      <c r="I27" s="25"/>
      <c r="J27" s="25"/>
      <c r="K27" s="25"/>
      <c r="L27" s="25"/>
      <c r="M27" s="25"/>
      <c r="N27" s="25"/>
      <c r="O27" s="25"/>
      <c r="P27" s="25"/>
      <c r="Q27" s="25"/>
      <c r="R27" s="25"/>
    </row>
    <row r="28" spans="1:18" x14ac:dyDescent="0.25">
      <c r="A28" s="2" t="s">
        <v>91</v>
      </c>
      <c r="B28" s="1" t="s">
        <v>48</v>
      </c>
      <c r="C28" s="2" t="s">
        <v>49</v>
      </c>
      <c r="D28" s="25"/>
      <c r="E28" s="25"/>
      <c r="F28" s="25">
        <v>1308.4658697862565</v>
      </c>
      <c r="G28" s="25">
        <v>1568.8724418280337</v>
      </c>
      <c r="H28" s="25"/>
      <c r="I28" s="25"/>
      <c r="J28" s="25"/>
      <c r="K28" s="25"/>
      <c r="L28" s="25"/>
      <c r="M28" s="25"/>
      <c r="N28" s="25"/>
      <c r="O28" s="25"/>
      <c r="P28" s="25"/>
      <c r="Q28" s="25"/>
      <c r="R28" s="25"/>
    </row>
    <row r="29" spans="1:18" x14ac:dyDescent="0.25">
      <c r="A29" s="2" t="s">
        <v>92</v>
      </c>
      <c r="B29" s="1" t="s">
        <v>48</v>
      </c>
      <c r="C29" s="2" t="s">
        <v>49</v>
      </c>
      <c r="D29" s="25"/>
      <c r="E29" s="25"/>
      <c r="F29" s="25"/>
      <c r="G29" s="25"/>
      <c r="H29" s="25">
        <v>1047.8191202872531</v>
      </c>
      <c r="I29" s="25">
        <v>1013.3891382405744</v>
      </c>
      <c r="J29" s="25">
        <v>1365.722621184919</v>
      </c>
      <c r="K29" s="25">
        <v>281.17818671454216</v>
      </c>
      <c r="L29" s="25">
        <v>1589.5175044883301</v>
      </c>
      <c r="M29" s="25">
        <v>418.89811490125669</v>
      </c>
      <c r="N29" s="25"/>
      <c r="O29" s="25"/>
      <c r="P29" s="25"/>
      <c r="Q29" s="25"/>
      <c r="R29" s="25"/>
    </row>
    <row r="30" spans="1:18" x14ac:dyDescent="0.25">
      <c r="A30" s="2" t="s">
        <v>59</v>
      </c>
      <c r="B30" s="1" t="s">
        <v>48</v>
      </c>
      <c r="C30" s="2" t="s">
        <v>49</v>
      </c>
      <c r="D30" s="25">
        <v>687.15121839654023</v>
      </c>
      <c r="E30" s="25">
        <v>827.64373752494998</v>
      </c>
      <c r="F30" s="25">
        <v>1656.5634231536922</v>
      </c>
      <c r="G30" s="25">
        <v>828.28171157684608</v>
      </c>
      <c r="H30" s="25">
        <v>1034.5546719061877</v>
      </c>
      <c r="I30" s="25">
        <v>2069.1093438123753</v>
      </c>
      <c r="J30" s="25">
        <v>2069.1093438123753</v>
      </c>
      <c r="K30" s="25">
        <v>2069.1093438123753</v>
      </c>
      <c r="L30" s="25">
        <v>2069.1093438123753</v>
      </c>
      <c r="M30" s="25">
        <v>2069.1093438123753</v>
      </c>
      <c r="N30" s="25"/>
      <c r="O30" s="25"/>
      <c r="P30" s="25"/>
      <c r="Q30" s="25"/>
      <c r="R30" s="25"/>
    </row>
    <row r="31" spans="1:18" x14ac:dyDescent="0.25">
      <c r="A31" s="2" t="s">
        <v>60</v>
      </c>
      <c r="B31" s="1" t="s">
        <v>48</v>
      </c>
      <c r="C31" s="2" t="s">
        <v>49</v>
      </c>
      <c r="D31" s="25"/>
      <c r="E31" s="25"/>
      <c r="F31" s="25">
        <v>71.046407396004938</v>
      </c>
      <c r="G31" s="25">
        <v>65.423293489312812</v>
      </c>
      <c r="H31" s="25"/>
      <c r="I31" s="25"/>
      <c r="J31" s="25"/>
      <c r="K31" s="25"/>
      <c r="L31" s="25"/>
      <c r="M31" s="25"/>
      <c r="N31" s="25"/>
      <c r="O31" s="25"/>
      <c r="P31" s="25"/>
      <c r="Q31" s="25"/>
      <c r="R31" s="25"/>
    </row>
    <row r="32" spans="1:18" x14ac:dyDescent="0.25">
      <c r="A32" s="2" t="s">
        <v>61</v>
      </c>
      <c r="B32" s="1" t="s">
        <v>48</v>
      </c>
      <c r="C32" s="2" t="s">
        <v>49</v>
      </c>
      <c r="D32" s="25"/>
      <c r="E32" s="25"/>
      <c r="F32" s="25"/>
      <c r="G32" s="25">
        <v>12.377105725354388</v>
      </c>
      <c r="H32" s="25"/>
      <c r="I32" s="25"/>
      <c r="J32" s="25"/>
      <c r="K32" s="25"/>
      <c r="L32" s="25"/>
      <c r="M32" s="25"/>
      <c r="N32" s="25"/>
      <c r="O32" s="25"/>
      <c r="P32" s="25"/>
      <c r="Q32" s="25"/>
      <c r="R32" s="25"/>
    </row>
    <row r="33" spans="1:18" x14ac:dyDescent="0.25">
      <c r="B33" s="1"/>
      <c r="D33" s="25"/>
      <c r="E33" s="25"/>
      <c r="F33" s="25"/>
      <c r="G33" s="25"/>
      <c r="H33" s="25"/>
      <c r="I33" s="25"/>
      <c r="J33" s="25"/>
      <c r="K33" s="25"/>
      <c r="L33" s="25"/>
      <c r="M33" s="25"/>
      <c r="N33" s="25"/>
      <c r="O33" s="25"/>
      <c r="P33" s="25"/>
      <c r="Q33" s="25"/>
      <c r="R33" s="25"/>
    </row>
    <row r="34" spans="1:18" x14ac:dyDescent="0.25">
      <c r="A34" s="10" t="s">
        <v>93</v>
      </c>
      <c r="D34" s="43"/>
      <c r="E34" s="43"/>
      <c r="F34" s="43"/>
      <c r="G34" s="43"/>
      <c r="H34" s="43"/>
      <c r="I34" s="43"/>
      <c r="J34" s="43"/>
      <c r="K34" s="43"/>
      <c r="L34" s="43"/>
      <c r="M34" s="43"/>
      <c r="N34" s="43"/>
      <c r="O34" s="43"/>
      <c r="P34" s="43"/>
      <c r="Q34" s="43"/>
      <c r="R34" s="43"/>
    </row>
    <row r="35" spans="1:18" x14ac:dyDescent="0.25">
      <c r="A35" s="2" t="s">
        <v>53</v>
      </c>
      <c r="B35" s="1" t="s">
        <v>48</v>
      </c>
      <c r="C35" s="2" t="s">
        <v>49</v>
      </c>
      <c r="D35" s="25"/>
      <c r="E35" s="25"/>
      <c r="F35" s="25"/>
      <c r="G35" s="25"/>
      <c r="H35" s="25"/>
      <c r="I35" s="25"/>
      <c r="J35" s="25"/>
      <c r="K35" s="25"/>
      <c r="L35" s="25"/>
      <c r="M35" s="25"/>
      <c r="N35" s="25">
        <v>1408.5</v>
      </c>
      <c r="O35" s="25">
        <v>1304.1000000000001</v>
      </c>
      <c r="P35" s="25">
        <v>1035</v>
      </c>
      <c r="Q35" s="25">
        <v>1369.8</v>
      </c>
      <c r="R35" s="25">
        <v>1717.1999999999998</v>
      </c>
    </row>
    <row r="36" spans="1:18" x14ac:dyDescent="0.25">
      <c r="A36" s="2" t="s">
        <v>94</v>
      </c>
      <c r="B36" s="1" t="s">
        <v>48</v>
      </c>
      <c r="C36" s="2" t="s">
        <v>49</v>
      </c>
      <c r="D36" s="25"/>
      <c r="E36" s="25"/>
      <c r="F36" s="25"/>
      <c r="G36" s="25"/>
      <c r="H36" s="25"/>
      <c r="I36" s="25"/>
      <c r="J36" s="25"/>
      <c r="K36" s="25"/>
      <c r="L36" s="25"/>
      <c r="M36" s="25"/>
      <c r="N36" s="25">
        <v>3999.2616251784443</v>
      </c>
      <c r="O36" s="25">
        <v>1762.9726765238149</v>
      </c>
      <c r="P36" s="25">
        <v>1363.870779847397</v>
      </c>
      <c r="Q36" s="25">
        <v>1312.7862152154398</v>
      </c>
      <c r="R36" s="25">
        <v>1272.6674596050275</v>
      </c>
    </row>
    <row r="38" spans="1:18" x14ac:dyDescent="0.25">
      <c r="A38" s="7" t="s">
        <v>73</v>
      </c>
      <c r="B38" s="18"/>
    </row>
    <row r="39" spans="1:18" x14ac:dyDescent="0.25">
      <c r="A39" s="10"/>
      <c r="B39" s="20" t="s">
        <v>35</v>
      </c>
      <c r="C39" s="20" t="s">
        <v>46</v>
      </c>
      <c r="D39" s="26"/>
    </row>
    <row r="40" spans="1:18" x14ac:dyDescent="0.25">
      <c r="A40" s="10" t="s">
        <v>95</v>
      </c>
      <c r="B40" s="1" t="s">
        <v>48</v>
      </c>
      <c r="C40" s="2" t="s">
        <v>49</v>
      </c>
      <c r="D40" s="44">
        <v>0</v>
      </c>
    </row>
    <row r="41" spans="1:18" x14ac:dyDescent="0.25">
      <c r="A41" s="10"/>
    </row>
    <row r="42" spans="1:18" x14ac:dyDescent="0.25">
      <c r="B42" s="26"/>
      <c r="C42" s="23" t="s">
        <v>51</v>
      </c>
      <c r="D42" s="28">
        <v>39387</v>
      </c>
      <c r="E42" s="28">
        <v>39539</v>
      </c>
      <c r="F42" s="28">
        <v>39722</v>
      </c>
      <c r="G42" s="28">
        <v>40087</v>
      </c>
      <c r="H42" s="28">
        <v>40269</v>
      </c>
      <c r="I42" s="28">
        <v>40452</v>
      </c>
      <c r="J42" s="28">
        <v>40817</v>
      </c>
      <c r="K42" s="28">
        <v>41183</v>
      </c>
      <c r="L42" s="28">
        <v>41548</v>
      </c>
      <c r="M42" s="28">
        <v>41913</v>
      </c>
      <c r="N42" s="28">
        <v>42278</v>
      </c>
      <c r="O42" s="28">
        <v>42644</v>
      </c>
      <c r="P42" s="28">
        <v>43009</v>
      </c>
      <c r="Q42" s="28">
        <v>43374</v>
      </c>
      <c r="R42" s="28">
        <v>43739</v>
      </c>
    </row>
    <row r="43" spans="1:18" x14ac:dyDescent="0.25">
      <c r="B43" s="26"/>
      <c r="C43" s="23" t="s">
        <v>52</v>
      </c>
      <c r="D43" s="28">
        <v>39538</v>
      </c>
      <c r="E43" s="28">
        <v>39721</v>
      </c>
      <c r="F43" s="28">
        <v>40086</v>
      </c>
      <c r="G43" s="28">
        <v>40268</v>
      </c>
      <c r="H43" s="28">
        <v>40451</v>
      </c>
      <c r="I43" s="28">
        <v>40816</v>
      </c>
      <c r="J43" s="28">
        <v>41182</v>
      </c>
      <c r="K43" s="28">
        <v>41547</v>
      </c>
      <c r="L43" s="28">
        <v>41912</v>
      </c>
      <c r="M43" s="28">
        <v>42277</v>
      </c>
      <c r="N43" s="28">
        <v>42643</v>
      </c>
      <c r="O43" s="28">
        <v>43008</v>
      </c>
      <c r="P43" s="28">
        <v>43373</v>
      </c>
      <c r="Q43" s="28">
        <v>43738</v>
      </c>
      <c r="R43" s="28">
        <v>44104</v>
      </c>
    </row>
    <row r="44" spans="1:18" x14ac:dyDescent="0.25">
      <c r="B44" s="20" t="s">
        <v>35</v>
      </c>
      <c r="C44" s="20" t="s">
        <v>46</v>
      </c>
      <c r="D44" s="45"/>
      <c r="E44" s="45"/>
      <c r="F44" s="45"/>
      <c r="G44" s="45"/>
      <c r="H44" s="45"/>
      <c r="I44" s="45"/>
      <c r="J44" s="45"/>
      <c r="K44" s="45"/>
      <c r="L44" s="45"/>
      <c r="M44" s="45"/>
      <c r="N44" s="45"/>
      <c r="O44" s="45"/>
      <c r="P44" s="45"/>
      <c r="Q44" s="45"/>
      <c r="R44" s="45"/>
    </row>
    <row r="45" spans="1:18" x14ac:dyDescent="0.25">
      <c r="A45" s="10" t="s">
        <v>90</v>
      </c>
      <c r="B45" s="10"/>
      <c r="C45" s="10"/>
      <c r="D45" s="43"/>
      <c r="E45" s="43"/>
      <c r="F45" s="43"/>
      <c r="G45" s="43"/>
      <c r="H45" s="43"/>
      <c r="I45" s="43"/>
      <c r="J45" s="43"/>
      <c r="K45" s="43"/>
      <c r="L45" s="43"/>
      <c r="M45" s="43"/>
      <c r="N45" s="43"/>
      <c r="O45" s="43"/>
      <c r="P45" s="43"/>
      <c r="Q45" s="43"/>
      <c r="R45" s="43"/>
    </row>
    <row r="46" spans="1:18" x14ac:dyDescent="0.25">
      <c r="A46" s="2" t="s">
        <v>92</v>
      </c>
      <c r="B46" s="1" t="s">
        <v>48</v>
      </c>
      <c r="C46" s="2" t="s">
        <v>49</v>
      </c>
      <c r="D46" s="25"/>
      <c r="E46" s="25"/>
      <c r="F46" s="25"/>
      <c r="G46" s="25"/>
      <c r="H46" s="25">
        <v>0</v>
      </c>
      <c r="I46" s="25">
        <v>1454.0929084380609</v>
      </c>
      <c r="J46" s="25">
        <v>1454.0929084380609</v>
      </c>
      <c r="K46" s="25">
        <v>0</v>
      </c>
      <c r="L46" s="25">
        <v>0</v>
      </c>
      <c r="M46" s="25">
        <v>0</v>
      </c>
      <c r="N46" s="25"/>
      <c r="O46" s="25"/>
      <c r="P46" s="25"/>
      <c r="Q46" s="25"/>
      <c r="R46" s="25"/>
    </row>
    <row r="47" spans="1:18" x14ac:dyDescent="0.25">
      <c r="A47" s="2" t="s">
        <v>96</v>
      </c>
      <c r="B47" s="1" t="s">
        <v>48</v>
      </c>
      <c r="C47" s="2" t="s">
        <v>49</v>
      </c>
      <c r="D47" s="25"/>
      <c r="E47" s="25"/>
      <c r="F47" s="25"/>
      <c r="G47" s="25"/>
      <c r="H47" s="25">
        <v>0</v>
      </c>
      <c r="I47" s="25">
        <v>1454.0929084380609</v>
      </c>
      <c r="J47" s="25">
        <v>1454.0929084380609</v>
      </c>
      <c r="K47" s="25">
        <v>0</v>
      </c>
      <c r="L47" s="25">
        <v>0</v>
      </c>
      <c r="M47" s="25">
        <v>0</v>
      </c>
      <c r="N47" s="25"/>
      <c r="O47" s="25"/>
      <c r="P47" s="25"/>
      <c r="Q47" s="25"/>
      <c r="R47" s="25"/>
    </row>
    <row r="48" spans="1:18" x14ac:dyDescent="0.25">
      <c r="D48" s="43"/>
      <c r="E48" s="43"/>
      <c r="F48" s="43"/>
      <c r="G48" s="43"/>
      <c r="H48" s="43"/>
      <c r="I48" s="43"/>
      <c r="J48" s="43"/>
      <c r="K48" s="43"/>
      <c r="L48" s="43"/>
      <c r="M48" s="43"/>
      <c r="N48" s="43"/>
      <c r="O48" s="43"/>
      <c r="P48" s="43"/>
      <c r="Q48" s="43"/>
      <c r="R48" s="43"/>
    </row>
    <row r="49" spans="1:18" x14ac:dyDescent="0.25">
      <c r="A49" s="10" t="s">
        <v>93</v>
      </c>
      <c r="D49" s="43"/>
      <c r="E49" s="43"/>
      <c r="F49" s="43"/>
      <c r="G49" s="43"/>
      <c r="H49" s="43"/>
      <c r="I49" s="43"/>
      <c r="J49" s="43"/>
      <c r="K49" s="43"/>
      <c r="L49" s="43"/>
      <c r="M49" s="43"/>
      <c r="N49" s="43"/>
      <c r="O49" s="43"/>
      <c r="P49" s="43"/>
      <c r="Q49" s="43"/>
      <c r="R49" s="43"/>
    </row>
    <row r="50" spans="1:18" x14ac:dyDescent="0.25">
      <c r="A50" s="2" t="s">
        <v>97</v>
      </c>
      <c r="B50" s="1" t="s">
        <v>48</v>
      </c>
      <c r="C50" s="2" t="s">
        <v>49</v>
      </c>
      <c r="D50" s="46"/>
      <c r="E50" s="46"/>
      <c r="F50" s="46"/>
      <c r="G50" s="46"/>
      <c r="H50" s="46"/>
      <c r="I50" s="46"/>
      <c r="J50" s="46"/>
      <c r="K50" s="46"/>
      <c r="L50" s="46"/>
      <c r="M50" s="46"/>
      <c r="N50" s="46">
        <v>0</v>
      </c>
      <c r="O50" s="46">
        <v>0</v>
      </c>
      <c r="P50" s="46">
        <v>0</v>
      </c>
      <c r="Q50" s="46">
        <v>0</v>
      </c>
      <c r="R50" s="46">
        <v>0</v>
      </c>
    </row>
    <row r="51" spans="1:18" x14ac:dyDescent="0.25">
      <c r="A51" s="2" t="s">
        <v>94</v>
      </c>
      <c r="B51" s="1" t="s">
        <v>48</v>
      </c>
      <c r="C51" s="2" t="s">
        <v>49</v>
      </c>
      <c r="D51" s="46"/>
      <c r="E51" s="46"/>
      <c r="F51" s="46"/>
      <c r="G51" s="46"/>
      <c r="H51" s="46"/>
      <c r="I51" s="46"/>
      <c r="J51" s="46"/>
      <c r="K51" s="46"/>
      <c r="L51" s="46"/>
      <c r="M51" s="46"/>
      <c r="N51" s="25">
        <v>116.32743267504486</v>
      </c>
      <c r="O51" s="25">
        <v>116.32743267504486</v>
      </c>
      <c r="P51" s="25">
        <v>116.32743267504486</v>
      </c>
      <c r="Q51" s="25">
        <v>116.32743267504486</v>
      </c>
      <c r="R51" s="25">
        <v>116.32743267504486</v>
      </c>
    </row>
    <row r="53" spans="1:18" x14ac:dyDescent="0.25">
      <c r="A53" s="7" t="s">
        <v>98</v>
      </c>
      <c r="B53" s="18"/>
    </row>
    <row r="54" spans="1:18" x14ac:dyDescent="0.25">
      <c r="B54" s="20" t="s">
        <v>35</v>
      </c>
      <c r="C54" s="20" t="s">
        <v>46</v>
      </c>
      <c r="D54" s="24">
        <v>39538</v>
      </c>
      <c r="E54" s="24">
        <v>39721</v>
      </c>
      <c r="F54" s="24">
        <v>40086</v>
      </c>
      <c r="G54" s="24">
        <v>40268</v>
      </c>
      <c r="H54" s="24">
        <v>40451</v>
      </c>
      <c r="I54" s="24">
        <v>40816</v>
      </c>
      <c r="J54" s="24">
        <v>41182</v>
      </c>
      <c r="K54" s="24">
        <v>41547</v>
      </c>
      <c r="L54" s="24">
        <v>41912</v>
      </c>
      <c r="M54" s="24">
        <v>42277</v>
      </c>
      <c r="N54" s="24">
        <v>42643</v>
      </c>
      <c r="O54" s="24">
        <v>43008</v>
      </c>
      <c r="P54" s="24">
        <v>43373</v>
      </c>
      <c r="Q54" s="24">
        <v>43738</v>
      </c>
      <c r="R54" s="24">
        <v>44104</v>
      </c>
    </row>
    <row r="55" spans="1:18" x14ac:dyDescent="0.25">
      <c r="A55" s="2" t="s">
        <v>99</v>
      </c>
      <c r="B55" s="1" t="s">
        <v>48</v>
      </c>
      <c r="C55" s="2" t="s">
        <v>49</v>
      </c>
      <c r="Q55" s="25">
        <v>1700</v>
      </c>
      <c r="R55" s="25"/>
    </row>
    <row r="56" spans="1:18" x14ac:dyDescent="0.25">
      <c r="A56" s="2" t="s">
        <v>100</v>
      </c>
      <c r="B56" s="1" t="s">
        <v>48</v>
      </c>
      <c r="C56" s="2" t="s">
        <v>49</v>
      </c>
      <c r="Q56" s="25">
        <v>850</v>
      </c>
      <c r="R56" s="25">
        <v>850</v>
      </c>
    </row>
    <row r="58" spans="1:18" x14ac:dyDescent="0.25">
      <c r="A58" s="10" t="s">
        <v>101</v>
      </c>
    </row>
    <row r="59" spans="1:18" x14ac:dyDescent="0.25">
      <c r="A59" s="10" t="s">
        <v>102</v>
      </c>
      <c r="B59" s="20" t="s">
        <v>35</v>
      </c>
      <c r="C59" s="20" t="s">
        <v>46</v>
      </c>
      <c r="D59" s="21" t="s">
        <v>103</v>
      </c>
    </row>
    <row r="60" spans="1:18" x14ac:dyDescent="0.25">
      <c r="A60" s="2" t="s">
        <v>104</v>
      </c>
      <c r="B60" s="1" t="s">
        <v>26</v>
      </c>
      <c r="D60" s="47">
        <v>1</v>
      </c>
    </row>
    <row r="61" spans="1:18" x14ac:dyDescent="0.25">
      <c r="A61" s="2" t="s">
        <v>84</v>
      </c>
      <c r="B61" s="1" t="s">
        <v>26</v>
      </c>
      <c r="D61" s="47">
        <f>1-D60</f>
        <v>0</v>
      </c>
    </row>
    <row r="62" spans="1:18" x14ac:dyDescent="0.25">
      <c r="B62" s="1"/>
      <c r="D62" s="25"/>
    </row>
    <row r="63" spans="1:18" s="1" customFormat="1" ht="18" customHeight="1" x14ac:dyDescent="0.25">
      <c r="A63" s="126" t="s">
        <v>209</v>
      </c>
      <c r="B63" s="18"/>
    </row>
    <row r="64" spans="1:18" s="1" customFormat="1" x14ac:dyDescent="0.25">
      <c r="A64" s="16"/>
      <c r="B64" s="26"/>
      <c r="C64" s="23" t="s">
        <v>65</v>
      </c>
      <c r="D64" s="24">
        <v>39538</v>
      </c>
      <c r="E64" s="24">
        <v>39721</v>
      </c>
      <c r="F64" s="24">
        <v>40086</v>
      </c>
      <c r="G64" s="24">
        <v>40268</v>
      </c>
      <c r="H64" s="24">
        <v>40451</v>
      </c>
      <c r="I64" s="24">
        <v>40816</v>
      </c>
      <c r="J64" s="24">
        <v>41182</v>
      </c>
      <c r="K64" s="24">
        <v>41547</v>
      </c>
      <c r="L64" s="24">
        <v>41912</v>
      </c>
      <c r="M64" s="24">
        <v>42277</v>
      </c>
      <c r="N64" s="24">
        <v>42643</v>
      </c>
      <c r="O64" s="24">
        <v>43008</v>
      </c>
      <c r="P64" s="24">
        <v>43373</v>
      </c>
      <c r="Q64" s="24">
        <v>43738</v>
      </c>
      <c r="R64" s="24">
        <v>44104</v>
      </c>
    </row>
    <row r="65" spans="1:23" s="1" customFormat="1" x14ac:dyDescent="0.25">
      <c r="A65" s="16"/>
      <c r="B65" s="20" t="s">
        <v>35</v>
      </c>
      <c r="C65" s="20" t="s">
        <v>46</v>
      </c>
      <c r="D65" s="24"/>
      <c r="E65" s="24"/>
      <c r="F65" s="24"/>
      <c r="G65" s="24"/>
      <c r="H65" s="24"/>
      <c r="I65" s="24"/>
      <c r="J65" s="24"/>
      <c r="K65" s="24"/>
      <c r="L65" s="24"/>
      <c r="M65" s="24"/>
      <c r="N65" s="24"/>
      <c r="O65" s="24"/>
      <c r="P65" s="24"/>
      <c r="Q65" s="24"/>
      <c r="R65" s="24"/>
    </row>
    <row r="66" spans="1:23" s="1" customFormat="1" x14ac:dyDescent="0.25">
      <c r="A66" s="1" t="s">
        <v>74</v>
      </c>
      <c r="B66" s="60" t="s">
        <v>48</v>
      </c>
      <c r="C66" s="1" t="s">
        <v>49</v>
      </c>
      <c r="D66" s="29"/>
      <c r="E66" s="29"/>
      <c r="F66" s="29"/>
      <c r="G66" s="29"/>
      <c r="H66" s="29"/>
      <c r="I66" s="29"/>
      <c r="J66" s="29"/>
      <c r="K66" s="29"/>
      <c r="L66" s="29"/>
      <c r="M66" s="29"/>
      <c r="N66" s="29"/>
      <c r="O66" s="29"/>
      <c r="P66" s="29"/>
      <c r="Q66" s="29">
        <v>1700</v>
      </c>
      <c r="R66" s="29">
        <f>Q69</f>
        <v>850</v>
      </c>
    </row>
    <row r="67" spans="1:23" s="1" customFormat="1" x14ac:dyDescent="0.25">
      <c r="B67" s="60"/>
      <c r="D67" s="29"/>
      <c r="E67" s="29"/>
      <c r="F67" s="29"/>
      <c r="G67" s="29"/>
      <c r="H67" s="29"/>
      <c r="I67" s="29"/>
      <c r="J67" s="29"/>
      <c r="K67" s="29"/>
      <c r="L67" s="29"/>
      <c r="M67" s="29"/>
      <c r="N67" s="29"/>
      <c r="O67" s="29"/>
      <c r="P67" s="29"/>
      <c r="Q67" s="29"/>
      <c r="R67" s="29"/>
    </row>
    <row r="68" spans="1:23" s="1" customFormat="1" x14ac:dyDescent="0.25">
      <c r="A68" s="1" t="s">
        <v>75</v>
      </c>
      <c r="B68" s="60" t="s">
        <v>48</v>
      </c>
      <c r="C68" s="1" t="s">
        <v>49</v>
      </c>
      <c r="D68" s="29"/>
      <c r="E68" s="29"/>
      <c r="F68" s="29"/>
      <c r="G68" s="29"/>
      <c r="H68" s="29"/>
      <c r="I68" s="29"/>
      <c r="J68" s="29"/>
      <c r="K68" s="29"/>
      <c r="L68" s="29"/>
      <c r="M68" s="29"/>
      <c r="N68" s="29"/>
      <c r="O68" s="29"/>
      <c r="P68" s="29"/>
      <c r="Q68" s="29">
        <v>850</v>
      </c>
      <c r="R68" s="29">
        <v>850</v>
      </c>
    </row>
    <row r="69" spans="1:23" s="1" customFormat="1" x14ac:dyDescent="0.25">
      <c r="A69" s="1" t="s">
        <v>76</v>
      </c>
      <c r="B69" s="60" t="s">
        <v>48</v>
      </c>
      <c r="C69" s="1" t="s">
        <v>49</v>
      </c>
      <c r="D69" s="29"/>
      <c r="E69" s="29"/>
      <c r="F69" s="29"/>
      <c r="G69" s="29"/>
      <c r="H69" s="29"/>
      <c r="I69" s="29"/>
      <c r="J69" s="29"/>
      <c r="K69" s="29"/>
      <c r="L69" s="29"/>
      <c r="M69" s="29"/>
      <c r="N69" s="29"/>
      <c r="O69" s="29"/>
      <c r="P69" s="29"/>
      <c r="Q69" s="29">
        <f>Q66-Q68</f>
        <v>850</v>
      </c>
      <c r="R69" s="29">
        <f>R66-R68</f>
        <v>0</v>
      </c>
    </row>
    <row r="70" spans="1:23" s="1" customFormat="1" x14ac:dyDescent="0.25">
      <c r="A70" s="1" t="s">
        <v>77</v>
      </c>
      <c r="B70" s="60" t="s">
        <v>48</v>
      </c>
      <c r="C70" s="1" t="s">
        <v>49</v>
      </c>
      <c r="D70" s="29"/>
      <c r="E70" s="29"/>
      <c r="F70" s="29"/>
      <c r="G70" s="29"/>
      <c r="H70" s="29"/>
      <c r="I70" s="29"/>
      <c r="J70" s="29"/>
      <c r="K70" s="29"/>
      <c r="L70" s="29"/>
      <c r="M70" s="29"/>
      <c r="N70" s="29"/>
      <c r="O70" s="29"/>
      <c r="P70" s="29"/>
      <c r="Q70" s="29">
        <f>(Q66+Q69)/2</f>
        <v>1275</v>
      </c>
      <c r="R70" s="29">
        <f>(R66+R69)/2</f>
        <v>425</v>
      </c>
    </row>
    <row r="73" spans="1:23" x14ac:dyDescent="0.25">
      <c r="A73" s="7" t="s">
        <v>40</v>
      </c>
      <c r="B73" s="18"/>
    </row>
    <row r="74" spans="1:23" x14ac:dyDescent="0.25">
      <c r="B74" s="26"/>
      <c r="C74" s="23" t="s">
        <v>51</v>
      </c>
      <c r="D74" s="28">
        <v>39387</v>
      </c>
      <c r="E74" s="28">
        <v>39539</v>
      </c>
      <c r="F74" s="28">
        <v>39722</v>
      </c>
      <c r="G74" s="28">
        <v>40087</v>
      </c>
      <c r="H74" s="28">
        <v>40269</v>
      </c>
      <c r="I74" s="28">
        <v>40452</v>
      </c>
      <c r="J74" s="28">
        <v>40817</v>
      </c>
      <c r="K74" s="28">
        <v>41183</v>
      </c>
      <c r="L74" s="28">
        <v>41548</v>
      </c>
      <c r="M74" s="28">
        <v>41913</v>
      </c>
      <c r="N74" s="28">
        <v>42278</v>
      </c>
      <c r="O74" s="28">
        <v>42644</v>
      </c>
      <c r="P74" s="28">
        <v>43009</v>
      </c>
      <c r="Q74" s="28">
        <v>43374</v>
      </c>
      <c r="R74" s="28">
        <v>43739</v>
      </c>
      <c r="S74" s="28">
        <v>44105</v>
      </c>
      <c r="T74" s="28">
        <v>44470</v>
      </c>
      <c r="U74" s="28">
        <v>44835</v>
      </c>
      <c r="V74" s="28">
        <v>45200</v>
      </c>
      <c r="W74" s="28">
        <v>45566</v>
      </c>
    </row>
    <row r="75" spans="1:23" x14ac:dyDescent="0.25">
      <c r="B75" s="20" t="s">
        <v>35</v>
      </c>
      <c r="C75" s="23" t="s">
        <v>52</v>
      </c>
      <c r="D75" s="28">
        <v>39538</v>
      </c>
      <c r="E75" s="28">
        <v>39721</v>
      </c>
      <c r="F75" s="28">
        <v>40086</v>
      </c>
      <c r="G75" s="28">
        <v>40268</v>
      </c>
      <c r="H75" s="28">
        <v>40451</v>
      </c>
      <c r="I75" s="28">
        <v>40816</v>
      </c>
      <c r="J75" s="28">
        <v>41182</v>
      </c>
      <c r="K75" s="28">
        <v>41547</v>
      </c>
      <c r="L75" s="28">
        <v>41912</v>
      </c>
      <c r="M75" s="28">
        <v>42277</v>
      </c>
      <c r="N75" s="28">
        <v>42643</v>
      </c>
      <c r="O75" s="28">
        <v>43008</v>
      </c>
      <c r="P75" s="28">
        <v>43373</v>
      </c>
      <c r="Q75" s="28">
        <v>43738</v>
      </c>
      <c r="R75" s="28">
        <v>44104</v>
      </c>
      <c r="S75" s="28">
        <v>44469</v>
      </c>
      <c r="T75" s="28">
        <v>44834</v>
      </c>
      <c r="U75" s="28">
        <v>45199</v>
      </c>
      <c r="V75" s="28">
        <v>45565</v>
      </c>
      <c r="W75" s="28">
        <v>45930</v>
      </c>
    </row>
    <row r="76" spans="1:23" x14ac:dyDescent="0.25">
      <c r="A76" s="2" t="s">
        <v>42</v>
      </c>
      <c r="B76" s="2" t="s">
        <v>43</v>
      </c>
      <c r="D76" s="2">
        <v>10</v>
      </c>
      <c r="E76" s="2">
        <v>10</v>
      </c>
      <c r="F76" s="2">
        <v>10</v>
      </c>
      <c r="G76" s="2">
        <v>10</v>
      </c>
      <c r="H76" s="2">
        <v>8</v>
      </c>
      <c r="I76" s="2">
        <v>8</v>
      </c>
      <c r="J76" s="2">
        <v>8</v>
      </c>
      <c r="K76" s="2">
        <v>8</v>
      </c>
      <c r="L76" s="2">
        <v>8</v>
      </c>
      <c r="M76" s="2">
        <v>8</v>
      </c>
      <c r="N76" s="2">
        <v>5</v>
      </c>
      <c r="O76" s="2">
        <v>5</v>
      </c>
      <c r="P76" s="2">
        <v>5</v>
      </c>
      <c r="Q76" s="2">
        <v>5</v>
      </c>
      <c r="R76" s="2">
        <v>5</v>
      </c>
      <c r="S76" s="2">
        <v>5</v>
      </c>
      <c r="T76" s="2">
        <v>5</v>
      </c>
      <c r="U76" s="2">
        <v>5</v>
      </c>
      <c r="V76" s="2">
        <v>5</v>
      </c>
      <c r="W76" s="2">
        <v>5</v>
      </c>
    </row>
    <row r="77" spans="1:23" x14ac:dyDescent="0.25">
      <c r="A77" s="2" t="s">
        <v>44</v>
      </c>
      <c r="B77" s="2" t="s">
        <v>43</v>
      </c>
      <c r="D77" s="2">
        <v>25</v>
      </c>
      <c r="E77" s="2">
        <v>25</v>
      </c>
      <c r="F77" s="2">
        <v>25</v>
      </c>
      <c r="G77" s="2">
        <v>25</v>
      </c>
      <c r="H77" s="2">
        <v>25</v>
      </c>
      <c r="I77" s="2">
        <v>25</v>
      </c>
      <c r="J77" s="2">
        <v>25</v>
      </c>
      <c r="K77" s="2">
        <v>25</v>
      </c>
      <c r="L77" s="2">
        <v>25</v>
      </c>
      <c r="M77" s="2">
        <v>25</v>
      </c>
      <c r="N77" s="2">
        <v>25</v>
      </c>
      <c r="O77" s="2">
        <v>25</v>
      </c>
      <c r="P77" s="2">
        <v>25</v>
      </c>
      <c r="Q77" s="2">
        <v>25</v>
      </c>
      <c r="R77" s="2">
        <v>25</v>
      </c>
      <c r="S77" s="2">
        <v>25</v>
      </c>
      <c r="T77" s="2">
        <v>25</v>
      </c>
      <c r="U77" s="2">
        <v>25</v>
      </c>
      <c r="V77" s="2">
        <v>25</v>
      </c>
      <c r="W77" s="2">
        <v>25</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7"/>
  <sheetViews>
    <sheetView showGridLines="0" zoomScale="85" zoomScaleNormal="85" workbookViewId="0"/>
  </sheetViews>
  <sheetFormatPr defaultColWidth="8.6640625" defaultRowHeight="13.2" x14ac:dyDescent="0.25"/>
  <cols>
    <col min="1" max="1" width="105.5546875" style="2" bestFit="1" customWidth="1"/>
    <col min="2" max="2" width="8.6640625" style="2" customWidth="1"/>
    <col min="3" max="3" width="14.21875" style="2" bestFit="1" customWidth="1"/>
    <col min="4" max="4" width="9.5546875" style="2" bestFit="1" customWidth="1"/>
    <col min="5" max="9" width="9" style="2" bestFit="1" customWidth="1"/>
    <col min="10" max="16384" width="8.6640625" style="2"/>
  </cols>
  <sheetData>
    <row r="1" spans="1:11" x14ac:dyDescent="0.25">
      <c r="A1" s="7" t="s">
        <v>149</v>
      </c>
      <c r="B1" s="18"/>
    </row>
    <row r="3" spans="1:11" x14ac:dyDescent="0.25">
      <c r="A3" s="7" t="s">
        <v>34</v>
      </c>
      <c r="B3" s="18"/>
      <c r="C3" s="26"/>
      <c r="D3" s="57" t="s">
        <v>27</v>
      </c>
      <c r="E3" s="57" t="s">
        <v>28</v>
      </c>
      <c r="F3" s="57" t="s">
        <v>29</v>
      </c>
      <c r="G3" s="57" t="s">
        <v>30</v>
      </c>
      <c r="H3" s="57" t="s">
        <v>36</v>
      </c>
      <c r="I3" s="26"/>
    </row>
    <row r="4" spans="1:11" x14ac:dyDescent="0.25">
      <c r="A4" s="2" t="s">
        <v>105</v>
      </c>
      <c r="D4" s="42">
        <f>Inflation!N4</f>
        <v>1.0260223048327139</v>
      </c>
      <c r="E4" s="42">
        <f>Inflation!O4</f>
        <v>1.0465427509293681</v>
      </c>
      <c r="F4" s="42">
        <f>Inflation!P4</f>
        <v>1.0674736059479555</v>
      </c>
      <c r="G4" s="42">
        <f>Inflation!Q4</f>
        <v>1.0888230780669146</v>
      </c>
      <c r="H4" s="42">
        <f>Inflation!R4</f>
        <v>1.1105995396282529</v>
      </c>
    </row>
    <row r="5" spans="1:11" x14ac:dyDescent="0.25">
      <c r="D5" s="42"/>
      <c r="E5" s="42"/>
      <c r="F5" s="42"/>
      <c r="G5" s="42"/>
      <c r="H5" s="42"/>
    </row>
    <row r="6" spans="1:11" x14ac:dyDescent="0.25">
      <c r="A6" s="7" t="s">
        <v>129</v>
      </c>
    </row>
    <row r="7" spans="1:11" x14ac:dyDescent="0.25">
      <c r="A7" s="115"/>
      <c r="B7" s="20" t="s">
        <v>35</v>
      </c>
      <c r="C7" s="20" t="s">
        <v>46</v>
      </c>
      <c r="D7" s="21" t="s">
        <v>27</v>
      </c>
      <c r="E7" s="21" t="s">
        <v>28</v>
      </c>
      <c r="F7" s="21" t="s">
        <v>29</v>
      </c>
      <c r="G7" s="21" t="s">
        <v>30</v>
      </c>
      <c r="H7" s="21" t="s">
        <v>36</v>
      </c>
      <c r="I7" s="21" t="s">
        <v>47</v>
      </c>
    </row>
    <row r="8" spans="1:11" x14ac:dyDescent="0.25">
      <c r="A8" s="2" t="s">
        <v>141</v>
      </c>
      <c r="B8" s="1" t="s">
        <v>48</v>
      </c>
      <c r="C8" s="2" t="s">
        <v>62</v>
      </c>
      <c r="D8" s="54">
        <f>'FD Allowances'!D4</f>
        <v>0</v>
      </c>
      <c r="E8" s="54">
        <f>'FD Allowances'!E4</f>
        <v>0</v>
      </c>
      <c r="F8" s="54">
        <f>'FD Allowances'!F4</f>
        <v>0</v>
      </c>
      <c r="G8" s="54">
        <f>'FD Allowances'!G4</f>
        <v>0</v>
      </c>
      <c r="H8" s="54">
        <f>'FD Allowances'!H4</f>
        <v>0</v>
      </c>
      <c r="I8" s="52">
        <f t="shared" ref="I8:I12" si="0">SUM(D8:H8)</f>
        <v>0</v>
      </c>
    </row>
    <row r="9" spans="1:11" x14ac:dyDescent="0.25">
      <c r="A9" s="2" t="s">
        <v>140</v>
      </c>
      <c r="B9" s="1" t="s">
        <v>48</v>
      </c>
      <c r="C9" s="2" t="s">
        <v>62</v>
      </c>
      <c r="D9" s="54">
        <f>'FD Allowances'!D5</f>
        <v>2592.911525</v>
      </c>
      <c r="E9" s="54">
        <f>'FD Allowances'!E5</f>
        <v>2230.8171675000003</v>
      </c>
      <c r="F9" s="54">
        <f>'FD Allowances'!F5</f>
        <v>1743.2751349999999</v>
      </c>
      <c r="G9" s="54">
        <f>'FD Allowances'!G5</f>
        <v>1552.8942999999999</v>
      </c>
      <c r="H9" s="54">
        <f>'FD Allowances'!H5</f>
        <v>1480.0943</v>
      </c>
      <c r="I9" s="52">
        <f t="shared" si="0"/>
        <v>9599.9924275000012</v>
      </c>
    </row>
    <row r="10" spans="1:11" x14ac:dyDescent="0.25">
      <c r="D10" s="54"/>
      <c r="E10" s="54"/>
      <c r="F10" s="54"/>
      <c r="G10" s="54"/>
      <c r="H10" s="54"/>
      <c r="I10" s="52"/>
    </row>
    <row r="11" spans="1:11" x14ac:dyDescent="0.25">
      <c r="A11" s="2" t="s">
        <v>142</v>
      </c>
      <c r="B11" s="1" t="s">
        <v>48</v>
      </c>
      <c r="C11" s="2" t="s">
        <v>62</v>
      </c>
      <c r="D11" s="54">
        <f>'FD Allowances'!D7</f>
        <v>0</v>
      </c>
      <c r="E11" s="54">
        <f>'FD Allowances'!E7</f>
        <v>0</v>
      </c>
      <c r="F11" s="54">
        <f>'FD Allowances'!F7</f>
        <v>0</v>
      </c>
      <c r="G11" s="54">
        <f>'FD Allowances'!G7</f>
        <v>0</v>
      </c>
      <c r="H11" s="54">
        <f>'FD Allowances'!H7</f>
        <v>0</v>
      </c>
      <c r="I11" s="52">
        <f t="shared" si="0"/>
        <v>0</v>
      </c>
    </row>
    <row r="12" spans="1:11" x14ac:dyDescent="0.25">
      <c r="A12" s="2" t="s">
        <v>143</v>
      </c>
      <c r="B12" s="1" t="s">
        <v>48</v>
      </c>
      <c r="C12" s="2" t="s">
        <v>62</v>
      </c>
      <c r="D12" s="54">
        <f>'FD Allowances'!D8</f>
        <v>47.5</v>
      </c>
      <c r="E12" s="54">
        <f>'FD Allowances'!E8</f>
        <v>47.5</v>
      </c>
      <c r="F12" s="54">
        <f>'FD Allowances'!F8</f>
        <v>10</v>
      </c>
      <c r="G12" s="54">
        <f>'FD Allowances'!G8</f>
        <v>10</v>
      </c>
      <c r="H12" s="54">
        <f>'FD Allowances'!H8</f>
        <v>10</v>
      </c>
      <c r="I12" s="52">
        <f t="shared" si="0"/>
        <v>125</v>
      </c>
    </row>
    <row r="13" spans="1:11" x14ac:dyDescent="0.25">
      <c r="K13" s="10"/>
    </row>
    <row r="14" spans="1:11" x14ac:dyDescent="0.25">
      <c r="A14" s="107" t="s">
        <v>128</v>
      </c>
      <c r="K14" s="53"/>
    </row>
    <row r="15" spans="1:11" x14ac:dyDescent="0.25">
      <c r="B15" s="20" t="s">
        <v>35</v>
      </c>
      <c r="C15" s="20" t="s">
        <v>46</v>
      </c>
      <c r="D15" s="21" t="s">
        <v>27</v>
      </c>
      <c r="E15" s="21" t="s">
        <v>28</v>
      </c>
      <c r="F15" s="21" t="s">
        <v>29</v>
      </c>
      <c r="G15" s="21" t="s">
        <v>30</v>
      </c>
      <c r="H15" s="21" t="s">
        <v>36</v>
      </c>
      <c r="I15" s="21" t="s">
        <v>47</v>
      </c>
    </row>
    <row r="16" spans="1:11" x14ac:dyDescent="0.25">
      <c r="A16" s="2" t="s">
        <v>194</v>
      </c>
      <c r="B16" s="1" t="s">
        <v>48</v>
      </c>
      <c r="C16" s="2" t="s">
        <v>62</v>
      </c>
      <c r="D16" s="119">
        <f>'Post FD Inputs'!D5</f>
        <v>0</v>
      </c>
      <c r="E16" s="119">
        <f>'Post FD Inputs'!E5</f>
        <v>0</v>
      </c>
      <c r="F16" s="119">
        <f>'Post FD Inputs'!F5</f>
        <v>0</v>
      </c>
      <c r="G16" s="119">
        <f>'Post FD Inputs'!G5</f>
        <v>0</v>
      </c>
      <c r="H16" s="119">
        <f>'Post FD Inputs'!H5</f>
        <v>0</v>
      </c>
      <c r="I16" s="120">
        <f t="shared" ref="I16:I17" si="1">SUM(D16:H16)</f>
        <v>0</v>
      </c>
    </row>
    <row r="17" spans="1:9" x14ac:dyDescent="0.25">
      <c r="A17" s="2" t="s">
        <v>195</v>
      </c>
      <c r="B17" s="1" t="s">
        <v>48</v>
      </c>
      <c r="C17" s="2" t="s">
        <v>62</v>
      </c>
      <c r="D17" s="119">
        <f>'Post FD Inputs'!D6</f>
        <v>0</v>
      </c>
      <c r="E17" s="119">
        <f>'Post FD Inputs'!E6</f>
        <v>0</v>
      </c>
      <c r="F17" s="119">
        <f>'Post FD Inputs'!F6</f>
        <v>0</v>
      </c>
      <c r="G17" s="119">
        <f>'Post FD Inputs'!G6</f>
        <v>0</v>
      </c>
      <c r="H17" s="119">
        <f>'Post FD Inputs'!H6</f>
        <v>0</v>
      </c>
      <c r="I17" s="120">
        <f t="shared" si="1"/>
        <v>0</v>
      </c>
    </row>
    <row r="18" spans="1:9" x14ac:dyDescent="0.25">
      <c r="I18" s="10"/>
    </row>
    <row r="19" spans="1:9" x14ac:dyDescent="0.25">
      <c r="A19" s="7" t="s">
        <v>130</v>
      </c>
    </row>
    <row r="20" spans="1:9" s="10" customFormat="1" x14ac:dyDescent="0.25">
      <c r="A20" s="2"/>
      <c r="B20" s="20" t="s">
        <v>35</v>
      </c>
      <c r="C20" s="20" t="s">
        <v>46</v>
      </c>
      <c r="D20" s="21" t="s">
        <v>27</v>
      </c>
      <c r="E20" s="21" t="s">
        <v>28</v>
      </c>
      <c r="F20" s="21" t="s">
        <v>29</v>
      </c>
      <c r="G20" s="21" t="s">
        <v>30</v>
      </c>
      <c r="H20" s="21" t="s">
        <v>36</v>
      </c>
      <c r="I20" s="21" t="s">
        <v>47</v>
      </c>
    </row>
    <row r="21" spans="1:9" x14ac:dyDescent="0.25">
      <c r="A21" s="2" t="s">
        <v>152</v>
      </c>
      <c r="B21" s="2" t="s">
        <v>48</v>
      </c>
      <c r="C21" s="2" t="s">
        <v>87</v>
      </c>
      <c r="D21" s="48">
        <f>(D8+D9+D16)*D4</f>
        <v>2660.3850591078071</v>
      </c>
      <c r="E21" s="48">
        <f>(E8+E9+E16)*E4</f>
        <v>2334.6455352959115</v>
      </c>
      <c r="F21" s="48">
        <f>(F8+F9+F16)*F4</f>
        <v>1860.9001945178588</v>
      </c>
      <c r="G21" s="48">
        <f>(G8+G9+G16)*G4</f>
        <v>1690.8271516385666</v>
      </c>
      <c r="H21" s="48">
        <f>(H8+H9+H16)*H4</f>
        <v>1643.7920481864012</v>
      </c>
      <c r="I21" s="51">
        <f>SUM(D21:H21)</f>
        <v>10190.549988746545</v>
      </c>
    </row>
    <row r="22" spans="1:9" x14ac:dyDescent="0.25">
      <c r="A22" s="2" t="s">
        <v>153</v>
      </c>
      <c r="B22" s="2" t="s">
        <v>48</v>
      </c>
      <c r="C22" s="2" t="s">
        <v>87</v>
      </c>
      <c r="D22" s="43">
        <f>(D11+D12+D17)*D4</f>
        <v>48.736059479553916</v>
      </c>
      <c r="E22" s="43">
        <f>(E11+E12+E17)*E4</f>
        <v>49.710780669144988</v>
      </c>
      <c r="F22" s="43">
        <f>(F11+F12+F17)*F4</f>
        <v>10.674736059479555</v>
      </c>
      <c r="G22" s="43">
        <f>(G11+G12+G17)*G4</f>
        <v>10.888230780669145</v>
      </c>
      <c r="H22" s="43">
        <f>(H11+H12+H17)*H4</f>
        <v>11.105995396282529</v>
      </c>
      <c r="I22" s="51">
        <f t="shared" ref="I22:I24" si="2">SUM(D22:H22)</f>
        <v>131.11580238513014</v>
      </c>
    </row>
    <row r="23" spans="1:9" x14ac:dyDescent="0.25">
      <c r="I23" s="51"/>
    </row>
    <row r="24" spans="1:9" x14ac:dyDescent="0.25">
      <c r="A24" s="115" t="s">
        <v>254</v>
      </c>
      <c r="B24" s="10" t="s">
        <v>48</v>
      </c>
      <c r="C24" s="10" t="s">
        <v>87</v>
      </c>
      <c r="D24" s="103">
        <f>D21+D22</f>
        <v>2709.1211185873613</v>
      </c>
      <c r="E24" s="103">
        <f>E21+E22</f>
        <v>2384.3563159650566</v>
      </c>
      <c r="F24" s="103">
        <f>F21+F22</f>
        <v>1871.5749305773384</v>
      </c>
      <c r="G24" s="103">
        <f>G21+G22</f>
        <v>1701.7153824192358</v>
      </c>
      <c r="H24" s="103">
        <f>H21+H22</f>
        <v>1654.8980435826836</v>
      </c>
      <c r="I24" s="51">
        <f t="shared" si="2"/>
        <v>10321.665791131676</v>
      </c>
    </row>
    <row r="27" spans="1:9" x14ac:dyDescent="0.25">
      <c r="A27" s="107" t="s">
        <v>131</v>
      </c>
    </row>
    <row r="28" spans="1:9" x14ac:dyDescent="0.25">
      <c r="B28" s="20" t="s">
        <v>35</v>
      </c>
      <c r="C28" s="20" t="s">
        <v>46</v>
      </c>
      <c r="D28" s="21" t="s">
        <v>27</v>
      </c>
      <c r="E28" s="21" t="s">
        <v>28</v>
      </c>
      <c r="F28" s="21" t="s">
        <v>29</v>
      </c>
      <c r="G28" s="21" t="s">
        <v>30</v>
      </c>
      <c r="H28" s="21" t="s">
        <v>36</v>
      </c>
      <c r="I28" s="21" t="s">
        <v>47</v>
      </c>
    </row>
    <row r="29" spans="1:9" x14ac:dyDescent="0.25">
      <c r="A29" s="134" t="s">
        <v>228</v>
      </c>
      <c r="B29" s="1" t="s">
        <v>48</v>
      </c>
      <c r="C29" s="2" t="s">
        <v>87</v>
      </c>
      <c r="D29" s="101">
        <f>'Post FD Inputs'!D11</f>
        <v>0</v>
      </c>
      <c r="E29" s="101">
        <f>'Post FD Inputs'!E11</f>
        <v>0</v>
      </c>
      <c r="F29" s="101">
        <f>'Post FD Inputs'!F11</f>
        <v>0</v>
      </c>
      <c r="G29" s="101">
        <f>'Post FD Inputs'!G11</f>
        <v>0</v>
      </c>
      <c r="H29" s="101">
        <f>'Post FD Inputs'!H11</f>
        <v>0</v>
      </c>
      <c r="I29" s="111">
        <f>SUM(D29:H29)</f>
        <v>0</v>
      </c>
    </row>
    <row r="30" spans="1:9" x14ac:dyDescent="0.25">
      <c r="A30" s="134" t="s">
        <v>229</v>
      </c>
      <c r="B30" s="1" t="s">
        <v>48</v>
      </c>
      <c r="C30" s="2" t="s">
        <v>87</v>
      </c>
      <c r="D30" s="101">
        <f>'Post FD Inputs'!D12</f>
        <v>2660.3850591078071</v>
      </c>
      <c r="E30" s="101">
        <f>'Post FD Inputs'!E12</f>
        <v>2334.6455352959115</v>
      </c>
      <c r="F30" s="101">
        <f>'Post FD Inputs'!F12</f>
        <v>1860.9001945178588</v>
      </c>
      <c r="G30" s="101">
        <f>'Post FD Inputs'!G12</f>
        <v>1690.8271516385666</v>
      </c>
      <c r="H30" s="101">
        <f>'Post FD Inputs'!H12</f>
        <v>1643.7920481864012</v>
      </c>
      <c r="I30" s="111">
        <f t="shared" ref="I30:I31" si="3">SUM(D30:H30)</f>
        <v>10190.549988746545</v>
      </c>
    </row>
    <row r="31" spans="1:9" x14ac:dyDescent="0.25">
      <c r="A31" s="115" t="s">
        <v>155</v>
      </c>
      <c r="B31" s="10" t="s">
        <v>48</v>
      </c>
      <c r="C31" s="10" t="s">
        <v>87</v>
      </c>
      <c r="D31" s="111">
        <f>SUM(D29:D30)</f>
        <v>2660.3850591078071</v>
      </c>
      <c r="E31" s="111">
        <f t="shared" ref="E31:H31" si="4">SUM(E29:E30)</f>
        <v>2334.6455352959115</v>
      </c>
      <c r="F31" s="111">
        <f t="shared" si="4"/>
        <v>1860.9001945178588</v>
      </c>
      <c r="G31" s="111">
        <f t="shared" si="4"/>
        <v>1690.8271516385666</v>
      </c>
      <c r="H31" s="111">
        <f t="shared" si="4"/>
        <v>1643.7920481864012</v>
      </c>
      <c r="I31" s="111">
        <f t="shared" si="3"/>
        <v>10190.549988746545</v>
      </c>
    </row>
    <row r="32" spans="1:9" x14ac:dyDescent="0.25">
      <c r="A32" s="134"/>
      <c r="D32" s="109"/>
      <c r="E32" s="109"/>
      <c r="F32" s="109"/>
      <c r="G32" s="109"/>
      <c r="H32" s="109"/>
      <c r="I32" s="111"/>
    </row>
    <row r="33" spans="1:9" x14ac:dyDescent="0.25">
      <c r="A33" s="134" t="s">
        <v>230</v>
      </c>
      <c r="B33" s="1" t="s">
        <v>48</v>
      </c>
      <c r="C33" s="2" t="s">
        <v>87</v>
      </c>
      <c r="D33" s="101">
        <f>'Post FD Inputs'!D15</f>
        <v>0</v>
      </c>
      <c r="E33" s="101">
        <f>'Post FD Inputs'!E15</f>
        <v>0</v>
      </c>
      <c r="F33" s="101">
        <f>'Post FD Inputs'!F15</f>
        <v>0</v>
      </c>
      <c r="G33" s="101">
        <f>'Post FD Inputs'!G15</f>
        <v>0</v>
      </c>
      <c r="H33" s="101">
        <f>'Post FD Inputs'!H15</f>
        <v>0</v>
      </c>
      <c r="I33" s="111">
        <f t="shared" ref="I33:I35" si="5">SUM(D33:H33)</f>
        <v>0</v>
      </c>
    </row>
    <row r="34" spans="1:9" x14ac:dyDescent="0.25">
      <c r="A34" s="134" t="s">
        <v>231</v>
      </c>
      <c r="B34" s="1" t="s">
        <v>48</v>
      </c>
      <c r="C34" s="2" t="s">
        <v>87</v>
      </c>
      <c r="D34" s="101">
        <f>'Post FD Inputs'!D16</f>
        <v>48.736059479553916</v>
      </c>
      <c r="E34" s="101">
        <f>'Post FD Inputs'!E16</f>
        <v>49.710780669144988</v>
      </c>
      <c r="F34" s="101">
        <f>'Post FD Inputs'!F16</f>
        <v>10.674736059479555</v>
      </c>
      <c r="G34" s="101">
        <f>'Post FD Inputs'!G16</f>
        <v>10.888230780669145</v>
      </c>
      <c r="H34" s="101">
        <f>'Post FD Inputs'!H16</f>
        <v>11.105995396282529</v>
      </c>
      <c r="I34" s="111">
        <f t="shared" si="5"/>
        <v>131.11580238513014</v>
      </c>
    </row>
    <row r="35" spans="1:9" x14ac:dyDescent="0.25">
      <c r="A35" s="10" t="s">
        <v>156</v>
      </c>
      <c r="B35" s="10" t="s">
        <v>48</v>
      </c>
      <c r="C35" s="10" t="s">
        <v>87</v>
      </c>
      <c r="D35" s="51">
        <f>SUM(D33:D34)</f>
        <v>48.736059479553916</v>
      </c>
      <c r="E35" s="51">
        <f t="shared" ref="E35:H35" si="6">SUM(E33:E34)</f>
        <v>49.710780669144988</v>
      </c>
      <c r="F35" s="51">
        <f t="shared" si="6"/>
        <v>10.674736059479555</v>
      </c>
      <c r="G35" s="51">
        <f t="shared" si="6"/>
        <v>10.888230780669145</v>
      </c>
      <c r="H35" s="51">
        <f t="shared" si="6"/>
        <v>11.105995396282529</v>
      </c>
      <c r="I35" s="111">
        <f t="shared" si="5"/>
        <v>131.11580238513014</v>
      </c>
    </row>
    <row r="36" spans="1:9" x14ac:dyDescent="0.25">
      <c r="D36" s="103"/>
      <c r="E36" s="103"/>
      <c r="F36" s="103"/>
      <c r="G36" s="103"/>
      <c r="H36" s="103"/>
      <c r="I36" s="103"/>
    </row>
    <row r="37" spans="1:9" x14ac:dyDescent="0.25">
      <c r="A37" s="7" t="s">
        <v>165</v>
      </c>
    </row>
    <row r="38" spans="1:9" x14ac:dyDescent="0.25">
      <c r="B38" s="56"/>
      <c r="C38" s="26"/>
      <c r="D38" s="21" t="s">
        <v>27</v>
      </c>
      <c r="E38" s="21" t="s">
        <v>28</v>
      </c>
      <c r="F38" s="21" t="s">
        <v>29</v>
      </c>
      <c r="G38" s="21" t="s">
        <v>30</v>
      </c>
      <c r="H38" s="21" t="s">
        <v>36</v>
      </c>
      <c r="I38" s="21" t="s">
        <v>47</v>
      </c>
    </row>
    <row r="39" spans="1:9" x14ac:dyDescent="0.25">
      <c r="A39" s="2" t="s">
        <v>164</v>
      </c>
      <c r="B39" s="1" t="s">
        <v>48</v>
      </c>
      <c r="C39" s="2" t="s">
        <v>87</v>
      </c>
      <c r="D39" s="25">
        <f>((D31-D21)*0.75)+'Post FD Inputs'!D24</f>
        <v>0</v>
      </c>
      <c r="E39" s="25">
        <f>((E31-E21)*0.75)+'Post FD Inputs'!E24</f>
        <v>0</v>
      </c>
      <c r="F39" s="25">
        <f>((F31-F21)*0.75)+'Post FD Inputs'!F24</f>
        <v>0</v>
      </c>
      <c r="G39" s="25">
        <f>((G31-G21)*0.75)+'Post FD Inputs'!G24</f>
        <v>0</v>
      </c>
      <c r="H39" s="25">
        <f>((H31-H21)*0.75)+'Post FD Inputs'!H24</f>
        <v>0</v>
      </c>
      <c r="I39" s="52">
        <f t="shared" ref="I39:I41" si="7">SUM(D39:H39)</f>
        <v>0</v>
      </c>
    </row>
    <row r="40" spans="1:9" x14ac:dyDescent="0.25">
      <c r="A40" s="2" t="s">
        <v>256</v>
      </c>
      <c r="B40" s="1" t="s">
        <v>48</v>
      </c>
      <c r="C40" s="2" t="s">
        <v>87</v>
      </c>
      <c r="D40" s="25">
        <f>((D35-D22)*0.75)+'Post FD Inputs'!D25</f>
        <v>0</v>
      </c>
      <c r="E40" s="25">
        <f>((E35-E22)*0.75)+'Post FD Inputs'!E25</f>
        <v>0</v>
      </c>
      <c r="F40" s="25">
        <f>((F35-F22)*0.75)+'Post FD Inputs'!F25</f>
        <v>0</v>
      </c>
      <c r="G40" s="25">
        <f>((G35-G22)*0.75)+'Post FD Inputs'!G25</f>
        <v>0</v>
      </c>
      <c r="H40" s="25">
        <f>((H35-H22)*0.75)+'Post FD Inputs'!H25</f>
        <v>0</v>
      </c>
      <c r="I40" s="52">
        <f t="shared" si="7"/>
        <v>0</v>
      </c>
    </row>
    <row r="41" spans="1:9" x14ac:dyDescent="0.25">
      <c r="A41" s="115" t="s">
        <v>257</v>
      </c>
      <c r="B41" s="16" t="s">
        <v>48</v>
      </c>
      <c r="C41" s="10" t="s">
        <v>87</v>
      </c>
      <c r="D41" s="51">
        <f>D39+D40</f>
        <v>0</v>
      </c>
      <c r="E41" s="51">
        <f t="shared" ref="E41:H41" si="8">E39+E40</f>
        <v>0</v>
      </c>
      <c r="F41" s="51">
        <f t="shared" si="8"/>
        <v>0</v>
      </c>
      <c r="G41" s="51">
        <f t="shared" si="8"/>
        <v>0</v>
      </c>
      <c r="H41" s="51">
        <f t="shared" si="8"/>
        <v>0</v>
      </c>
      <c r="I41" s="52">
        <f t="shared" si="7"/>
        <v>0</v>
      </c>
    </row>
    <row r="43" spans="1:9" x14ac:dyDescent="0.25">
      <c r="A43" s="7" t="s">
        <v>166</v>
      </c>
    </row>
    <row r="44" spans="1:9" x14ac:dyDescent="0.25">
      <c r="B44" s="56"/>
      <c r="C44" s="26"/>
      <c r="D44" s="21" t="s">
        <v>27</v>
      </c>
      <c r="E44" s="21" t="s">
        <v>28</v>
      </c>
      <c r="F44" s="21" t="s">
        <v>29</v>
      </c>
      <c r="G44" s="21" t="s">
        <v>30</v>
      </c>
      <c r="H44" s="21" t="s">
        <v>36</v>
      </c>
      <c r="I44" s="21" t="s">
        <v>47</v>
      </c>
    </row>
    <row r="45" spans="1:9" x14ac:dyDescent="0.25">
      <c r="A45" s="2" t="s">
        <v>167</v>
      </c>
      <c r="B45" s="1" t="s">
        <v>48</v>
      </c>
      <c r="C45" s="2" t="s">
        <v>87</v>
      </c>
      <c r="D45" s="25">
        <f t="shared" ref="D45:H46" si="9">D21+D39</f>
        <v>2660.3850591078071</v>
      </c>
      <c r="E45" s="25">
        <f t="shared" si="9"/>
        <v>2334.6455352959115</v>
      </c>
      <c r="F45" s="25">
        <f t="shared" si="9"/>
        <v>1860.9001945178588</v>
      </c>
      <c r="G45" s="25">
        <f t="shared" si="9"/>
        <v>1690.8271516385666</v>
      </c>
      <c r="H45" s="25">
        <f t="shared" si="9"/>
        <v>1643.7920481864012</v>
      </c>
      <c r="I45" s="52">
        <f t="shared" ref="I45:I47" si="10">SUM(D45:H45)</f>
        <v>10190.549988746545</v>
      </c>
    </row>
    <row r="46" spans="1:9" x14ac:dyDescent="0.25">
      <c r="A46" s="2" t="s">
        <v>172</v>
      </c>
      <c r="B46" s="1" t="s">
        <v>48</v>
      </c>
      <c r="C46" s="2" t="s">
        <v>87</v>
      </c>
      <c r="D46" s="25">
        <f t="shared" si="9"/>
        <v>48.736059479553916</v>
      </c>
      <c r="E46" s="25">
        <f t="shared" si="9"/>
        <v>49.710780669144988</v>
      </c>
      <c r="F46" s="25">
        <f t="shared" si="9"/>
        <v>10.674736059479555</v>
      </c>
      <c r="G46" s="25">
        <f t="shared" si="9"/>
        <v>10.888230780669145</v>
      </c>
      <c r="H46" s="25">
        <f t="shared" si="9"/>
        <v>11.105995396282529</v>
      </c>
      <c r="I46" s="52">
        <f t="shared" si="10"/>
        <v>131.11580238513014</v>
      </c>
    </row>
    <row r="47" spans="1:9" x14ac:dyDescent="0.25">
      <c r="A47" s="115" t="s">
        <v>255</v>
      </c>
      <c r="B47" s="16" t="s">
        <v>48</v>
      </c>
      <c r="C47" s="10" t="s">
        <v>87</v>
      </c>
      <c r="D47" s="51">
        <f>D45+D46</f>
        <v>2709.1211185873613</v>
      </c>
      <c r="E47" s="51">
        <f t="shared" ref="E47:H47" si="11">E45+E46</f>
        <v>2384.3563159650566</v>
      </c>
      <c r="F47" s="51">
        <f t="shared" si="11"/>
        <v>1871.5749305773384</v>
      </c>
      <c r="G47" s="51">
        <f t="shared" si="11"/>
        <v>1701.7153824192358</v>
      </c>
      <c r="H47" s="51">
        <f t="shared" si="11"/>
        <v>1654.8980435826836</v>
      </c>
      <c r="I47" s="52">
        <f t="shared" si="10"/>
        <v>10321.665791131676</v>
      </c>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76"/>
  <sheetViews>
    <sheetView showGridLines="0" topLeftCell="A25" zoomScale="85" zoomScaleNormal="85" workbookViewId="0">
      <selection activeCell="A53" sqref="A53"/>
    </sheetView>
  </sheetViews>
  <sheetFormatPr defaultColWidth="9.109375" defaultRowHeight="13.2" x14ac:dyDescent="0.25"/>
  <cols>
    <col min="1" max="1" width="66.21875" style="1" customWidth="1"/>
    <col min="2" max="2" width="19.33203125" style="1" bestFit="1" customWidth="1"/>
    <col min="3" max="3" width="17.33203125" style="1" bestFit="1" customWidth="1"/>
    <col min="4" max="4" width="12.33203125" style="1" bestFit="1" customWidth="1"/>
    <col min="5" max="5" width="13.109375" style="1" customWidth="1"/>
    <col min="6" max="17" width="12.33203125" style="1" bestFit="1" customWidth="1"/>
    <col min="18" max="18" width="13.5546875" style="1" customWidth="1"/>
    <col min="19" max="23" width="12.33203125" style="1" bestFit="1" customWidth="1"/>
    <col min="24" max="24" width="13.109375" style="1" customWidth="1"/>
    <col min="25" max="42" width="12.33203125" style="1" bestFit="1" customWidth="1"/>
    <col min="43" max="55" width="10.109375" style="1" customWidth="1"/>
    <col min="56" max="16384" width="9.109375" style="1"/>
  </cols>
  <sheetData>
    <row r="1" spans="1:26" x14ac:dyDescent="0.25">
      <c r="A1" s="7" t="s">
        <v>33</v>
      </c>
      <c r="B1" s="18"/>
    </row>
    <row r="3" spans="1:26" x14ac:dyDescent="0.25">
      <c r="A3" s="7" t="s">
        <v>34</v>
      </c>
      <c r="B3" s="18"/>
      <c r="J3" s="19"/>
      <c r="K3" s="19">
        <v>1</v>
      </c>
      <c r="L3" s="19">
        <v>2</v>
      </c>
      <c r="M3" s="19">
        <v>3</v>
      </c>
      <c r="N3" s="19">
        <v>4</v>
      </c>
      <c r="O3" s="19">
        <v>5</v>
      </c>
    </row>
    <row r="4" spans="1:26" x14ac:dyDescent="0.25">
      <c r="B4" s="20" t="s">
        <v>35</v>
      </c>
      <c r="C4" s="20"/>
      <c r="D4" s="21" t="s">
        <v>18</v>
      </c>
      <c r="E4" s="21" t="s">
        <v>19</v>
      </c>
      <c r="F4" s="21" t="s">
        <v>20</v>
      </c>
      <c r="G4" s="21" t="s">
        <v>21</v>
      </c>
      <c r="H4" s="21" t="s">
        <v>22</v>
      </c>
      <c r="I4" s="21" t="s">
        <v>23</v>
      </c>
      <c r="J4" s="21" t="s">
        <v>24</v>
      </c>
      <c r="K4" s="21" t="s">
        <v>27</v>
      </c>
      <c r="L4" s="21" t="s">
        <v>28</v>
      </c>
      <c r="M4" s="21" t="s">
        <v>29</v>
      </c>
      <c r="N4" s="21" t="s">
        <v>30</v>
      </c>
      <c r="O4" s="21" t="s">
        <v>36</v>
      </c>
    </row>
    <row r="5" spans="1:26" x14ac:dyDescent="0.25">
      <c r="A5" s="2" t="s">
        <v>13</v>
      </c>
      <c r="B5" s="1" t="s">
        <v>11</v>
      </c>
      <c r="D5" s="62">
        <f>Inflation!G3</f>
        <v>99.6</v>
      </c>
      <c r="E5" s="62">
        <f>Inflation!H3</f>
        <v>99.9</v>
      </c>
      <c r="F5" s="62">
        <f>Inflation!I3</f>
        <v>100.6</v>
      </c>
      <c r="G5" s="62">
        <f>Inflation!J3</f>
        <v>103.2</v>
      </c>
      <c r="H5" s="62">
        <f>Inflation!K3</f>
        <v>105.5</v>
      </c>
      <c r="I5" s="62">
        <f>Inflation!L3</f>
        <v>107.6</v>
      </c>
      <c r="J5" s="62">
        <f>Inflation!M3</f>
        <v>108.6</v>
      </c>
      <c r="K5" s="63">
        <f>Inflation!N3</f>
        <v>110.4</v>
      </c>
      <c r="L5" s="63">
        <f>Inflation!O3</f>
        <v>112.608</v>
      </c>
      <c r="M5" s="63">
        <f>Inflation!P3</f>
        <v>114.86016000000001</v>
      </c>
      <c r="N5" s="63">
        <f>Inflation!Q3</f>
        <v>117.15736320000001</v>
      </c>
      <c r="O5" s="63">
        <f>Inflation!R3</f>
        <v>119.500510464</v>
      </c>
    </row>
    <row r="6" spans="1:26" x14ac:dyDescent="0.25">
      <c r="A6" s="1" t="s">
        <v>37</v>
      </c>
      <c r="B6" s="1" t="s">
        <v>38</v>
      </c>
      <c r="D6" s="22">
        <f t="shared" ref="D6:O6" si="0">$J$5/D5</f>
        <v>1.0903614457831325</v>
      </c>
      <c r="E6" s="22">
        <f t="shared" si="0"/>
        <v>1.087087087087087</v>
      </c>
      <c r="F6" s="22">
        <f t="shared" si="0"/>
        <v>1.0795228628230615</v>
      </c>
      <c r="G6" s="22">
        <f t="shared" si="0"/>
        <v>1.0523255813953487</v>
      </c>
      <c r="H6" s="22">
        <f t="shared" si="0"/>
        <v>1.0293838862559241</v>
      </c>
      <c r="I6" s="22">
        <f t="shared" si="0"/>
        <v>1.0092936802973977</v>
      </c>
      <c r="J6" s="22">
        <f t="shared" si="0"/>
        <v>1</v>
      </c>
      <c r="K6" s="22">
        <f t="shared" si="0"/>
        <v>0.98369565217391297</v>
      </c>
      <c r="L6" s="22">
        <f t="shared" si="0"/>
        <v>0.96440750213128723</v>
      </c>
      <c r="M6" s="22">
        <f t="shared" si="0"/>
        <v>0.94549755110910505</v>
      </c>
      <c r="N6" s="22">
        <f t="shared" si="0"/>
        <v>0.92695838344029913</v>
      </c>
      <c r="O6" s="22">
        <f t="shared" si="0"/>
        <v>0.90878272886303835</v>
      </c>
    </row>
    <row r="7" spans="1:26" x14ac:dyDescent="0.25">
      <c r="A7" s="1" t="s">
        <v>177</v>
      </c>
      <c r="B7" s="1" t="s">
        <v>38</v>
      </c>
      <c r="D7" s="22">
        <f t="shared" ref="D7:O7" si="1">D5/$I$5</f>
        <v>0.92565055762081783</v>
      </c>
      <c r="E7" s="22">
        <f t="shared" si="1"/>
        <v>0.92843866171003731</v>
      </c>
      <c r="F7" s="22">
        <f t="shared" si="1"/>
        <v>0.93494423791821557</v>
      </c>
      <c r="G7" s="22">
        <f t="shared" si="1"/>
        <v>0.9591078066914499</v>
      </c>
      <c r="H7" s="22">
        <f t="shared" si="1"/>
        <v>0.98048327137546476</v>
      </c>
      <c r="I7" s="22">
        <f t="shared" si="1"/>
        <v>1</v>
      </c>
      <c r="J7" s="22">
        <f t="shared" si="1"/>
        <v>1.0092936802973977</v>
      </c>
      <c r="K7" s="22">
        <f t="shared" si="1"/>
        <v>1.0260223048327139</v>
      </c>
      <c r="L7" s="22">
        <f t="shared" si="1"/>
        <v>1.0465427509293681</v>
      </c>
      <c r="M7" s="22">
        <f t="shared" si="1"/>
        <v>1.0674736059479555</v>
      </c>
      <c r="N7" s="22">
        <f t="shared" si="1"/>
        <v>1.0888230780669146</v>
      </c>
      <c r="O7" s="22">
        <f t="shared" si="1"/>
        <v>1.1105995396282529</v>
      </c>
    </row>
    <row r="8" spans="1:26" x14ac:dyDescent="0.25">
      <c r="D8" s="22"/>
      <c r="E8" s="22"/>
      <c r="F8" s="22"/>
      <c r="G8" s="22"/>
      <c r="H8" s="22"/>
      <c r="I8" s="22"/>
      <c r="J8" s="22"/>
      <c r="K8" s="22"/>
      <c r="L8" s="22"/>
      <c r="M8" s="22"/>
      <c r="N8" s="22"/>
      <c r="O8" s="22"/>
    </row>
    <row r="9" spans="1:26" x14ac:dyDescent="0.25">
      <c r="B9" s="20" t="s">
        <v>35</v>
      </c>
      <c r="C9" s="20"/>
      <c r="D9" s="21" t="s">
        <v>18</v>
      </c>
      <c r="E9" s="21" t="s">
        <v>19</v>
      </c>
      <c r="F9" s="21" t="s">
        <v>20</v>
      </c>
      <c r="G9" s="21" t="s">
        <v>21</v>
      </c>
      <c r="H9" s="21" t="s">
        <v>22</v>
      </c>
      <c r="I9" s="21" t="s">
        <v>23</v>
      </c>
      <c r="J9" s="21" t="s">
        <v>24</v>
      </c>
      <c r="K9" s="21" t="s">
        <v>27</v>
      </c>
      <c r="L9" s="21" t="s">
        <v>28</v>
      </c>
      <c r="M9" s="21" t="s">
        <v>29</v>
      </c>
      <c r="N9" s="21" t="s">
        <v>30</v>
      </c>
      <c r="O9" s="21" t="s">
        <v>36</v>
      </c>
    </row>
    <row r="10" spans="1:26" x14ac:dyDescent="0.25">
      <c r="A10" s="2" t="s">
        <v>14</v>
      </c>
      <c r="B10" s="1" t="s">
        <v>11</v>
      </c>
      <c r="D10" s="62">
        <f>Inflation!G7</f>
        <v>255.7</v>
      </c>
      <c r="E10" s="62">
        <f>Inflation!H7</f>
        <v>258</v>
      </c>
      <c r="F10" s="62">
        <f>Inflation!I7</f>
        <v>261.39999999999998</v>
      </c>
      <c r="G10" s="62">
        <f>Inflation!J7</f>
        <v>270.60000000000002</v>
      </c>
      <c r="H10" s="62">
        <f>Inflation!K7</f>
        <v>279.7</v>
      </c>
      <c r="I10" s="62">
        <f>Inflation!L7</f>
        <v>288.2</v>
      </c>
      <c r="J10" s="62">
        <f>Inflation!M7</f>
        <v>292.60000000000002</v>
      </c>
      <c r="K10" s="63">
        <f>Inflation!N7</f>
        <v>301.10000000000002</v>
      </c>
      <c r="L10" s="63">
        <f>Inflation!O7</f>
        <v>0</v>
      </c>
      <c r="M10" s="63">
        <f>Inflation!P7</f>
        <v>0</v>
      </c>
      <c r="N10" s="63">
        <f>Inflation!Q7</f>
        <v>0</v>
      </c>
      <c r="O10" s="63">
        <f>Inflation!R7</f>
        <v>0</v>
      </c>
      <c r="P10" s="22"/>
      <c r="Q10" s="22"/>
      <c r="R10" s="22"/>
      <c r="S10" s="22"/>
      <c r="T10" s="22"/>
      <c r="U10" s="22"/>
      <c r="V10" s="22"/>
      <c r="W10" s="22"/>
      <c r="X10" s="22"/>
      <c r="Y10" s="22"/>
      <c r="Z10" s="22"/>
    </row>
    <row r="11" spans="1:26" x14ac:dyDescent="0.25">
      <c r="A11" s="1" t="s">
        <v>106</v>
      </c>
      <c r="B11" s="1" t="s">
        <v>38</v>
      </c>
      <c r="D11" s="22">
        <f t="shared" ref="D11:O11" si="2">$J$10/D10</f>
        <v>1.1443097379741887</v>
      </c>
      <c r="E11" s="22">
        <f t="shared" si="2"/>
        <v>1.134108527131783</v>
      </c>
      <c r="F11" s="22">
        <f t="shared" si="2"/>
        <v>1.1193573068094875</v>
      </c>
      <c r="G11" s="22">
        <f t="shared" si="2"/>
        <v>1.0813008130081301</v>
      </c>
      <c r="H11" s="22">
        <f t="shared" si="2"/>
        <v>1.0461208437611729</v>
      </c>
      <c r="I11" s="22">
        <f t="shared" si="2"/>
        <v>1.0152671755725191</v>
      </c>
      <c r="J11" s="22">
        <f t="shared" si="2"/>
        <v>1</v>
      </c>
      <c r="K11" s="22">
        <f t="shared" si="2"/>
        <v>0.97177017602125537</v>
      </c>
      <c r="L11" s="22" t="e">
        <f t="shared" si="2"/>
        <v>#DIV/0!</v>
      </c>
      <c r="M11" s="22" t="e">
        <f t="shared" si="2"/>
        <v>#DIV/0!</v>
      </c>
      <c r="N11" s="22" t="e">
        <f t="shared" si="2"/>
        <v>#DIV/0!</v>
      </c>
      <c r="O11" s="22" t="e">
        <f t="shared" si="2"/>
        <v>#DIV/0!</v>
      </c>
      <c r="P11" s="3"/>
    </row>
    <row r="12" spans="1:26" x14ac:dyDescent="0.25">
      <c r="A12" s="1" t="s">
        <v>107</v>
      </c>
      <c r="B12" s="1" t="s">
        <v>38</v>
      </c>
      <c r="D12" s="22">
        <f t="shared" ref="D12:O12" si="3">D10/$D$10</f>
        <v>1</v>
      </c>
      <c r="E12" s="22">
        <f t="shared" si="3"/>
        <v>1.0089949159170903</v>
      </c>
      <c r="F12" s="22">
        <f t="shared" si="3"/>
        <v>1.0222917481423544</v>
      </c>
      <c r="G12" s="22">
        <f t="shared" si="3"/>
        <v>1.0582714118107157</v>
      </c>
      <c r="H12" s="22">
        <f t="shared" si="3"/>
        <v>1.0938599921783341</v>
      </c>
      <c r="I12" s="22">
        <f t="shared" si="3"/>
        <v>1.127102072741494</v>
      </c>
      <c r="J12" s="22">
        <f t="shared" si="3"/>
        <v>1.1443097379741887</v>
      </c>
      <c r="K12" s="22">
        <f t="shared" si="3"/>
        <v>1.1775518185373486</v>
      </c>
      <c r="L12" s="22">
        <f t="shared" si="3"/>
        <v>0</v>
      </c>
      <c r="M12" s="22">
        <f t="shared" si="3"/>
        <v>0</v>
      </c>
      <c r="N12" s="22">
        <f t="shared" si="3"/>
        <v>0</v>
      </c>
      <c r="O12" s="22">
        <f t="shared" si="3"/>
        <v>0</v>
      </c>
    </row>
    <row r="13" spans="1:26" x14ac:dyDescent="0.25">
      <c r="A13" s="16" t="s">
        <v>32</v>
      </c>
    </row>
    <row r="14" spans="1:26" x14ac:dyDescent="0.25">
      <c r="A14" s="1" t="s">
        <v>39</v>
      </c>
      <c r="B14" s="1" t="s">
        <v>38</v>
      </c>
      <c r="E14" s="22"/>
      <c r="F14" s="22"/>
      <c r="G14" s="22"/>
      <c r="H14" s="22"/>
      <c r="I14" s="22"/>
      <c r="J14" s="22"/>
      <c r="K14" s="64">
        <f>(J10/D10)/(J5/I5)</f>
        <v>1.1337728158933951</v>
      </c>
      <c r="L14" s="22"/>
      <c r="M14" s="22"/>
      <c r="N14" s="22"/>
      <c r="O14" s="22"/>
    </row>
    <row r="15" spans="1:26" x14ac:dyDescent="0.25">
      <c r="D15" s="22"/>
      <c r="E15" s="22"/>
      <c r="F15" s="22"/>
      <c r="G15" s="22"/>
      <c r="H15" s="22"/>
      <c r="I15" s="22"/>
      <c r="J15" s="22"/>
      <c r="K15" s="22"/>
      <c r="L15" s="22"/>
      <c r="M15" s="22"/>
      <c r="N15" s="22"/>
      <c r="O15" s="22"/>
    </row>
    <row r="16" spans="1:26" x14ac:dyDescent="0.25">
      <c r="A16" s="7" t="s">
        <v>40</v>
      </c>
      <c r="B16" s="18"/>
    </row>
    <row r="17" spans="1:23" x14ac:dyDescent="0.25">
      <c r="B17" s="20" t="s">
        <v>35</v>
      </c>
      <c r="C17" s="23" t="s">
        <v>41</v>
      </c>
      <c r="D17" s="24">
        <v>39538</v>
      </c>
      <c r="E17" s="24">
        <v>39721</v>
      </c>
      <c r="F17" s="24">
        <v>40086</v>
      </c>
      <c r="G17" s="24">
        <v>40268</v>
      </c>
      <c r="H17" s="24">
        <v>40451</v>
      </c>
      <c r="I17" s="24">
        <v>40816</v>
      </c>
      <c r="J17" s="24">
        <v>41182</v>
      </c>
      <c r="K17" s="24">
        <v>41547</v>
      </c>
      <c r="L17" s="24">
        <v>41912</v>
      </c>
      <c r="M17" s="24">
        <v>42277</v>
      </c>
      <c r="N17" s="24">
        <v>42643</v>
      </c>
      <c r="O17" s="24">
        <v>43008</v>
      </c>
      <c r="P17" s="24">
        <v>43373</v>
      </c>
      <c r="Q17" s="24">
        <v>43738</v>
      </c>
      <c r="R17" s="24">
        <v>44104</v>
      </c>
      <c r="S17" s="24">
        <v>44469</v>
      </c>
      <c r="T17" s="24">
        <v>44834</v>
      </c>
      <c r="U17" s="24">
        <v>45199</v>
      </c>
      <c r="V17" s="24">
        <v>45565</v>
      </c>
      <c r="W17" s="24">
        <v>45930</v>
      </c>
    </row>
    <row r="18" spans="1:23" x14ac:dyDescent="0.25">
      <c r="A18" s="1" t="s">
        <v>42</v>
      </c>
      <c r="B18" s="1" t="s">
        <v>43</v>
      </c>
      <c r="D18" s="3">
        <f>'RAB Inputs'!D76</f>
        <v>10</v>
      </c>
      <c r="E18" s="3">
        <f>'RAB Inputs'!E76</f>
        <v>10</v>
      </c>
      <c r="F18" s="3">
        <f>'RAB Inputs'!F76</f>
        <v>10</v>
      </c>
      <c r="G18" s="3">
        <f>'RAB Inputs'!G76</f>
        <v>10</v>
      </c>
      <c r="H18" s="3">
        <f>'RAB Inputs'!H76</f>
        <v>8</v>
      </c>
      <c r="I18" s="3">
        <f>'RAB Inputs'!I76</f>
        <v>8</v>
      </c>
      <c r="J18" s="3">
        <f>'RAB Inputs'!J76</f>
        <v>8</v>
      </c>
      <c r="K18" s="3">
        <f>'RAB Inputs'!K76</f>
        <v>8</v>
      </c>
      <c r="L18" s="3">
        <f>'RAB Inputs'!L76</f>
        <v>8</v>
      </c>
      <c r="M18" s="3">
        <f>'RAB Inputs'!M76</f>
        <v>8</v>
      </c>
      <c r="N18" s="3">
        <f>'RAB Inputs'!N76</f>
        <v>5</v>
      </c>
      <c r="O18" s="3">
        <f>'RAB Inputs'!O76</f>
        <v>5</v>
      </c>
      <c r="P18" s="3">
        <f>'RAB Inputs'!P76</f>
        <v>5</v>
      </c>
      <c r="Q18" s="3">
        <f>'RAB Inputs'!Q76</f>
        <v>5</v>
      </c>
      <c r="R18" s="3">
        <f>'RAB Inputs'!R76</f>
        <v>5</v>
      </c>
      <c r="S18" s="3">
        <f>'RAB Inputs'!S76</f>
        <v>5</v>
      </c>
      <c r="T18" s="3">
        <f>'RAB Inputs'!T76</f>
        <v>5</v>
      </c>
      <c r="U18" s="3">
        <f>'RAB Inputs'!U76</f>
        <v>5</v>
      </c>
      <c r="V18" s="3">
        <f>'RAB Inputs'!V76</f>
        <v>5</v>
      </c>
      <c r="W18" s="3">
        <f>'RAB Inputs'!W76</f>
        <v>5</v>
      </c>
    </row>
    <row r="19" spans="1:23" x14ac:dyDescent="0.25">
      <c r="N19" s="3"/>
      <c r="O19" s="3"/>
      <c r="P19" s="3"/>
      <c r="Q19" s="3"/>
      <c r="R19" s="3"/>
      <c r="S19" s="3"/>
      <c r="T19" s="3"/>
      <c r="U19" s="3"/>
      <c r="V19" s="3"/>
      <c r="W19" s="3"/>
    </row>
    <row r="20" spans="1:23" x14ac:dyDescent="0.25">
      <c r="A20" s="2"/>
      <c r="D20" s="25"/>
      <c r="E20" s="25"/>
      <c r="F20" s="25"/>
      <c r="G20" s="25"/>
      <c r="H20" s="25"/>
      <c r="I20" s="25"/>
      <c r="N20" s="3"/>
      <c r="O20" s="3"/>
      <c r="P20" s="3"/>
      <c r="Q20" s="3"/>
      <c r="R20" s="3"/>
      <c r="S20" s="3"/>
      <c r="T20" s="3"/>
      <c r="U20" s="3"/>
      <c r="V20" s="3"/>
      <c r="W20" s="3"/>
    </row>
    <row r="21" spans="1:23" x14ac:dyDescent="0.25">
      <c r="A21" s="7" t="s">
        <v>50</v>
      </c>
      <c r="B21" s="18"/>
    </row>
    <row r="22" spans="1:23" x14ac:dyDescent="0.25">
      <c r="B22" s="26"/>
      <c r="C22" s="23" t="s">
        <v>51</v>
      </c>
      <c r="D22" s="27">
        <v>42278</v>
      </c>
      <c r="E22" s="27">
        <v>42644</v>
      </c>
      <c r="F22" s="27">
        <v>43009</v>
      </c>
      <c r="G22" s="27">
        <v>43374</v>
      </c>
      <c r="H22" s="27">
        <v>43739</v>
      </c>
    </row>
    <row r="23" spans="1:23" x14ac:dyDescent="0.25">
      <c r="B23" s="26"/>
      <c r="C23" s="23" t="s">
        <v>52</v>
      </c>
      <c r="D23" s="28">
        <v>42643</v>
      </c>
      <c r="E23" s="28">
        <v>43008</v>
      </c>
      <c r="F23" s="28">
        <v>43373</v>
      </c>
      <c r="G23" s="28">
        <v>43738</v>
      </c>
      <c r="H23" s="28">
        <v>44104</v>
      </c>
    </row>
    <row r="24" spans="1:23" x14ac:dyDescent="0.25">
      <c r="B24" s="20" t="s">
        <v>35</v>
      </c>
      <c r="C24" s="20" t="s">
        <v>46</v>
      </c>
      <c r="D24" s="28"/>
      <c r="E24" s="28"/>
      <c r="F24" s="28"/>
      <c r="G24" s="28"/>
      <c r="H24" s="28"/>
    </row>
    <row r="25" spans="1:23" x14ac:dyDescent="0.25">
      <c r="A25" s="134" t="s">
        <v>205</v>
      </c>
      <c r="B25" s="1" t="s">
        <v>48</v>
      </c>
      <c r="C25" s="1" t="s">
        <v>49</v>
      </c>
      <c r="D25" s="29">
        <f>'RAB Inputs'!N35</f>
        <v>1408.5</v>
      </c>
      <c r="E25" s="29">
        <f>'RAB Inputs'!O35</f>
        <v>1304.1000000000001</v>
      </c>
      <c r="F25" s="29">
        <f>'RAB Inputs'!P35</f>
        <v>1035</v>
      </c>
      <c r="G25" s="29">
        <f>'RAB Inputs'!Q35</f>
        <v>1369.8</v>
      </c>
      <c r="H25" s="29">
        <f>'RAB Inputs'!R35</f>
        <v>1717.1999999999998</v>
      </c>
    </row>
    <row r="26" spans="1:23" x14ac:dyDescent="0.25">
      <c r="A26" s="134" t="str">
        <f>'RAB Inputs'!A5</f>
        <v>Actual capital expenditure attributable to the non-buildings RAB (source: RIGS)</v>
      </c>
      <c r="B26" s="1" t="s">
        <v>48</v>
      </c>
      <c r="C26" s="1" t="s">
        <v>49</v>
      </c>
      <c r="D26" s="125">
        <f>'RAB Inputs'!D5/F12</f>
        <v>765.57051489670948</v>
      </c>
      <c r="E26" s="125">
        <f>'RAB Inputs'!E5/G12</f>
        <v>635.07625973762003</v>
      </c>
      <c r="F26" s="125">
        <f>'RAB Inputs'!F5/H12</f>
        <v>321.59977740793761</v>
      </c>
      <c r="G26" s="125">
        <f>'RAB Inputs'!G5/I12</f>
        <v>701.37139227966702</v>
      </c>
      <c r="H26" s="125">
        <f>'RAB Inputs'!H5/J12</f>
        <v>622.79763629528361</v>
      </c>
    </row>
    <row r="27" spans="1:23" x14ac:dyDescent="0.25">
      <c r="A27" s="134" t="s">
        <v>206</v>
      </c>
      <c r="B27" s="1" t="s">
        <v>48</v>
      </c>
      <c r="C27" s="1" t="s">
        <v>49</v>
      </c>
      <c r="D27" s="29">
        <f>D25+0.5*(D26-D25)</f>
        <v>1087.0352574483547</v>
      </c>
      <c r="E27" s="29">
        <f>E25+0.5*(E26-E25)</f>
        <v>969.58812986881003</v>
      </c>
      <c r="F27" s="29">
        <f>F25+0.5*(F26-F25)</f>
        <v>678.2998887039688</v>
      </c>
      <c r="G27" s="29">
        <f>G25+0.5*(G26-G25)</f>
        <v>1035.5856961398335</v>
      </c>
      <c r="H27" s="29">
        <f>H25+0.5*(H26-H25)</f>
        <v>1169.9988181476417</v>
      </c>
    </row>
    <row r="28" spans="1:23" x14ac:dyDescent="0.25">
      <c r="A28" s="16"/>
    </row>
    <row r="30" spans="1:23" x14ac:dyDescent="0.25">
      <c r="A30" s="7" t="s">
        <v>211</v>
      </c>
      <c r="B30" s="18"/>
    </row>
    <row r="31" spans="1:23" x14ac:dyDescent="0.25">
      <c r="B31" s="26"/>
      <c r="C31" s="23" t="s">
        <v>51</v>
      </c>
      <c r="D31" s="27">
        <v>39387</v>
      </c>
      <c r="E31" s="27">
        <v>39539</v>
      </c>
      <c r="F31" s="27">
        <v>39722</v>
      </c>
      <c r="G31" s="27">
        <v>40087</v>
      </c>
      <c r="H31" s="27">
        <v>40269</v>
      </c>
      <c r="I31" s="27">
        <v>40452</v>
      </c>
      <c r="J31" s="27">
        <v>40817</v>
      </c>
      <c r="K31" s="27">
        <v>41183</v>
      </c>
      <c r="L31" s="27">
        <v>41548</v>
      </c>
      <c r="M31" s="27">
        <v>41913</v>
      </c>
      <c r="N31" s="27">
        <v>42278</v>
      </c>
      <c r="O31" s="27">
        <v>42644</v>
      </c>
      <c r="P31" s="27">
        <v>43009</v>
      </c>
      <c r="Q31" s="27">
        <v>43374</v>
      </c>
      <c r="R31" s="27">
        <v>43739</v>
      </c>
      <c r="S31" s="27">
        <v>44105</v>
      </c>
      <c r="T31" s="27">
        <v>44470</v>
      </c>
      <c r="U31" s="27">
        <v>44835</v>
      </c>
      <c r="V31" s="27">
        <v>45200</v>
      </c>
      <c r="W31" s="27">
        <v>45566</v>
      </c>
    </row>
    <row r="32" spans="1:23" x14ac:dyDescent="0.25">
      <c r="B32" s="26"/>
      <c r="C32" s="23" t="s">
        <v>52</v>
      </c>
      <c r="D32" s="27">
        <v>39538</v>
      </c>
      <c r="E32" s="27">
        <v>39721</v>
      </c>
      <c r="F32" s="27">
        <v>40086</v>
      </c>
      <c r="G32" s="27">
        <v>40268</v>
      </c>
      <c r="H32" s="27">
        <v>40451</v>
      </c>
      <c r="I32" s="28">
        <v>40816</v>
      </c>
      <c r="J32" s="28">
        <v>41182</v>
      </c>
      <c r="K32" s="28">
        <v>41547</v>
      </c>
      <c r="L32" s="28">
        <v>41912</v>
      </c>
      <c r="M32" s="28">
        <v>42277</v>
      </c>
      <c r="N32" s="28">
        <v>42643</v>
      </c>
      <c r="O32" s="28">
        <v>43008</v>
      </c>
      <c r="P32" s="28">
        <v>43373</v>
      </c>
      <c r="Q32" s="28">
        <v>43738</v>
      </c>
      <c r="R32" s="28">
        <v>44104</v>
      </c>
      <c r="S32" s="28">
        <v>44469</v>
      </c>
      <c r="T32" s="28">
        <v>44834</v>
      </c>
      <c r="U32" s="28">
        <v>45199</v>
      </c>
      <c r="V32" s="28">
        <v>45565</v>
      </c>
      <c r="W32" s="28">
        <v>45930</v>
      </c>
    </row>
    <row r="33" spans="1:24" x14ac:dyDescent="0.25">
      <c r="A33" s="16" t="s">
        <v>55</v>
      </c>
      <c r="B33" s="20" t="s">
        <v>35</v>
      </c>
      <c r="C33" s="20" t="s">
        <v>46</v>
      </c>
      <c r="D33" s="30"/>
      <c r="E33" s="30"/>
      <c r="F33" s="30"/>
      <c r="G33" s="30"/>
      <c r="H33" s="30"/>
      <c r="I33" s="31"/>
      <c r="J33" s="31"/>
      <c r="K33" s="31"/>
      <c r="L33" s="31"/>
      <c r="M33" s="31"/>
      <c r="N33" s="31"/>
      <c r="O33" s="31"/>
      <c r="P33" s="31"/>
      <c r="Q33" s="31"/>
      <c r="R33" s="31"/>
      <c r="S33" s="31"/>
      <c r="T33" s="31"/>
      <c r="U33" s="31"/>
      <c r="V33" s="31"/>
      <c r="W33" s="31"/>
    </row>
    <row r="34" spans="1:24" x14ac:dyDescent="0.25">
      <c r="A34" s="1" t="s">
        <v>56</v>
      </c>
      <c r="B34" s="1" t="s">
        <v>48</v>
      </c>
      <c r="C34" s="1" t="s">
        <v>49</v>
      </c>
      <c r="D34" s="41">
        <f>'RAB Inputs'!D27</f>
        <v>2116.7832446290081</v>
      </c>
      <c r="E34" s="41">
        <f>'RAB Inputs'!E27</f>
        <v>1262.6801421709006</v>
      </c>
      <c r="F34" s="41">
        <f>'RAB Inputs'!F27</f>
        <v>2346.1860374137109</v>
      </c>
      <c r="G34" s="41">
        <f>'RAB Inputs'!G27</f>
        <v>1466.300982890592</v>
      </c>
      <c r="H34" s="41">
        <f>'RAB Inputs'!H27</f>
        <v>0</v>
      </c>
      <c r="I34" s="41">
        <f>'RAB Inputs'!I27</f>
        <v>0</v>
      </c>
      <c r="J34" s="41">
        <f>'RAB Inputs'!J27</f>
        <v>0</v>
      </c>
      <c r="K34" s="41">
        <f>'RAB Inputs'!K27</f>
        <v>0</v>
      </c>
      <c r="L34" s="41">
        <f>'RAB Inputs'!L27</f>
        <v>0</v>
      </c>
      <c r="M34" s="41">
        <f>'RAB Inputs'!M27</f>
        <v>0</v>
      </c>
      <c r="N34" s="41">
        <f>'RAB Inputs'!N27</f>
        <v>0</v>
      </c>
      <c r="O34" s="41">
        <f>'RAB Inputs'!O27</f>
        <v>0</v>
      </c>
      <c r="P34" s="41">
        <f>'RAB Inputs'!P27</f>
        <v>0</v>
      </c>
      <c r="Q34" s="41">
        <f>'RAB Inputs'!Q27</f>
        <v>0</v>
      </c>
      <c r="R34" s="41">
        <f>'RAB Inputs'!R27</f>
        <v>0</v>
      </c>
      <c r="S34" s="41">
        <f>'RAB Inputs'!S27</f>
        <v>0</v>
      </c>
      <c r="T34" s="41">
        <f>'RAB Inputs'!T27</f>
        <v>0</v>
      </c>
      <c r="U34" s="41">
        <f>'RAB Inputs'!U27</f>
        <v>0</v>
      </c>
      <c r="V34" s="41">
        <f>'RAB Inputs'!V27</f>
        <v>0</v>
      </c>
      <c r="W34" s="41">
        <f>'RAB Inputs'!W27</f>
        <v>0</v>
      </c>
    </row>
    <row r="35" spans="1:24" x14ac:dyDescent="0.25">
      <c r="A35" s="1" t="s">
        <v>57</v>
      </c>
      <c r="B35" s="1" t="s">
        <v>48</v>
      </c>
      <c r="C35" s="1" t="s">
        <v>49</v>
      </c>
      <c r="D35" s="41">
        <f>'RAB Inputs'!D28</f>
        <v>0</v>
      </c>
      <c r="E35" s="41">
        <f>'RAB Inputs'!E28</f>
        <v>0</v>
      </c>
      <c r="F35" s="41">
        <f>'RAB Inputs'!F28</f>
        <v>1308.4658697862565</v>
      </c>
      <c r="G35" s="41">
        <f>'RAB Inputs'!G28</f>
        <v>1568.8724418280337</v>
      </c>
      <c r="H35" s="41">
        <f>'RAB Inputs'!H28</f>
        <v>0</v>
      </c>
      <c r="I35" s="41">
        <f>'RAB Inputs'!I28</f>
        <v>0</v>
      </c>
      <c r="J35" s="41">
        <f>'RAB Inputs'!J28</f>
        <v>0</v>
      </c>
      <c r="K35" s="41">
        <f>'RAB Inputs'!K28</f>
        <v>0</v>
      </c>
      <c r="L35" s="41">
        <f>'RAB Inputs'!L28</f>
        <v>0</v>
      </c>
      <c r="M35" s="41">
        <f>'RAB Inputs'!M28</f>
        <v>0</v>
      </c>
      <c r="N35" s="41">
        <f>'RAB Inputs'!N28</f>
        <v>0</v>
      </c>
      <c r="O35" s="41">
        <f>'RAB Inputs'!O28</f>
        <v>0</v>
      </c>
      <c r="P35" s="41">
        <f>'RAB Inputs'!P28</f>
        <v>0</v>
      </c>
      <c r="Q35" s="41">
        <f>'RAB Inputs'!Q28</f>
        <v>0</v>
      </c>
      <c r="R35" s="41">
        <f>'RAB Inputs'!R28</f>
        <v>0</v>
      </c>
      <c r="S35" s="41">
        <f>'RAB Inputs'!S28</f>
        <v>0</v>
      </c>
      <c r="T35" s="41">
        <f>'RAB Inputs'!T28</f>
        <v>0</v>
      </c>
      <c r="U35" s="41">
        <f>'RAB Inputs'!U28</f>
        <v>0</v>
      </c>
      <c r="V35" s="41">
        <f>'RAB Inputs'!V28</f>
        <v>0</v>
      </c>
      <c r="W35" s="41">
        <f>'RAB Inputs'!W28</f>
        <v>0</v>
      </c>
    </row>
    <row r="36" spans="1:24" x14ac:dyDescent="0.25">
      <c r="A36" s="1" t="s">
        <v>58</v>
      </c>
      <c r="B36" s="1" t="s">
        <v>48</v>
      </c>
      <c r="C36" s="1" t="s">
        <v>49</v>
      </c>
      <c r="D36" s="41">
        <f>'RAB Inputs'!D29</f>
        <v>0</v>
      </c>
      <c r="E36" s="41">
        <f>'RAB Inputs'!E29</f>
        <v>0</v>
      </c>
      <c r="F36" s="41">
        <f>'RAB Inputs'!F29</f>
        <v>0</v>
      </c>
      <c r="G36" s="41">
        <f>'RAB Inputs'!G29</f>
        <v>0</v>
      </c>
      <c r="H36" s="41">
        <f>'RAB Inputs'!H29</f>
        <v>1047.8191202872531</v>
      </c>
      <c r="I36" s="41">
        <f>'RAB Inputs'!I29</f>
        <v>1013.3891382405744</v>
      </c>
      <c r="J36" s="41">
        <f>'RAB Inputs'!J29</f>
        <v>1365.722621184919</v>
      </c>
      <c r="K36" s="41">
        <f>'RAB Inputs'!K29</f>
        <v>281.17818671454216</v>
      </c>
      <c r="L36" s="41">
        <f>'RAB Inputs'!L29</f>
        <v>1589.5175044883301</v>
      </c>
      <c r="M36" s="41">
        <f>'RAB Inputs'!M29</f>
        <v>418.89811490125669</v>
      </c>
      <c r="N36" s="41">
        <f>'RAB Inputs'!N29</f>
        <v>0</v>
      </c>
      <c r="O36" s="41">
        <f>'RAB Inputs'!O29</f>
        <v>0</v>
      </c>
      <c r="P36" s="41">
        <f>'RAB Inputs'!P29</f>
        <v>0</v>
      </c>
      <c r="Q36" s="41">
        <f>'RAB Inputs'!Q29</f>
        <v>0</v>
      </c>
      <c r="R36" s="41">
        <f>'RAB Inputs'!R29</f>
        <v>0</v>
      </c>
      <c r="S36" s="41">
        <f>'RAB Inputs'!S29</f>
        <v>0</v>
      </c>
      <c r="T36" s="41">
        <f>'RAB Inputs'!T29</f>
        <v>0</v>
      </c>
      <c r="U36" s="41">
        <f>'RAB Inputs'!U29</f>
        <v>0</v>
      </c>
      <c r="V36" s="41">
        <f>'RAB Inputs'!V29</f>
        <v>0</v>
      </c>
      <c r="W36" s="41">
        <f>'RAB Inputs'!W29</f>
        <v>0</v>
      </c>
    </row>
    <row r="37" spans="1:24" x14ac:dyDescent="0.25">
      <c r="A37" s="1" t="s">
        <v>59</v>
      </c>
      <c r="B37" s="1" t="s">
        <v>48</v>
      </c>
      <c r="C37" s="1" t="s">
        <v>49</v>
      </c>
      <c r="D37" s="41">
        <f>'RAB Inputs'!D30</f>
        <v>687.15121839654023</v>
      </c>
      <c r="E37" s="41">
        <f>'RAB Inputs'!E30</f>
        <v>827.64373752494998</v>
      </c>
      <c r="F37" s="41">
        <f>'RAB Inputs'!F30</f>
        <v>1656.5634231536922</v>
      </c>
      <c r="G37" s="41">
        <f>'RAB Inputs'!G30</f>
        <v>828.28171157684608</v>
      </c>
      <c r="H37" s="41">
        <f>'RAB Inputs'!H30</f>
        <v>1034.5546719061877</v>
      </c>
      <c r="I37" s="41">
        <f>'RAB Inputs'!I30</f>
        <v>2069.1093438123753</v>
      </c>
      <c r="J37" s="41">
        <f>'RAB Inputs'!J30</f>
        <v>2069.1093438123753</v>
      </c>
      <c r="K37" s="41">
        <f>'RAB Inputs'!K30</f>
        <v>2069.1093438123753</v>
      </c>
      <c r="L37" s="41">
        <f>'RAB Inputs'!L30</f>
        <v>2069.1093438123753</v>
      </c>
      <c r="M37" s="41">
        <f>'RAB Inputs'!M30</f>
        <v>2069.1093438123753</v>
      </c>
      <c r="N37" s="41">
        <f>'RAB Inputs'!N30</f>
        <v>0</v>
      </c>
      <c r="O37" s="41">
        <f>'RAB Inputs'!O30</f>
        <v>0</v>
      </c>
      <c r="P37" s="41">
        <f>'RAB Inputs'!P30</f>
        <v>0</v>
      </c>
      <c r="Q37" s="41">
        <f>'RAB Inputs'!Q30</f>
        <v>0</v>
      </c>
      <c r="R37" s="41">
        <f>'RAB Inputs'!R30</f>
        <v>0</v>
      </c>
      <c r="S37" s="41">
        <f>'RAB Inputs'!S30</f>
        <v>0</v>
      </c>
      <c r="T37" s="41">
        <f>'RAB Inputs'!T30</f>
        <v>0</v>
      </c>
      <c r="U37" s="41">
        <f>'RAB Inputs'!U30</f>
        <v>0</v>
      </c>
      <c r="V37" s="41">
        <f>'RAB Inputs'!V30</f>
        <v>0</v>
      </c>
      <c r="W37" s="41">
        <f>'RAB Inputs'!W30</f>
        <v>0</v>
      </c>
    </row>
    <row r="38" spans="1:24" x14ac:dyDescent="0.25">
      <c r="A38" s="1" t="s">
        <v>60</v>
      </c>
      <c r="B38" s="1" t="s">
        <v>48</v>
      </c>
      <c r="C38" s="1" t="s">
        <v>49</v>
      </c>
      <c r="D38" s="41">
        <f>'RAB Inputs'!D31</f>
        <v>0</v>
      </c>
      <c r="E38" s="41">
        <f>'RAB Inputs'!E31</f>
        <v>0</v>
      </c>
      <c r="F38" s="41">
        <f>'RAB Inputs'!F31</f>
        <v>71.046407396004938</v>
      </c>
      <c r="G38" s="41">
        <f>'RAB Inputs'!G31</f>
        <v>65.423293489312812</v>
      </c>
      <c r="H38" s="41">
        <f>'RAB Inputs'!H31</f>
        <v>0</v>
      </c>
      <c r="I38" s="41">
        <f>'RAB Inputs'!I31</f>
        <v>0</v>
      </c>
      <c r="J38" s="41">
        <f>'RAB Inputs'!J31</f>
        <v>0</v>
      </c>
      <c r="K38" s="41">
        <f>'RAB Inputs'!K31</f>
        <v>0</v>
      </c>
      <c r="L38" s="41">
        <f>'RAB Inputs'!L31</f>
        <v>0</v>
      </c>
      <c r="M38" s="41">
        <f>'RAB Inputs'!M31</f>
        <v>0</v>
      </c>
      <c r="N38" s="41">
        <f>'RAB Inputs'!N31</f>
        <v>0</v>
      </c>
      <c r="O38" s="41">
        <f>'RAB Inputs'!O31</f>
        <v>0</v>
      </c>
      <c r="P38" s="41">
        <f>'RAB Inputs'!P31</f>
        <v>0</v>
      </c>
      <c r="Q38" s="41">
        <f>'RAB Inputs'!Q31</f>
        <v>0</v>
      </c>
      <c r="R38" s="41">
        <f>'RAB Inputs'!R31</f>
        <v>0</v>
      </c>
      <c r="S38" s="41">
        <f>'RAB Inputs'!S31</f>
        <v>0</v>
      </c>
      <c r="T38" s="41">
        <f>'RAB Inputs'!T31</f>
        <v>0</v>
      </c>
      <c r="U38" s="41">
        <f>'RAB Inputs'!U31</f>
        <v>0</v>
      </c>
      <c r="V38" s="41">
        <f>'RAB Inputs'!V31</f>
        <v>0</v>
      </c>
      <c r="W38" s="41">
        <f>'RAB Inputs'!W31</f>
        <v>0</v>
      </c>
    </row>
    <row r="39" spans="1:24" x14ac:dyDescent="0.25">
      <c r="A39" s="1" t="s">
        <v>61</v>
      </c>
      <c r="B39" s="1" t="s">
        <v>48</v>
      </c>
      <c r="C39" s="1" t="s">
        <v>49</v>
      </c>
      <c r="D39" s="41">
        <f>'RAB Inputs'!D32</f>
        <v>0</v>
      </c>
      <c r="E39" s="41">
        <f>'RAB Inputs'!E32</f>
        <v>0</v>
      </c>
      <c r="F39" s="41">
        <f>'RAB Inputs'!F32</f>
        <v>0</v>
      </c>
      <c r="G39" s="41">
        <f>'RAB Inputs'!G32</f>
        <v>12.377105725354388</v>
      </c>
      <c r="H39" s="41">
        <f>'RAB Inputs'!H32</f>
        <v>0</v>
      </c>
      <c r="I39" s="41">
        <f>'RAB Inputs'!I32</f>
        <v>0</v>
      </c>
      <c r="J39" s="41">
        <f>'RAB Inputs'!J32</f>
        <v>0</v>
      </c>
      <c r="K39" s="41">
        <f>'RAB Inputs'!K32</f>
        <v>0</v>
      </c>
      <c r="L39" s="41">
        <f>'RAB Inputs'!L32</f>
        <v>0</v>
      </c>
      <c r="M39" s="41">
        <f>'RAB Inputs'!M32</f>
        <v>0</v>
      </c>
      <c r="N39" s="41">
        <f>'RAB Inputs'!N32</f>
        <v>0</v>
      </c>
      <c r="O39" s="41">
        <f>'RAB Inputs'!O32</f>
        <v>0</v>
      </c>
      <c r="P39" s="41">
        <f>'RAB Inputs'!P32</f>
        <v>0</v>
      </c>
      <c r="Q39" s="41">
        <f>'RAB Inputs'!Q32</f>
        <v>0</v>
      </c>
      <c r="R39" s="41">
        <f>'RAB Inputs'!R32</f>
        <v>0</v>
      </c>
      <c r="S39" s="41">
        <f>'RAB Inputs'!S32</f>
        <v>0</v>
      </c>
      <c r="T39" s="41">
        <f>'RAB Inputs'!T32</f>
        <v>0</v>
      </c>
      <c r="U39" s="41">
        <f>'RAB Inputs'!U32</f>
        <v>0</v>
      </c>
      <c r="V39" s="41">
        <f>'RAB Inputs'!V32</f>
        <v>0</v>
      </c>
      <c r="W39" s="41">
        <f>'RAB Inputs'!W32</f>
        <v>0</v>
      </c>
    </row>
    <row r="40" spans="1:24" x14ac:dyDescent="0.25">
      <c r="D40" s="29"/>
      <c r="E40" s="29"/>
      <c r="F40" s="29"/>
      <c r="G40" s="29"/>
      <c r="H40" s="29"/>
      <c r="I40" s="29"/>
      <c r="J40" s="29"/>
      <c r="K40" s="29"/>
      <c r="L40" s="29"/>
      <c r="M40" s="29"/>
      <c r="N40" s="29"/>
      <c r="O40" s="29"/>
      <c r="P40" s="29"/>
      <c r="Q40" s="29"/>
      <c r="R40" s="29"/>
      <c r="S40" s="29"/>
      <c r="T40" s="29"/>
      <c r="U40" s="29"/>
      <c r="V40" s="29"/>
      <c r="W40" s="29"/>
    </row>
    <row r="41" spans="1:24" x14ac:dyDescent="0.25">
      <c r="A41" s="115" t="s">
        <v>207</v>
      </c>
    </row>
    <row r="42" spans="1:24" x14ac:dyDescent="0.25">
      <c r="A42" s="134" t="s">
        <v>206</v>
      </c>
      <c r="B42" s="1" t="s">
        <v>48</v>
      </c>
      <c r="C42" s="1" t="s">
        <v>49</v>
      </c>
      <c r="D42" s="29"/>
      <c r="E42" s="29"/>
      <c r="F42" s="29"/>
      <c r="G42" s="29"/>
      <c r="H42" s="29"/>
      <c r="I42" s="29"/>
      <c r="J42" s="29"/>
      <c r="K42" s="29"/>
      <c r="L42" s="29"/>
      <c r="M42" s="29"/>
      <c r="N42" s="29">
        <f>D27</f>
        <v>1087.0352574483547</v>
      </c>
      <c r="O42" s="29">
        <f>E27</f>
        <v>969.58812986881003</v>
      </c>
      <c r="P42" s="29">
        <f>F27</f>
        <v>678.2998887039688</v>
      </c>
      <c r="Q42" s="29">
        <f>G27</f>
        <v>1035.5856961398335</v>
      </c>
      <c r="R42" s="29">
        <f>H27</f>
        <v>1169.9988181476417</v>
      </c>
      <c r="S42" s="29"/>
      <c r="T42" s="29"/>
      <c r="U42" s="29"/>
      <c r="V42" s="29"/>
      <c r="W42" s="29"/>
    </row>
    <row r="43" spans="1:24" x14ac:dyDescent="0.25">
      <c r="D43" s="29"/>
      <c r="E43" s="29"/>
      <c r="F43" s="29"/>
      <c r="G43" s="29"/>
      <c r="H43" s="29"/>
      <c r="I43" s="29"/>
      <c r="J43" s="29"/>
      <c r="K43" s="29"/>
      <c r="L43" s="29"/>
      <c r="M43" s="29"/>
      <c r="N43" s="29"/>
      <c r="O43" s="29"/>
      <c r="P43" s="29"/>
      <c r="Q43" s="29"/>
      <c r="R43" s="29"/>
      <c r="S43" s="29"/>
      <c r="T43" s="29"/>
      <c r="U43" s="29"/>
      <c r="V43" s="29"/>
      <c r="W43" s="29"/>
    </row>
    <row r="44" spans="1:24" x14ac:dyDescent="0.25">
      <c r="A44" s="16" t="s">
        <v>197</v>
      </c>
    </row>
    <row r="45" spans="1:24" x14ac:dyDescent="0.25">
      <c r="A45" s="134" t="s">
        <v>215</v>
      </c>
      <c r="B45" s="1" t="s">
        <v>48</v>
      </c>
      <c r="C45" s="1" t="s">
        <v>62</v>
      </c>
      <c r="D45" s="29"/>
      <c r="E45" s="29"/>
      <c r="F45" s="29"/>
      <c r="G45" s="29"/>
      <c r="H45" s="29"/>
      <c r="I45" s="29"/>
      <c r="J45" s="29"/>
      <c r="K45" s="29"/>
      <c r="L45" s="29"/>
      <c r="M45" s="29"/>
      <c r="N45" s="29"/>
      <c r="O45" s="29"/>
      <c r="P45" s="29"/>
      <c r="Q45" s="29"/>
      <c r="R45" s="29"/>
      <c r="S45" s="29">
        <f>'Cost Sharing'!D45/K7</f>
        <v>2592.911525</v>
      </c>
      <c r="T45" s="29">
        <f>'Cost Sharing'!E45/L7</f>
        <v>2230.8171675000003</v>
      </c>
      <c r="U45" s="29">
        <f>'Cost Sharing'!F45/M7</f>
        <v>1743.2751349999999</v>
      </c>
      <c r="V45" s="29">
        <f>'Cost Sharing'!G45/N7</f>
        <v>1552.8942999999999</v>
      </c>
      <c r="W45" s="29">
        <f>'Cost Sharing'!H45/O7</f>
        <v>1480.0943</v>
      </c>
    </row>
    <row r="48" spans="1:24" x14ac:dyDescent="0.25">
      <c r="A48" s="16" t="s">
        <v>63</v>
      </c>
      <c r="B48" s="26"/>
      <c r="C48" s="23" t="s">
        <v>46</v>
      </c>
      <c r="D48" s="32" t="s">
        <v>64</v>
      </c>
      <c r="E48" s="26" t="s">
        <v>49</v>
      </c>
      <c r="F48" s="26" t="s">
        <v>49</v>
      </c>
      <c r="G48" s="26" t="s">
        <v>49</v>
      </c>
      <c r="H48" s="26" t="s">
        <v>49</v>
      </c>
      <c r="I48" s="26" t="s">
        <v>49</v>
      </c>
      <c r="J48" s="26" t="s">
        <v>49</v>
      </c>
      <c r="K48" s="26" t="s">
        <v>49</v>
      </c>
      <c r="L48" s="26" t="s">
        <v>49</v>
      </c>
      <c r="M48" s="26" t="s">
        <v>49</v>
      </c>
      <c r="N48" s="26" t="s">
        <v>49</v>
      </c>
      <c r="O48" s="26" t="s">
        <v>49</v>
      </c>
      <c r="P48" s="26" t="s">
        <v>49</v>
      </c>
      <c r="Q48" s="26" t="s">
        <v>49</v>
      </c>
      <c r="R48" s="26" t="s">
        <v>49</v>
      </c>
      <c r="S48" s="26" t="s">
        <v>49</v>
      </c>
      <c r="T48" s="26" t="s">
        <v>62</v>
      </c>
      <c r="U48" s="26" t="s">
        <v>62</v>
      </c>
      <c r="V48" s="26" t="s">
        <v>62</v>
      </c>
      <c r="W48" s="26" t="s">
        <v>62</v>
      </c>
      <c r="X48" s="26" t="s">
        <v>62</v>
      </c>
    </row>
    <row r="49" spans="1:24" x14ac:dyDescent="0.25">
      <c r="B49" s="26"/>
      <c r="C49" s="23" t="s">
        <v>65</v>
      </c>
      <c r="D49" s="24">
        <v>39386</v>
      </c>
      <c r="E49" s="24">
        <v>39538</v>
      </c>
      <c r="F49" s="24">
        <v>39721</v>
      </c>
      <c r="G49" s="24">
        <v>40086</v>
      </c>
      <c r="H49" s="24">
        <v>40268</v>
      </c>
      <c r="I49" s="24">
        <v>40451</v>
      </c>
      <c r="J49" s="24">
        <v>40816</v>
      </c>
      <c r="K49" s="24">
        <v>41182</v>
      </c>
      <c r="L49" s="24">
        <v>41547</v>
      </c>
      <c r="M49" s="24">
        <v>41912</v>
      </c>
      <c r="N49" s="24">
        <v>42277</v>
      </c>
      <c r="O49" s="24">
        <v>42643</v>
      </c>
      <c r="P49" s="24">
        <v>43008</v>
      </c>
      <c r="Q49" s="24">
        <v>43373</v>
      </c>
      <c r="R49" s="24">
        <v>43738</v>
      </c>
      <c r="S49" s="24">
        <v>44104</v>
      </c>
      <c r="T49" s="24">
        <v>44469</v>
      </c>
      <c r="U49" s="24">
        <v>44834</v>
      </c>
      <c r="V49" s="24">
        <v>45199</v>
      </c>
      <c r="W49" s="24">
        <v>45565</v>
      </c>
      <c r="X49" s="24">
        <v>45930</v>
      </c>
    </row>
    <row r="50" spans="1:24" x14ac:dyDescent="0.25">
      <c r="B50" s="26"/>
      <c r="C50" s="23" t="s">
        <v>66</v>
      </c>
      <c r="D50" s="32" t="s">
        <v>64</v>
      </c>
      <c r="E50" s="33">
        <f t="shared" ref="E50:X50" si="4">MAX(0,(YEAR(E49)-YEAR(D49))*12+(MONTH(E49)-MONTH(D49)))</f>
        <v>5</v>
      </c>
      <c r="F50" s="33">
        <f t="shared" si="4"/>
        <v>6</v>
      </c>
      <c r="G50" s="33">
        <f t="shared" si="4"/>
        <v>12</v>
      </c>
      <c r="H50" s="33">
        <f t="shared" si="4"/>
        <v>6</v>
      </c>
      <c r="I50" s="33">
        <f t="shared" si="4"/>
        <v>6</v>
      </c>
      <c r="J50" s="33">
        <f t="shared" si="4"/>
        <v>12</v>
      </c>
      <c r="K50" s="33">
        <f t="shared" si="4"/>
        <v>12</v>
      </c>
      <c r="L50" s="33">
        <f t="shared" si="4"/>
        <v>12</v>
      </c>
      <c r="M50" s="33">
        <f t="shared" si="4"/>
        <v>12</v>
      </c>
      <c r="N50" s="33">
        <f t="shared" si="4"/>
        <v>12</v>
      </c>
      <c r="O50" s="33">
        <f t="shared" si="4"/>
        <v>12</v>
      </c>
      <c r="P50" s="33">
        <f t="shared" si="4"/>
        <v>12</v>
      </c>
      <c r="Q50" s="33">
        <f t="shared" si="4"/>
        <v>12</v>
      </c>
      <c r="R50" s="33">
        <f t="shared" si="4"/>
        <v>12</v>
      </c>
      <c r="S50" s="33">
        <f t="shared" si="4"/>
        <v>12</v>
      </c>
      <c r="T50" s="33">
        <f t="shared" si="4"/>
        <v>12</v>
      </c>
      <c r="U50" s="33">
        <f t="shared" si="4"/>
        <v>12</v>
      </c>
      <c r="V50" s="33">
        <f t="shared" si="4"/>
        <v>12</v>
      </c>
      <c r="W50" s="33">
        <f t="shared" si="4"/>
        <v>12</v>
      </c>
      <c r="X50" s="33">
        <f t="shared" si="4"/>
        <v>12</v>
      </c>
    </row>
    <row r="51" spans="1:24" x14ac:dyDescent="0.25">
      <c r="A51" s="16"/>
      <c r="B51" s="26"/>
      <c r="C51" s="26"/>
      <c r="D51" s="30"/>
      <c r="E51" s="34"/>
      <c r="F51" s="34"/>
      <c r="G51" s="34"/>
      <c r="H51" s="34"/>
      <c r="I51" s="34"/>
      <c r="J51" s="34"/>
      <c r="K51" s="34"/>
      <c r="L51" s="34"/>
      <c r="M51" s="34"/>
      <c r="N51" s="34"/>
      <c r="O51" s="34"/>
      <c r="P51" s="34"/>
      <c r="Q51" s="34"/>
      <c r="R51" s="34"/>
      <c r="S51" s="34"/>
      <c r="T51" s="34"/>
      <c r="U51" s="34"/>
      <c r="V51" s="34"/>
      <c r="W51" s="34"/>
      <c r="X51" s="34"/>
    </row>
    <row r="52" spans="1:24" x14ac:dyDescent="0.25">
      <c r="A52" s="16" t="s">
        <v>67</v>
      </c>
      <c r="B52" s="20" t="s">
        <v>35</v>
      </c>
      <c r="C52" s="20"/>
      <c r="D52" s="26"/>
      <c r="E52" s="26"/>
      <c r="F52" s="26"/>
      <c r="G52" s="26"/>
      <c r="H52" s="26"/>
      <c r="I52" s="26"/>
      <c r="J52" s="26"/>
      <c r="K52" s="26"/>
      <c r="L52" s="26"/>
      <c r="M52" s="26"/>
      <c r="N52" s="26"/>
      <c r="O52" s="26"/>
      <c r="P52" s="26"/>
      <c r="Q52" s="26"/>
      <c r="R52" s="26"/>
      <c r="S52" s="26"/>
      <c r="T52" s="26"/>
      <c r="U52" s="26"/>
      <c r="V52" s="26"/>
      <c r="W52" s="26"/>
      <c r="X52" s="26"/>
    </row>
    <row r="53" spans="1:24" x14ac:dyDescent="0.25">
      <c r="A53" s="35" t="s">
        <v>68</v>
      </c>
      <c r="B53" s="1" t="s">
        <v>48</v>
      </c>
      <c r="D53" s="36"/>
      <c r="E53" s="36">
        <f t="shared" ref="E53:N53" si="5">D37</f>
        <v>687.15121839654023</v>
      </c>
      <c r="F53" s="36">
        <f t="shared" si="5"/>
        <v>827.64373752494998</v>
      </c>
      <c r="G53" s="36">
        <f t="shared" si="5"/>
        <v>1656.5634231536922</v>
      </c>
      <c r="H53" s="36">
        <f t="shared" si="5"/>
        <v>828.28171157684608</v>
      </c>
      <c r="I53" s="36">
        <f t="shared" si="5"/>
        <v>1034.5546719061877</v>
      </c>
      <c r="J53" s="36">
        <f t="shared" si="5"/>
        <v>2069.1093438123753</v>
      </c>
      <c r="K53" s="36">
        <f t="shared" si="5"/>
        <v>2069.1093438123753</v>
      </c>
      <c r="L53" s="36">
        <f t="shared" si="5"/>
        <v>2069.1093438123753</v>
      </c>
      <c r="M53" s="36">
        <f t="shared" si="5"/>
        <v>2069.1093438123753</v>
      </c>
      <c r="N53" s="36">
        <f t="shared" si="5"/>
        <v>2069.1093438123753</v>
      </c>
      <c r="O53" s="36">
        <v>1173.1332688789171</v>
      </c>
      <c r="P53" s="36"/>
      <c r="Q53" s="36"/>
      <c r="R53" s="36"/>
      <c r="S53" s="36"/>
      <c r="T53" s="36"/>
      <c r="U53" s="37"/>
      <c r="V53" s="37"/>
      <c r="W53" s="37"/>
      <c r="X53" s="37"/>
    </row>
    <row r="54" spans="1:24" x14ac:dyDescent="0.25">
      <c r="A54" s="38">
        <v>39538</v>
      </c>
      <c r="B54" s="1" t="s">
        <v>48</v>
      </c>
      <c r="D54" s="37"/>
      <c r="E54" s="36">
        <f t="shared" ref="E54:N54" si="6">$D34/12*E$50/D$18</f>
        <v>88.199301859542004</v>
      </c>
      <c r="F54" s="36">
        <f t="shared" si="6"/>
        <v>105.8391622314504</v>
      </c>
      <c r="G54" s="36">
        <f t="shared" si="6"/>
        <v>211.6783244629008</v>
      </c>
      <c r="H54" s="36">
        <f t="shared" si="6"/>
        <v>105.8391622314504</v>
      </c>
      <c r="I54" s="36">
        <f t="shared" si="6"/>
        <v>132.29895278931301</v>
      </c>
      <c r="J54" s="36">
        <f t="shared" si="6"/>
        <v>264.59790557862601</v>
      </c>
      <c r="K54" s="36">
        <f t="shared" si="6"/>
        <v>264.59790557862601</v>
      </c>
      <c r="L54" s="36">
        <f t="shared" si="6"/>
        <v>264.59790557862601</v>
      </c>
      <c r="M54" s="36">
        <f t="shared" si="6"/>
        <v>264.59790557862601</v>
      </c>
      <c r="N54" s="36">
        <f t="shared" si="6"/>
        <v>264.59790557862601</v>
      </c>
      <c r="O54" s="36">
        <f>$D34-SUM(E54:N54)</f>
        <v>149.93881316122111</v>
      </c>
      <c r="P54" s="36"/>
      <c r="Q54" s="36"/>
      <c r="R54" s="36"/>
      <c r="S54" s="36"/>
      <c r="T54" s="36"/>
      <c r="U54" s="37"/>
      <c r="V54" s="37"/>
      <c r="W54" s="37"/>
      <c r="X54" s="37"/>
    </row>
    <row r="55" spans="1:24" x14ac:dyDescent="0.25">
      <c r="A55" s="38">
        <v>39721</v>
      </c>
      <c r="B55" s="1" t="s">
        <v>48</v>
      </c>
      <c r="D55" s="37"/>
      <c r="E55" s="36"/>
      <c r="F55" s="36">
        <f t="shared" ref="F55:N55" si="7">$E34/12*F$50/E$18</f>
        <v>63.134007108545028</v>
      </c>
      <c r="G55" s="36">
        <f t="shared" si="7"/>
        <v>126.26801421709006</v>
      </c>
      <c r="H55" s="36">
        <f t="shared" si="7"/>
        <v>63.134007108545028</v>
      </c>
      <c r="I55" s="36">
        <f t="shared" si="7"/>
        <v>78.917508885681286</v>
      </c>
      <c r="J55" s="36">
        <f t="shared" si="7"/>
        <v>157.83501777136257</v>
      </c>
      <c r="K55" s="36">
        <f t="shared" si="7"/>
        <v>157.83501777136257</v>
      </c>
      <c r="L55" s="36">
        <f t="shared" si="7"/>
        <v>157.83501777136257</v>
      </c>
      <c r="M55" s="36">
        <f t="shared" si="7"/>
        <v>157.83501777136257</v>
      </c>
      <c r="N55" s="36">
        <f t="shared" si="7"/>
        <v>157.83501777136257</v>
      </c>
      <c r="O55" s="36">
        <f>$E34-SUM(E55:N55)</f>
        <v>142.05151599422629</v>
      </c>
      <c r="P55" s="36"/>
      <c r="Q55" s="36"/>
      <c r="R55" s="36"/>
      <c r="S55" s="36"/>
      <c r="T55" s="36"/>
      <c r="U55" s="37"/>
      <c r="V55" s="37"/>
      <c r="W55" s="37"/>
      <c r="X55" s="37"/>
    </row>
    <row r="56" spans="1:24" x14ac:dyDescent="0.25">
      <c r="A56" s="38">
        <v>40086</v>
      </c>
      <c r="B56" s="1" t="s">
        <v>48</v>
      </c>
      <c r="D56" s="37"/>
      <c r="E56" s="36"/>
      <c r="F56" s="36"/>
      <c r="G56" s="36">
        <f t="shared" ref="G56:N56" si="8">$F34/12*G$50/F$18</f>
        <v>234.61860374137109</v>
      </c>
      <c r="H56" s="36">
        <f t="shared" si="8"/>
        <v>117.30930187068554</v>
      </c>
      <c r="I56" s="36">
        <f t="shared" si="8"/>
        <v>146.63662733835693</v>
      </c>
      <c r="J56" s="36">
        <f t="shared" si="8"/>
        <v>293.27325467671386</v>
      </c>
      <c r="K56" s="36">
        <f t="shared" si="8"/>
        <v>293.27325467671386</v>
      </c>
      <c r="L56" s="36">
        <f t="shared" si="8"/>
        <v>293.27325467671386</v>
      </c>
      <c r="M56" s="36">
        <f t="shared" si="8"/>
        <v>293.27325467671386</v>
      </c>
      <c r="N56" s="36">
        <f t="shared" si="8"/>
        <v>293.27325467671386</v>
      </c>
      <c r="O56" s="36">
        <f>$F34-SUM(E56:N56)</f>
        <v>381.25523107972822</v>
      </c>
      <c r="P56" s="36"/>
      <c r="Q56" s="36"/>
      <c r="R56" s="36"/>
      <c r="S56" s="36"/>
      <c r="T56" s="36"/>
      <c r="U56" s="36"/>
      <c r="V56" s="36"/>
      <c r="W56" s="36"/>
      <c r="X56" s="36"/>
    </row>
    <row r="57" spans="1:24" x14ac:dyDescent="0.25">
      <c r="A57" s="38" t="s">
        <v>69</v>
      </c>
      <c r="B57" s="1" t="s">
        <v>48</v>
      </c>
      <c r="D57" s="39"/>
      <c r="E57" s="36"/>
      <c r="F57" s="36"/>
      <c r="G57" s="36">
        <f>F38</f>
        <v>71.046407396004938</v>
      </c>
      <c r="H57" s="36">
        <f>G38</f>
        <v>65.423293489312812</v>
      </c>
      <c r="I57" s="36">
        <f t="shared" ref="I57:O57" si="9">$F35/12*I$50/H$18</f>
        <v>81.779116861641029</v>
      </c>
      <c r="J57" s="36">
        <f t="shared" si="9"/>
        <v>163.55823372328206</v>
      </c>
      <c r="K57" s="36">
        <f t="shared" si="9"/>
        <v>163.55823372328206</v>
      </c>
      <c r="L57" s="36">
        <f t="shared" si="9"/>
        <v>163.55823372328206</v>
      </c>
      <c r="M57" s="36">
        <f t="shared" si="9"/>
        <v>163.55823372328206</v>
      </c>
      <c r="N57" s="36">
        <f t="shared" si="9"/>
        <v>163.55823372328206</v>
      </c>
      <c r="O57" s="36">
        <f t="shared" si="9"/>
        <v>261.6931739572513</v>
      </c>
      <c r="P57" s="36">
        <f>$F35-SUM(F57:O57)</f>
        <v>10.73270946563639</v>
      </c>
      <c r="Q57" s="36"/>
      <c r="R57" s="36"/>
      <c r="S57" s="36"/>
      <c r="T57" s="36"/>
      <c r="U57" s="36"/>
      <c r="V57" s="36"/>
      <c r="W57" s="36"/>
      <c r="X57" s="36"/>
    </row>
    <row r="58" spans="1:24" x14ac:dyDescent="0.25">
      <c r="A58" s="38">
        <v>40268</v>
      </c>
      <c r="B58" s="1" t="s">
        <v>48</v>
      </c>
      <c r="D58" s="37"/>
      <c r="E58" s="36"/>
      <c r="F58" s="36"/>
      <c r="G58" s="36"/>
      <c r="H58" s="36">
        <f t="shared" ref="H58:O58" si="10">$G34/12*H$50/G$18</f>
        <v>73.315049144529596</v>
      </c>
      <c r="I58" s="36">
        <f t="shared" si="10"/>
        <v>91.643811430661998</v>
      </c>
      <c r="J58" s="36">
        <f t="shared" si="10"/>
        <v>183.287622861324</v>
      </c>
      <c r="K58" s="36">
        <f t="shared" si="10"/>
        <v>183.287622861324</v>
      </c>
      <c r="L58" s="36">
        <f t="shared" si="10"/>
        <v>183.287622861324</v>
      </c>
      <c r="M58" s="36">
        <f t="shared" si="10"/>
        <v>183.287622861324</v>
      </c>
      <c r="N58" s="36">
        <f t="shared" si="10"/>
        <v>183.287622861324</v>
      </c>
      <c r="O58" s="36">
        <f t="shared" si="10"/>
        <v>293.26019657811838</v>
      </c>
      <c r="P58" s="36">
        <f>$G34-SUM(F58:O58)</f>
        <v>91.643811430661799</v>
      </c>
      <c r="Q58" s="36"/>
      <c r="R58" s="36"/>
      <c r="S58" s="36"/>
      <c r="T58" s="36"/>
      <c r="U58" s="36"/>
      <c r="V58" s="36"/>
      <c r="W58" s="36"/>
      <c r="X58" s="36"/>
    </row>
    <row r="59" spans="1:24" x14ac:dyDescent="0.25">
      <c r="A59" s="38" t="s">
        <v>70</v>
      </c>
      <c r="B59" s="1" t="s">
        <v>48</v>
      </c>
      <c r="D59" s="39"/>
      <c r="E59" s="36"/>
      <c r="F59" s="36"/>
      <c r="G59" s="36"/>
      <c r="H59" s="36">
        <f>G39</f>
        <v>12.377105725354388</v>
      </c>
      <c r="I59" s="36">
        <f t="shared" ref="I59:O59" si="11">$G35/12*I$50/H$18</f>
        <v>98.054527614252095</v>
      </c>
      <c r="J59" s="36">
        <f t="shared" si="11"/>
        <v>196.10905522850419</v>
      </c>
      <c r="K59" s="36">
        <f t="shared" si="11"/>
        <v>196.10905522850419</v>
      </c>
      <c r="L59" s="36">
        <f t="shared" si="11"/>
        <v>196.10905522850419</v>
      </c>
      <c r="M59" s="36">
        <f t="shared" si="11"/>
        <v>196.10905522850419</v>
      </c>
      <c r="N59" s="36">
        <f t="shared" si="11"/>
        <v>196.10905522850419</v>
      </c>
      <c r="O59" s="36">
        <f t="shared" si="11"/>
        <v>313.77448836560671</v>
      </c>
      <c r="P59" s="36">
        <f>$G35-SUM(F59:O59)</f>
        <v>164.12104398029965</v>
      </c>
      <c r="Q59" s="36"/>
      <c r="R59" s="36"/>
      <c r="S59" s="36"/>
      <c r="T59" s="36"/>
      <c r="U59" s="36"/>
      <c r="V59" s="36"/>
      <c r="W59" s="36"/>
      <c r="X59" s="36"/>
    </row>
    <row r="60" spans="1:24" x14ac:dyDescent="0.25">
      <c r="A60" s="38">
        <v>40451</v>
      </c>
      <c r="B60" s="1" t="s">
        <v>48</v>
      </c>
      <c r="D60" s="37"/>
      <c r="E60" s="36"/>
      <c r="F60" s="36"/>
      <c r="G60" s="36"/>
      <c r="H60" s="36"/>
      <c r="I60" s="36">
        <f>$H36/12*I$50/H$18/2</f>
        <v>32.744347508976659</v>
      </c>
      <c r="J60" s="36">
        <f>$H36/12*J$50/I$18</f>
        <v>130.97739003590664</v>
      </c>
      <c r="K60" s="36">
        <f>$H36/12*K$50/J$18</f>
        <v>130.97739003590664</v>
      </c>
      <c r="L60" s="36">
        <f>$H36/12*L$50/K$18</f>
        <v>130.97739003590664</v>
      </c>
      <c r="M60" s="36">
        <f>$H36/12*M$50/L$18</f>
        <v>130.97739003590664</v>
      </c>
      <c r="N60" s="36">
        <f>$H36/12*N$50/M$18</f>
        <v>130.97739003590664</v>
      </c>
      <c r="O60" s="36">
        <f>IF($H36-SUM($G60:N60)&lt;=0,0,IF($H36-SUM($G60:N60)&lt;$H36/12*O$50/N$18,$H36-SUM($G60:N60),$H36/12*O$50/N$18))</f>
        <v>209.56382405745063</v>
      </c>
      <c r="P60" s="36">
        <f>IF($H36-SUM($G60:O60)&lt;=0,0,IF($H36-SUM($G60:O60)&lt;$H36/12*P$50/O$18,$H36-SUM($G60:O60),$H36/12*P$50/O$18))</f>
        <v>150.62399854129262</v>
      </c>
      <c r="Q60" s="36">
        <f>IF($H36-SUM($G60:P60)&lt;=0,0,IF($H36-SUM($G60:P60)&lt;$H36/12*Q$50/P$18,$H36-SUM($G60:P60),$H36/12*Q$50/P$18))</f>
        <v>0</v>
      </c>
      <c r="R60" s="36">
        <f>IF($H36-SUM($G60:Q60)&lt;=0,0,IF($H36-SUM($G60:Q60)&lt;$H36/12*R$50/Q$18,$H36-SUM($G60:Q60),$H36/12*R$50/Q$18))</f>
        <v>0</v>
      </c>
      <c r="S60" s="36">
        <f>IF($H36-SUM($G60:R60)&lt;=0,0,IF($H36-SUM($G60:R60)&lt;$H36/12*S$50/R$18,$H36-SUM($G60:R60),$H36/12*S$50/R$18))</f>
        <v>0</v>
      </c>
      <c r="T60" s="36"/>
      <c r="U60" s="36"/>
      <c r="V60" s="36"/>
      <c r="W60" s="36"/>
      <c r="X60" s="36"/>
    </row>
    <row r="61" spans="1:24" x14ac:dyDescent="0.25">
      <c r="A61" s="38">
        <v>40816</v>
      </c>
      <c r="B61" s="1" t="s">
        <v>48</v>
      </c>
      <c r="D61" s="37"/>
      <c r="E61" s="36"/>
      <c r="F61" s="36"/>
      <c r="G61" s="36"/>
      <c r="H61" s="36"/>
      <c r="I61" s="36"/>
      <c r="J61" s="36">
        <f>$I36/12*J$50/I$18/2</f>
        <v>63.336821140035894</v>
      </c>
      <c r="K61" s="36">
        <f>$I36/12*K$50/J$18</f>
        <v>126.67364228007179</v>
      </c>
      <c r="L61" s="36">
        <f>$I36/12*L$50/K$18</f>
        <v>126.67364228007179</v>
      </c>
      <c r="M61" s="36">
        <f>$I36/12*M$50/L$18</f>
        <v>126.67364228007179</v>
      </c>
      <c r="N61" s="36">
        <f>$I36/12*N$50/M$18</f>
        <v>126.67364228007179</v>
      </c>
      <c r="O61" s="36">
        <f>IF($I36-SUM($G61:N61)&lt;=0,0,IF($I36-SUM($G61:N61)&lt;$I36/12*O$50/N$18,$I36-SUM($G61:N61),$I36/12*O$50/N$18))</f>
        <v>202.67782764811486</v>
      </c>
      <c r="P61" s="36">
        <f>IF($I36-SUM($G61:O61)&lt;=0,0,IF($I36-SUM($G61:O61)&lt;$I36/12*P$50/O$18,$I36-SUM($G61:O61),$I36/12*P$50/O$18))</f>
        <v>202.67782764811486</v>
      </c>
      <c r="Q61" s="36">
        <f>IF($I36-SUM($G61:P61)&lt;=0,0,IF($I36-SUM($G61:P61)&lt;$I36/12*Q$50/P$18,$I36-SUM($G61:P61),$I36/12*Q$50/P$18))</f>
        <v>38.002092684021591</v>
      </c>
      <c r="R61" s="36">
        <f>IF($I36-SUM($G61:Q61)&lt;=0,0,IF($I36-SUM($G61:Q61)&lt;$I36/12*R$50/Q$18,$I36-SUM($G61:Q61),$I36/12*R$50/Q$18))</f>
        <v>0</v>
      </c>
      <c r="S61" s="36">
        <f>IF($I36-SUM($G61:R61)&lt;=0,0,IF($I36-SUM($G61:R61)&lt;$I36/12*S$50/R$18,$I36-SUM($G61:R61),$I36/12*S$50/R$18))</f>
        <v>0</v>
      </c>
      <c r="T61" s="36"/>
      <c r="U61" s="36"/>
      <c r="V61" s="36"/>
      <c r="W61" s="36"/>
      <c r="X61" s="36"/>
    </row>
    <row r="62" spans="1:24" x14ac:dyDescent="0.25">
      <c r="A62" s="38">
        <v>41182</v>
      </c>
      <c r="B62" s="1" t="s">
        <v>48</v>
      </c>
      <c r="D62" s="37"/>
      <c r="E62" s="36"/>
      <c r="F62" s="36"/>
      <c r="G62" s="36"/>
      <c r="H62" s="36"/>
      <c r="I62" s="36"/>
      <c r="J62" s="36"/>
      <c r="K62" s="36">
        <f>$J36/12*K$50/J$18/2</f>
        <v>85.35766382405744</v>
      </c>
      <c r="L62" s="36">
        <f>$J36/12*L$50/K$18</f>
        <v>170.71532764811488</v>
      </c>
      <c r="M62" s="36">
        <f>$J36/12*M$50/L$18</f>
        <v>170.71532764811488</v>
      </c>
      <c r="N62" s="36">
        <f>$J36/12*N$50/M$18</f>
        <v>170.71532764811488</v>
      </c>
      <c r="O62" s="36">
        <f>IF($J36-SUM($G62:N62)&lt;=0,0,IF($J36-SUM($G62:N62)&lt;$J36/12*O$50/N$18,$J36-SUM($G62:N62),$J36/12*O$50/N$18))</f>
        <v>273.14452423698378</v>
      </c>
      <c r="P62" s="36">
        <f>IF($J36-SUM($G62:O62)&lt;=0,0,IF($J36-SUM($G62:O62)&lt;$J36/12*P$50/O$18,$J36-SUM($G62:O62),$J36/12*P$50/O$18))</f>
        <v>273.14452423698378</v>
      </c>
      <c r="Q62" s="36">
        <f>IF($J36-SUM($G62:P62)&lt;=0,0,IF($J36-SUM($G62:P62)&lt;$J36/12*Q$50/P$18,$J36-SUM($G62:P62),$J36/12*Q$50/P$18))</f>
        <v>221.92992594254952</v>
      </c>
      <c r="R62" s="36">
        <f>IF($J36-SUM($G62:Q62)&lt;=0,0,IF($J36-SUM($G62:Q62)&lt;$J36/12*R$50/Q$18,$J36-SUM($G62:Q62),$J36/12*R$50/Q$18))</f>
        <v>0</v>
      </c>
      <c r="S62" s="36">
        <f>IF($J36-SUM($G62:R62)&lt;=0,0,IF($J36-SUM($G62:R62)&lt;$J36/12*S$50/R$18,$J36-SUM($G62:R62),$J36/12*S$50/R$18))</f>
        <v>0</v>
      </c>
      <c r="T62" s="36"/>
      <c r="U62" s="36"/>
      <c r="V62" s="36"/>
      <c r="W62" s="36"/>
      <c r="X62" s="36"/>
    </row>
    <row r="63" spans="1:24" x14ac:dyDescent="0.25">
      <c r="A63" s="38">
        <v>41547</v>
      </c>
      <c r="B63" s="1" t="s">
        <v>48</v>
      </c>
      <c r="D63" s="37"/>
      <c r="E63" s="36"/>
      <c r="F63" s="36"/>
      <c r="G63" s="36"/>
      <c r="H63" s="36"/>
      <c r="I63" s="36"/>
      <c r="J63" s="36"/>
      <c r="K63" s="36"/>
      <c r="L63" s="36">
        <f>$K36/12*L$50/K$18/2</f>
        <v>17.573636669658885</v>
      </c>
      <c r="M63" s="36">
        <f>$K36/12*M$50/L$18</f>
        <v>35.147273339317771</v>
      </c>
      <c r="N63" s="36">
        <f>$K36/12*N$50/M$18</f>
        <v>35.147273339317771</v>
      </c>
      <c r="O63" s="36">
        <f>IF($K36-SUM($G63:N63)&lt;=0,0,IF($K36-SUM($G63:N63)&lt;$K36/12*O$50/N$18,$K36-SUM($G63:N63),$K36/12*O$50/N$18))</f>
        <v>56.235637342908433</v>
      </c>
      <c r="P63" s="36">
        <f>IF($K36-SUM($G63:O63)&lt;=0,0,IF($K36-SUM($G63:O63)&lt;$K36/12*P$50/O$18,$K36-SUM($G63:O63),$K36/12*P$50/O$18))</f>
        <v>56.235637342908433</v>
      </c>
      <c r="Q63" s="36">
        <f>IF($K36-SUM($G63:P63)&lt;=0,0,IF($K36-SUM($G63:P63)&lt;$K36/12*Q$50/P$18,$K36-SUM($G63:P63),$K36/12*Q$50/P$18))</f>
        <v>56.235637342908433</v>
      </c>
      <c r="R63" s="36">
        <f>IF($K36-SUM($G63:Q63)&lt;=0,0,IF($K36-SUM($G63:Q63)&lt;$K36/12*R$50/Q$18,$K36-SUM($G63:Q63),$K36/12*R$50/Q$18))</f>
        <v>24.603091337522471</v>
      </c>
      <c r="S63" s="36">
        <f>IF($K36-SUM($G63:R63)&lt;=0,0,IF($K36-SUM($G63:R63)&lt;$K36/12*S$50/R$18,$K36-SUM($G63:R63),$K36/12*S$50/R$18))</f>
        <v>0</v>
      </c>
      <c r="T63" s="36"/>
      <c r="U63" s="36"/>
      <c r="V63" s="36"/>
      <c r="W63" s="36"/>
      <c r="X63" s="36"/>
    </row>
    <row r="64" spans="1:24" x14ac:dyDescent="0.25">
      <c r="A64" s="38">
        <v>41912</v>
      </c>
      <c r="B64" s="1" t="s">
        <v>48</v>
      </c>
      <c r="D64" s="37"/>
      <c r="E64" s="36"/>
      <c r="F64" s="36"/>
      <c r="G64" s="36"/>
      <c r="H64" s="36"/>
      <c r="I64" s="36"/>
      <c r="J64" s="36"/>
      <c r="K64" s="36"/>
      <c r="L64" s="36"/>
      <c r="M64" s="36">
        <f>$L36/12*M$50/L$18/2</f>
        <v>99.344844030520619</v>
      </c>
      <c r="N64" s="36">
        <f>$L36/12*N$50/M$18</f>
        <v>198.68968806104124</v>
      </c>
      <c r="O64" s="36">
        <f>IF($L36-SUM($G64:N64)&lt;=0,0,IF($L36-SUM($G64:N64)&lt;$L36/12*O$50/N$18,$L36-SUM($G64:N64),$L36/12*O$50/N$18))</f>
        <v>317.90350089766599</v>
      </c>
      <c r="P64" s="36">
        <f>IF($L36-SUM($G64:O64)&lt;=0,0,IF($L36-SUM($G64:O64)&lt;$L36/12*P$50/O$18,$L36-SUM($G64:O64),$L36/12*P$50/O$18))</f>
        <v>317.90350089766599</v>
      </c>
      <c r="Q64" s="36">
        <f>IF($L36-SUM($G64:P64)&lt;=0,0,IF($L36-SUM($G64:P64)&lt;$L36/12*Q$50/P$18,$L36-SUM($G64:P64),$L36/12*Q$50/P$18))</f>
        <v>317.90350089766599</v>
      </c>
      <c r="R64" s="36">
        <f>IF($L36-SUM($G64:Q64)&lt;=0,0,IF($L36-SUM($G64:Q64)&lt;$L36/12*R$50/Q$18,$L36-SUM($G64:Q64),$L36/12*R$50/Q$18))</f>
        <v>317.90350089766599</v>
      </c>
      <c r="S64" s="36">
        <f>IF($L36-SUM($G64:R64)&lt;=0,0,IF($L36-SUM($G64:R64)&lt;$L36/12*S$50/R$18,$L36-SUM($G64:R64),$L36/12*S$50/R$18))</f>
        <v>19.868968806104476</v>
      </c>
      <c r="T64" s="36"/>
      <c r="U64" s="36"/>
      <c r="V64" s="36"/>
      <c r="W64" s="36"/>
      <c r="X64" s="36"/>
    </row>
    <row r="65" spans="1:25" x14ac:dyDescent="0.25">
      <c r="A65" s="38">
        <v>42277</v>
      </c>
      <c r="B65" s="1" t="s">
        <v>48</v>
      </c>
      <c r="D65" s="37"/>
      <c r="E65" s="36"/>
      <c r="F65" s="36"/>
      <c r="G65" s="36"/>
      <c r="H65" s="36"/>
      <c r="I65" s="36"/>
      <c r="J65" s="36"/>
      <c r="K65" s="36"/>
      <c r="L65" s="36"/>
      <c r="M65" s="36"/>
      <c r="N65" s="36">
        <f>$M36/12*N$50/M$18/2</f>
        <v>26.181132181328543</v>
      </c>
      <c r="O65" s="36">
        <f>IF($M36-SUM($G65:N65)&lt;=0,0,IF($M36-SUM($G65:N65)&lt;$M36/12*O$50/N$18,$M36-SUM($G65:N65),$M36/12*O$50/N$18))</f>
        <v>83.779622980251332</v>
      </c>
      <c r="P65" s="36">
        <f>IF($M36-SUM($G65:O65)&lt;=0,0,IF($M36-SUM($G65:O65)&lt;$M36/12*P$50/O$18,$M36-SUM($G65:O65),$M36/12*P$50/O$18))</f>
        <v>83.779622980251332</v>
      </c>
      <c r="Q65" s="36">
        <f>IF($M36-SUM($G65:P65)&lt;=0,0,IF($M36-SUM($G65:P65)&lt;$M36/12*Q$50/P$18,$M36-SUM($G65:P65),$M36/12*Q$50/P$18))</f>
        <v>83.779622980251332</v>
      </c>
      <c r="R65" s="36">
        <f>IF($M36-SUM($G65:Q65)&lt;=0,0,IF($M36-SUM($G65:Q65)&lt;$M36/12*R$50/Q$18,$M36-SUM($G65:Q65),$M36/12*R$50/Q$18))</f>
        <v>83.779622980251332</v>
      </c>
      <c r="S65" s="36">
        <f>IF($M36-SUM($G65:R65)&lt;=0,0,IF($M36-SUM($G65:R65)&lt;$M36/12*S$50/R$18,$M36-SUM($G65:R65),$M36/12*S$50/R$18))</f>
        <v>57.598490798922853</v>
      </c>
      <c r="T65" s="36"/>
      <c r="U65" s="36"/>
      <c r="V65" s="36"/>
      <c r="W65" s="36"/>
      <c r="X65" s="36"/>
    </row>
    <row r="66" spans="1:25" x14ac:dyDescent="0.25">
      <c r="A66" s="38">
        <v>42643</v>
      </c>
      <c r="B66" s="1" t="s">
        <v>48</v>
      </c>
      <c r="D66" s="36"/>
      <c r="E66" s="36"/>
      <c r="F66" s="36"/>
      <c r="G66" s="36"/>
      <c r="H66" s="36"/>
      <c r="I66" s="36"/>
      <c r="J66" s="36"/>
      <c r="K66" s="36"/>
      <c r="L66" s="36"/>
      <c r="M66" s="36"/>
      <c r="N66" s="36"/>
      <c r="O66" s="36">
        <f>0.5*IF($N42-SUM($N66:N66)&lt;=0,0,IF($N42-SUM($N66:N66)&lt;$N42/12*O$50/N$18,$N42-SUM($N66:N66),$N42/12*O$50/N$18))</f>
        <v>108.70352574483547</v>
      </c>
      <c r="P66" s="36">
        <f>IF($N42-SUM($N66:O66)&lt;=0,0,IF($N42-SUM($N66:O66)&lt;$N42/12*P$50/O$18,$N42-SUM($N66:O66),$N42/12*P$50/O$18))</f>
        <v>217.40705148967095</v>
      </c>
      <c r="Q66" s="36">
        <f>IF($N42-SUM($N66:P66)&lt;=0,0,IF($N42-SUM($N66:P66)&lt;$N42/12*Q$50/P$18,$N42-SUM($N66:P66),$N42/12*Q$50/P$18))</f>
        <v>217.40705148967095</v>
      </c>
      <c r="R66" s="36">
        <f>IF($N42-SUM($N66:Q66)&lt;=0,0,IF($N42-SUM($N66:Q66)&lt;$N42/12*R$50/Q$18,$N42-SUM($N66:Q66),$N42/12*R$50/Q$18))</f>
        <v>217.40705148967095</v>
      </c>
      <c r="S66" s="36">
        <f>IF($N42-SUM($N66:R66)&lt;=0,0,IF($N42-SUM($N66:R66)&lt;$N42/12*S$50/R$18,$N42-SUM($N66:R66),$N42/12*S$50/R$18))</f>
        <v>217.40705148967095</v>
      </c>
      <c r="T66" s="36">
        <f>(N$42-SUM(O$66:S$66))*K14</f>
        <v>123.24510248126228</v>
      </c>
      <c r="U66" s="36"/>
      <c r="V66" s="36"/>
      <c r="W66" s="36"/>
      <c r="X66" s="36"/>
    </row>
    <row r="67" spans="1:25" x14ac:dyDescent="0.25">
      <c r="A67" s="38">
        <v>43008</v>
      </c>
      <c r="B67" s="1" t="s">
        <v>48</v>
      </c>
      <c r="D67" s="36"/>
      <c r="E67" s="36"/>
      <c r="F67" s="36"/>
      <c r="G67" s="36"/>
      <c r="H67" s="36"/>
      <c r="I67" s="36"/>
      <c r="J67" s="36"/>
      <c r="K67" s="36"/>
      <c r="L67" s="36"/>
      <c r="M67" s="36"/>
      <c r="N67" s="36"/>
      <c r="O67" s="36"/>
      <c r="P67" s="36">
        <f>0.5*IF($O42-SUM($N67:O67)&lt;=0,0,IF($O42-SUM($N67:O67)&lt;$O42/12*P$50/O$18,$O42-SUM($N67:O67),$O42/12*P$50/O$18))</f>
        <v>96.958812986881</v>
      </c>
      <c r="Q67" s="36">
        <f>IF($O42-SUM($N67:P67)&lt;=0,0,IF($O42-SUM($N67:P67)&lt;$O42/12*Q$50/P$18,$O42-SUM($N67:P67),$O42/12*Q$50/P$18))</f>
        <v>193.917625973762</v>
      </c>
      <c r="R67" s="36">
        <f>IF($O42-SUM($N67:Q67)&lt;=0,0,IF($O42-SUM($N67:Q67)&lt;$O42/12*R$50/Q$18,$O42-SUM($N67:Q67),$O42/12*R$50/Q$18))</f>
        <v>193.917625973762</v>
      </c>
      <c r="S67" s="36">
        <f>IF($O42-SUM($N67:R67)&lt;=0,0,IF($O42-SUM($N67:R67)&lt;$O42/12*S$50/R$18,$O42-SUM($N67:R67),$O42/12*S$50/R$18))</f>
        <v>193.917625973762</v>
      </c>
      <c r="T67" s="36">
        <f>(($O$42-SUM($P$67:S$67))*$K$14)/1.5</f>
        <v>219.85853285163429</v>
      </c>
      <c r="U67" s="36">
        <f>T67*0.5</f>
        <v>109.92926642581715</v>
      </c>
      <c r="V67" s="36"/>
      <c r="W67" s="36"/>
      <c r="X67" s="36"/>
    </row>
    <row r="68" spans="1:25" x14ac:dyDescent="0.25">
      <c r="A68" s="38">
        <v>43373</v>
      </c>
      <c r="B68" s="1" t="s">
        <v>48</v>
      </c>
      <c r="D68" s="36"/>
      <c r="E68" s="36"/>
      <c r="F68" s="36"/>
      <c r="G68" s="36"/>
      <c r="H68" s="36"/>
      <c r="I68" s="36"/>
      <c r="J68" s="36"/>
      <c r="K68" s="36"/>
      <c r="L68" s="36"/>
      <c r="M68" s="36"/>
      <c r="N68" s="36"/>
      <c r="O68" s="36"/>
      <c r="P68" s="36"/>
      <c r="Q68" s="36">
        <f>0.5*IF($P42-SUM($N68:P68)&lt;=0,0,IF($P42-SUM($N68:P68)&lt;$P42/12*Q$50/P$18,$P42-SUM($N68:P68),$P42/12*Q$50/P$18))</f>
        <v>67.829988870396875</v>
      </c>
      <c r="R68" s="36">
        <f>IF($P42-SUM($N68:Q68)&lt;=0,0,IF($P42-SUM($N68:Q68)&lt;$P42/12*R$50/Q$18,$P42-SUM($N68:Q68),$P42/12*R$50/Q$18))</f>
        <v>135.65997774079375</v>
      </c>
      <c r="S68" s="36">
        <f>IF($P42-SUM($N68:R68)&lt;=0,0,IF($P42-SUM($N68:R68)&lt;$P42/12*S$50/R$18,$P42-SUM($N68:R68),$P42/12*S$50/R$18))</f>
        <v>135.65997774079375</v>
      </c>
      <c r="T68" s="36">
        <f>(($P$42-SUM($Q$68:S$68))*$K$14)/2.5</f>
        <v>153.80759496721507</v>
      </c>
      <c r="U68" s="36">
        <f>T68</f>
        <v>153.80759496721507</v>
      </c>
      <c r="V68" s="36">
        <f>U68*0.5</f>
        <v>76.903797483607534</v>
      </c>
      <c r="W68" s="36"/>
      <c r="X68" s="36"/>
    </row>
    <row r="69" spans="1:25" x14ac:dyDescent="0.25">
      <c r="A69" s="38">
        <v>43738</v>
      </c>
      <c r="B69" s="1" t="s">
        <v>48</v>
      </c>
      <c r="D69" s="36"/>
      <c r="E69" s="36"/>
      <c r="F69" s="36"/>
      <c r="G69" s="36"/>
      <c r="H69" s="36"/>
      <c r="I69" s="36"/>
      <c r="J69" s="36"/>
      <c r="K69" s="36"/>
      <c r="L69" s="36"/>
      <c r="M69" s="36"/>
      <c r="N69" s="36"/>
      <c r="O69" s="36"/>
      <c r="P69" s="36"/>
      <c r="Q69" s="36"/>
      <c r="R69" s="36">
        <f>0.5*IF($Q42-SUM($N69:Q69)&lt;=0,0,IF($Q42-SUM($N69:Q69)&lt;$Q42/12*R$50/Q$18,$Q42-SUM($N69:Q69),$Q42/12*R$50/Q$18))</f>
        <v>103.55856961398335</v>
      </c>
      <c r="S69" s="36">
        <f>IF($Q42-SUM($N69:R69)&lt;=0,0,IF($Q42-SUM($N69:R69)&lt;$Q42/12*S$50/R$18,$Q42-SUM($N69:R69),$Q42/12*S$50/R$18))</f>
        <v>207.1171392279667</v>
      </c>
      <c r="T69" s="36">
        <f>(($Q$42-SUM($Q$69:S$69))*$K$14)/3.5</f>
        <v>234.82378216227616</v>
      </c>
      <c r="U69" s="36">
        <f>T69</f>
        <v>234.82378216227616</v>
      </c>
      <c r="V69" s="36">
        <f>U69</f>
        <v>234.82378216227616</v>
      </c>
      <c r="W69" s="36">
        <f>V69*0.5</f>
        <v>117.41189108113808</v>
      </c>
      <c r="X69" s="36"/>
    </row>
    <row r="70" spans="1:25" x14ac:dyDescent="0.25">
      <c r="A70" s="38">
        <v>44104</v>
      </c>
      <c r="B70" s="1" t="s">
        <v>48</v>
      </c>
      <c r="D70" s="36"/>
      <c r="E70" s="36"/>
      <c r="F70" s="36"/>
      <c r="G70" s="36"/>
      <c r="H70" s="36"/>
      <c r="I70" s="36"/>
      <c r="J70" s="36"/>
      <c r="K70" s="36"/>
      <c r="L70" s="36"/>
      <c r="M70" s="36"/>
      <c r="N70" s="36"/>
      <c r="O70" s="36"/>
      <c r="P70" s="36"/>
      <c r="Q70" s="36"/>
      <c r="R70" s="36"/>
      <c r="S70" s="36">
        <f>0.5*IF($R42-SUM($N70:R70)&lt;=0,0,IF($R42-SUM($N70:R70)&lt;$R42/12*S$50/R$18,$R42-SUM($N70:R70),$R42/12*S$50/R$18))</f>
        <v>116.99988181476417</v>
      </c>
      <c r="T70" s="36">
        <f>(($R$42-SUM($P$70:S$70))*$K$14)/4.5</f>
        <v>265.30257092863917</v>
      </c>
      <c r="U70" s="36">
        <f>T70</f>
        <v>265.30257092863917</v>
      </c>
      <c r="V70" s="36">
        <f>U70</f>
        <v>265.30257092863917</v>
      </c>
      <c r="W70" s="36">
        <f>V70</f>
        <v>265.30257092863917</v>
      </c>
      <c r="X70" s="36">
        <f>W70*0.5</f>
        <v>132.65128546431959</v>
      </c>
    </row>
    <row r="71" spans="1:25" x14ac:dyDescent="0.25">
      <c r="A71" s="38">
        <v>44469</v>
      </c>
      <c r="B71" s="1" t="s">
        <v>48</v>
      </c>
      <c r="D71" s="36"/>
      <c r="E71" s="36"/>
      <c r="F71" s="36"/>
      <c r="G71" s="36"/>
      <c r="H71" s="36"/>
      <c r="I71" s="36"/>
      <c r="J71" s="36"/>
      <c r="K71" s="36"/>
      <c r="L71" s="36"/>
      <c r="M71" s="36"/>
      <c r="N71" s="36"/>
      <c r="O71" s="36"/>
      <c r="P71" s="36"/>
      <c r="Q71" s="36"/>
      <c r="R71" s="36"/>
      <c r="S71" s="36"/>
      <c r="T71" s="36">
        <f>0.5*IF($S45-SUM($N71:S71)&lt;=0,0,IF($S45-SUM($N71:S71)&lt;$S45/12*T$50/S$18,$S45-SUM($N71:S71),$S45/12*T$50/S$18))</f>
        <v>259.29115250000001</v>
      </c>
      <c r="U71" s="36">
        <f>IF($S45-SUM($N71:T71)&lt;=0,0,IF($S45-SUM($N71:T71)&lt;$S45/12*U$50/T$18,$S45-SUM($N71:T71),$S45/12*U$50/T$18))</f>
        <v>518.58230500000002</v>
      </c>
      <c r="V71" s="36">
        <f>IF($S45-SUM($N71:U71)&lt;=0,0,IF($S45-SUM($N71:U71)&lt;$S45/12*V$50/U$18,$S45-SUM($N71:U71),$S45/12*V$50/U$18))</f>
        <v>518.58230500000002</v>
      </c>
      <c r="W71" s="36">
        <f>IF($S45-SUM($N71:V71)&lt;=0,0,IF($S45-SUM($N71:V71)&lt;$S45/12*W$50/V$18,$S45-SUM($N71:V71),$S45/12*W$50/V$18))</f>
        <v>518.58230500000002</v>
      </c>
      <c r="X71" s="36">
        <f>IF($S45-SUM($N71:W71)&lt;=0,0,IF($S45-SUM($N71:W71)&lt;$S45/12*X$50/W$18,$S45-SUM($N71:W71),$S45/12*X$50/W$18))</f>
        <v>518.58230500000002</v>
      </c>
      <c r="Y71" s="36"/>
    </row>
    <row r="72" spans="1:25" x14ac:dyDescent="0.25">
      <c r="A72" s="38">
        <v>44834</v>
      </c>
      <c r="B72" s="1" t="s">
        <v>48</v>
      </c>
      <c r="D72" s="36"/>
      <c r="E72" s="36"/>
      <c r="F72" s="36"/>
      <c r="G72" s="36"/>
      <c r="H72" s="36"/>
      <c r="I72" s="36"/>
      <c r="J72" s="36"/>
      <c r="K72" s="36"/>
      <c r="L72" s="36"/>
      <c r="M72" s="36"/>
      <c r="N72" s="36"/>
      <c r="O72" s="36"/>
      <c r="P72" s="36"/>
      <c r="Q72" s="36"/>
      <c r="R72" s="36"/>
      <c r="S72" s="36"/>
      <c r="T72" s="36"/>
      <c r="U72" s="36">
        <f>0.5*IF($T45-SUM($N72:T72)&lt;=0,0,IF($T45-SUM($N72:T72)&lt;$T45/12*U$50/T$18,$T45-SUM($N72:T72),$T45/12*U$50/T$18))</f>
        <v>223.08171675000003</v>
      </c>
      <c r="V72" s="36">
        <f>IF($T45-SUM($N72:U72)&lt;=0,0,IF($T45-SUM($N72:U72)&lt;$T45/12*V$50/U$18,$T45-SUM($N72:U72),$T45/12*V$50/U$18))</f>
        <v>446.16343350000005</v>
      </c>
      <c r="W72" s="36">
        <f>IF($T45-SUM($N72:V72)&lt;=0,0,IF($T45-SUM($N72:V72)&lt;$T45/12*W$50/V$18,$T45-SUM($N72:V72),$T45/12*W$50/V$18))</f>
        <v>446.16343350000005</v>
      </c>
      <c r="X72" s="36">
        <f>IF($T45-SUM($N72:W72)&lt;=0,0,IF($T45-SUM($N72:W72)&lt;$T45/12*X$50/W$18,$T45-SUM($N72:W72),$T45/12*X$50/W$18))</f>
        <v>446.16343350000005</v>
      </c>
      <c r="Y72" s="36"/>
    </row>
    <row r="73" spans="1:25" x14ac:dyDescent="0.25">
      <c r="A73" s="38">
        <v>45199</v>
      </c>
      <c r="B73" s="1" t="s">
        <v>48</v>
      </c>
      <c r="D73" s="36"/>
      <c r="E73" s="36"/>
      <c r="F73" s="36"/>
      <c r="G73" s="36"/>
      <c r="H73" s="36"/>
      <c r="I73" s="36"/>
      <c r="J73" s="36"/>
      <c r="K73" s="36"/>
      <c r="L73" s="36"/>
      <c r="M73" s="36"/>
      <c r="N73" s="36"/>
      <c r="O73" s="36"/>
      <c r="P73" s="36"/>
      <c r="Q73" s="36"/>
      <c r="R73" s="36"/>
      <c r="S73" s="36"/>
      <c r="T73" s="36"/>
      <c r="U73" s="36"/>
      <c r="V73" s="36">
        <f>0.5*IF($U45-SUM($N73:U73)&lt;=0,0,IF($U45-SUM($N73:U73)&lt;$U45/12*V$50/U$18,$U45-SUM($N73:U73),$U45/12*V$50/U$18))</f>
        <v>174.32751349999998</v>
      </c>
      <c r="W73" s="36">
        <f>IF($U45-SUM($N73:V73)&lt;=0,0,IF($U45-SUM($N73:V73)&lt;$U45/12*W$50/V$18,$U45-SUM($N73:V73),$U45/12*W$50/V$18))</f>
        <v>348.65502699999996</v>
      </c>
      <c r="X73" s="36">
        <f>IF($U45-SUM($N73:W73)&lt;=0,0,IF($U45-SUM($N73:W73)&lt;$U45/12*X$50/W$18,$U45-SUM($N73:W73),$U45/12*X$50/W$18))</f>
        <v>348.65502699999996</v>
      </c>
    </row>
    <row r="74" spans="1:25" x14ac:dyDescent="0.25">
      <c r="A74" s="38">
        <v>45565</v>
      </c>
      <c r="B74" s="1" t="s">
        <v>48</v>
      </c>
      <c r="D74" s="36"/>
      <c r="E74" s="36"/>
      <c r="F74" s="36"/>
      <c r="G74" s="36"/>
      <c r="H74" s="36"/>
      <c r="I74" s="36"/>
      <c r="J74" s="36"/>
      <c r="K74" s="36"/>
      <c r="L74" s="36"/>
      <c r="M74" s="36"/>
      <c r="N74" s="36"/>
      <c r="O74" s="36"/>
      <c r="P74" s="36"/>
      <c r="Q74" s="36"/>
      <c r="R74" s="36"/>
      <c r="S74" s="36"/>
      <c r="T74" s="36"/>
      <c r="U74" s="36"/>
      <c r="V74" s="36"/>
      <c r="W74" s="36">
        <f>0.5*IF($V45-SUM($N74:V74)&lt;=0,0,IF($V45-SUM($N74:V74)&lt;$V45/12*W$50/V$18,$V45-SUM($N74:V74),$V45/12*W$50/V$18))</f>
        <v>155.28942999999998</v>
      </c>
      <c r="X74" s="36">
        <f>IF($V45-SUM($N74:W74)&lt;=0,0,IF($V45-SUM($N74:W74)&lt;$V45/12*X$50/W$18,$V45-SUM($N74:W74),$V45/12*X$50/W$18))</f>
        <v>310.57885999999996</v>
      </c>
    </row>
    <row r="75" spans="1:25" x14ac:dyDescent="0.25">
      <c r="A75" s="38">
        <v>45930</v>
      </c>
      <c r="B75" s="1" t="s">
        <v>48</v>
      </c>
      <c r="D75" s="36"/>
      <c r="E75" s="36"/>
      <c r="F75" s="36"/>
      <c r="G75" s="36"/>
      <c r="H75" s="36"/>
      <c r="I75" s="36"/>
      <c r="J75" s="36"/>
      <c r="K75" s="36"/>
      <c r="L75" s="36"/>
      <c r="M75" s="36"/>
      <c r="N75" s="36"/>
      <c r="O75" s="36"/>
      <c r="P75" s="36"/>
      <c r="Q75" s="36"/>
      <c r="R75" s="36"/>
      <c r="S75" s="36"/>
      <c r="T75" s="36"/>
      <c r="U75" s="36"/>
      <c r="V75" s="36"/>
      <c r="W75" s="36"/>
      <c r="X75" s="36">
        <f>0.5*IF($W45-SUM($N75:W75)&lt;=0,0,IF($W45-SUM($N75:W75)&lt;$W45/12*X$50/W$18,$W45-SUM($N75:W75),$W45/12*X$50/W$18))</f>
        <v>148.00943000000001</v>
      </c>
    </row>
    <row r="77" spans="1:25" x14ac:dyDescent="0.25">
      <c r="B77" s="26"/>
      <c r="C77" s="23" t="s">
        <v>65</v>
      </c>
      <c r="D77" s="24">
        <f t="shared" ref="D77:S77" si="12">D49</f>
        <v>39386</v>
      </c>
      <c r="E77" s="24">
        <f t="shared" si="12"/>
        <v>39538</v>
      </c>
      <c r="F77" s="24">
        <f t="shared" si="12"/>
        <v>39721</v>
      </c>
      <c r="G77" s="24">
        <f t="shared" si="12"/>
        <v>40086</v>
      </c>
      <c r="H77" s="24">
        <f t="shared" si="12"/>
        <v>40268</v>
      </c>
      <c r="I77" s="24">
        <f t="shared" si="12"/>
        <v>40451</v>
      </c>
      <c r="J77" s="24">
        <f t="shared" si="12"/>
        <v>40816</v>
      </c>
      <c r="K77" s="24">
        <f t="shared" si="12"/>
        <v>41182</v>
      </c>
      <c r="L77" s="24">
        <f t="shared" si="12"/>
        <v>41547</v>
      </c>
      <c r="M77" s="24">
        <f t="shared" si="12"/>
        <v>41912</v>
      </c>
      <c r="N77" s="24">
        <f t="shared" si="12"/>
        <v>42277</v>
      </c>
      <c r="O77" s="24">
        <f t="shared" si="12"/>
        <v>42643</v>
      </c>
      <c r="P77" s="24">
        <f t="shared" si="12"/>
        <v>43008</v>
      </c>
      <c r="Q77" s="24">
        <f t="shared" si="12"/>
        <v>43373</v>
      </c>
      <c r="R77" s="24">
        <f t="shared" si="12"/>
        <v>43738</v>
      </c>
      <c r="S77" s="24">
        <f t="shared" si="12"/>
        <v>44104</v>
      </c>
    </row>
    <row r="78" spans="1:25" x14ac:dyDescent="0.25">
      <c r="B78" s="26"/>
      <c r="C78" s="20" t="s">
        <v>46</v>
      </c>
      <c r="D78" s="24"/>
      <c r="E78" s="24"/>
      <c r="F78" s="24"/>
      <c r="G78" s="24"/>
      <c r="H78" s="24"/>
      <c r="I78" s="24"/>
      <c r="J78" s="24"/>
      <c r="K78" s="24"/>
      <c r="L78" s="24"/>
      <c r="M78" s="24"/>
      <c r="N78" s="24"/>
      <c r="O78" s="24"/>
      <c r="P78" s="24"/>
      <c r="Q78" s="24"/>
      <c r="R78" s="24"/>
      <c r="S78" s="24"/>
    </row>
    <row r="79" spans="1:25" x14ac:dyDescent="0.25">
      <c r="A79" s="115" t="s">
        <v>224</v>
      </c>
      <c r="B79" s="1" t="s">
        <v>48</v>
      </c>
      <c r="C79" s="1" t="s">
        <v>49</v>
      </c>
      <c r="D79" s="29">
        <f t="shared" ref="D79:S79" si="13">SUM(D53:D76)</f>
        <v>0</v>
      </c>
      <c r="E79" s="29">
        <f t="shared" si="13"/>
        <v>775.35052025608229</v>
      </c>
      <c r="F79" s="29">
        <f t="shared" si="13"/>
        <v>996.61690686494535</v>
      </c>
      <c r="G79" s="29">
        <f t="shared" si="13"/>
        <v>2300.1747729710587</v>
      </c>
      <c r="H79" s="29">
        <f t="shared" si="13"/>
        <v>1265.6796311467238</v>
      </c>
      <c r="I79" s="29">
        <f t="shared" si="13"/>
        <v>1696.6295643350707</v>
      </c>
      <c r="J79" s="29">
        <f t="shared" si="13"/>
        <v>3522.08464482813</v>
      </c>
      <c r="K79" s="29">
        <f t="shared" si="13"/>
        <v>3670.7791297922236</v>
      </c>
      <c r="L79" s="29">
        <f t="shared" si="13"/>
        <v>3773.7104302859398</v>
      </c>
      <c r="M79" s="29">
        <f t="shared" si="13"/>
        <v>3890.6289109861195</v>
      </c>
      <c r="N79" s="29">
        <f t="shared" si="13"/>
        <v>4016.1548871979685</v>
      </c>
      <c r="O79" s="29">
        <f t="shared" si="13"/>
        <v>3967.11515092328</v>
      </c>
      <c r="P79" s="29">
        <f t="shared" si="13"/>
        <v>1665.2285410003667</v>
      </c>
      <c r="Q79" s="29">
        <f t="shared" si="13"/>
        <v>1197.0054461812267</v>
      </c>
      <c r="R79" s="29">
        <f t="shared" si="13"/>
        <v>1076.8294400336499</v>
      </c>
      <c r="S79" s="29">
        <f t="shared" si="13"/>
        <v>948.56913585198492</v>
      </c>
    </row>
    <row r="80" spans="1:25" x14ac:dyDescent="0.25">
      <c r="A80" s="134"/>
    </row>
    <row r="81" spans="1:18" x14ac:dyDescent="0.25">
      <c r="A81" s="115" t="s">
        <v>208</v>
      </c>
      <c r="B81" s="26"/>
      <c r="C81" s="23" t="s">
        <v>65</v>
      </c>
      <c r="D81" s="24">
        <v>44469</v>
      </c>
      <c r="E81" s="24">
        <v>44834</v>
      </c>
      <c r="F81" s="24">
        <v>45199</v>
      </c>
      <c r="G81" s="24">
        <v>45565</v>
      </c>
      <c r="H81" s="24">
        <v>45930</v>
      </c>
    </row>
    <row r="82" spans="1:18" x14ac:dyDescent="0.25">
      <c r="A82" s="134" t="s">
        <v>71</v>
      </c>
      <c r="B82" s="1" t="s">
        <v>48</v>
      </c>
      <c r="C82" s="1" t="s">
        <v>62</v>
      </c>
      <c r="D82" s="29">
        <f>SUM(T53:T70)</f>
        <v>997.03758339102706</v>
      </c>
      <c r="E82" s="29">
        <f>SUM(U53:U70)</f>
        <v>763.86321448394756</v>
      </c>
      <c r="F82" s="29">
        <f>SUM(V53:V70)</f>
        <v>577.03015057452285</v>
      </c>
      <c r="G82" s="29">
        <f>SUM(W53:W70)</f>
        <v>382.71446200977726</v>
      </c>
      <c r="H82" s="29">
        <f>SUM(X53:X70)</f>
        <v>132.65128546431959</v>
      </c>
    </row>
    <row r="83" spans="1:18" x14ac:dyDescent="0.25">
      <c r="A83" s="134" t="s">
        <v>72</v>
      </c>
      <c r="B83" s="1" t="s">
        <v>48</v>
      </c>
      <c r="C83" s="1" t="s">
        <v>62</v>
      </c>
      <c r="D83" s="29">
        <f>SUM(T71:T75)</f>
        <v>259.29115250000001</v>
      </c>
      <c r="E83" s="29">
        <f>SUM(U71:U75)</f>
        <v>741.66402175000007</v>
      </c>
      <c r="F83" s="29">
        <f>SUM(V71:V75)</f>
        <v>1139.0732519999999</v>
      </c>
      <c r="G83" s="29">
        <f>SUM(W71:W75)</f>
        <v>1468.6901955000001</v>
      </c>
      <c r="H83" s="29">
        <f>SUM(X71:X75)</f>
        <v>1771.9890555000002</v>
      </c>
    </row>
    <row r="84" spans="1:18" x14ac:dyDescent="0.25">
      <c r="A84" s="115" t="s">
        <v>225</v>
      </c>
      <c r="B84" s="1" t="s">
        <v>48</v>
      </c>
      <c r="C84" s="1" t="s">
        <v>62</v>
      </c>
      <c r="D84" s="29">
        <f>D82+D83</f>
        <v>1256.328735891027</v>
      </c>
      <c r="E84" s="29">
        <f>E82+E83</f>
        <v>1505.5272362339476</v>
      </c>
      <c r="F84" s="29">
        <f>F82+F83</f>
        <v>1716.1034025745228</v>
      </c>
      <c r="G84" s="29">
        <f>G82+G83</f>
        <v>1851.4046575097773</v>
      </c>
      <c r="H84" s="29">
        <f>H82+H83</f>
        <v>1904.6403409643199</v>
      </c>
    </row>
    <row r="85" spans="1:18" ht="14.25" customHeight="1" x14ac:dyDescent="0.25"/>
    <row r="86" spans="1:18" ht="14.25" customHeight="1" x14ac:dyDescent="0.25"/>
    <row r="88" spans="1:18" x14ac:dyDescent="0.25">
      <c r="A88" s="7" t="s">
        <v>78</v>
      </c>
      <c r="B88" s="18"/>
    </row>
    <row r="89" spans="1:18" x14ac:dyDescent="0.25">
      <c r="B89" s="26"/>
      <c r="C89" s="23" t="s">
        <v>65</v>
      </c>
      <c r="D89" s="24">
        <v>39538</v>
      </c>
      <c r="E89" s="24">
        <v>39721</v>
      </c>
      <c r="F89" s="24">
        <v>40086</v>
      </c>
      <c r="G89" s="24">
        <v>40268</v>
      </c>
      <c r="H89" s="24">
        <v>40451</v>
      </c>
      <c r="I89" s="24">
        <v>40816</v>
      </c>
      <c r="J89" s="24">
        <v>41182</v>
      </c>
      <c r="K89" s="24">
        <v>41547</v>
      </c>
      <c r="L89" s="24">
        <v>41912</v>
      </c>
      <c r="M89" s="24">
        <v>42277</v>
      </c>
      <c r="N89" s="24">
        <v>42643</v>
      </c>
      <c r="O89" s="24">
        <v>43008</v>
      </c>
      <c r="P89" s="24">
        <v>43373</v>
      </c>
      <c r="Q89" s="24">
        <v>43738</v>
      </c>
      <c r="R89" s="24">
        <v>44104</v>
      </c>
    </row>
    <row r="90" spans="1:18" x14ac:dyDescent="0.25">
      <c r="A90" s="16" t="s">
        <v>54</v>
      </c>
      <c r="B90" s="20" t="s">
        <v>35</v>
      </c>
      <c r="C90" s="20" t="s">
        <v>46</v>
      </c>
      <c r="D90" s="24"/>
      <c r="E90" s="24"/>
      <c r="F90" s="24"/>
      <c r="G90" s="24"/>
      <c r="H90" s="24"/>
      <c r="I90" s="24"/>
      <c r="J90" s="24"/>
      <c r="K90" s="24"/>
      <c r="L90" s="24"/>
      <c r="M90" s="24"/>
      <c r="N90" s="24"/>
      <c r="O90" s="24"/>
      <c r="P90" s="24"/>
      <c r="Q90" s="24"/>
      <c r="R90" s="24"/>
    </row>
    <row r="91" spans="1:18" x14ac:dyDescent="0.25">
      <c r="A91" s="1" t="s">
        <v>74</v>
      </c>
      <c r="B91" s="60" t="s">
        <v>48</v>
      </c>
      <c r="C91" s="1" t="s">
        <v>49</v>
      </c>
      <c r="D91" s="29">
        <f>'RAB Inputs'!D21</f>
        <v>16552.87475049901</v>
      </c>
      <c r="E91" s="29">
        <f t="shared" ref="E91:M91" si="14">D95</f>
        <v>17894.307474871937</v>
      </c>
      <c r="F91" s="29">
        <f t="shared" si="14"/>
        <v>18160.370710177893</v>
      </c>
      <c r="G91" s="29">
        <f t="shared" si="14"/>
        <v>19514.847844406802</v>
      </c>
      <c r="H91" s="29">
        <f t="shared" si="14"/>
        <v>21284.341637978705</v>
      </c>
      <c r="I91" s="29">
        <f t="shared" si="14"/>
        <v>20635.531193930885</v>
      </c>
      <c r="J91" s="29">
        <f t="shared" si="14"/>
        <v>18126.835687343329</v>
      </c>
      <c r="K91" s="29">
        <f t="shared" si="14"/>
        <v>15821.779178736026</v>
      </c>
      <c r="L91" s="29">
        <f t="shared" si="14"/>
        <v>12329.246935164629</v>
      </c>
      <c r="M91" s="29">
        <f t="shared" si="14"/>
        <v>10028.13552866684</v>
      </c>
      <c r="N91" s="29">
        <f>M95</f>
        <v>6430.878756370128</v>
      </c>
      <c r="O91" s="29">
        <f>N95</f>
        <v>3550.798862895203</v>
      </c>
      <c r="P91" s="29">
        <f>O95</f>
        <v>2855.1584517636466</v>
      </c>
      <c r="Q91" s="29">
        <f>P95</f>
        <v>2336.452894286389</v>
      </c>
      <c r="R91" s="29">
        <f>Q95</f>
        <v>2295.2091503925726</v>
      </c>
    </row>
    <row r="92" spans="1:18" x14ac:dyDescent="0.25">
      <c r="A92" s="1" t="s">
        <v>79</v>
      </c>
      <c r="B92" s="60" t="s">
        <v>48</v>
      </c>
      <c r="C92" s="1" t="s">
        <v>49</v>
      </c>
      <c r="D92" s="29">
        <f t="shared" ref="D92:R92" si="15">SUM(D34:D36)</f>
        <v>2116.7832446290081</v>
      </c>
      <c r="E92" s="29">
        <f t="shared" si="15"/>
        <v>1262.6801421709006</v>
      </c>
      <c r="F92" s="29">
        <f t="shared" si="15"/>
        <v>3654.6519071999674</v>
      </c>
      <c r="G92" s="29">
        <f t="shared" si="15"/>
        <v>3035.1734247186259</v>
      </c>
      <c r="H92" s="29">
        <f t="shared" si="15"/>
        <v>1047.8191202872531</v>
      </c>
      <c r="I92" s="29">
        <f t="shared" si="15"/>
        <v>1013.3891382405744</v>
      </c>
      <c r="J92" s="29">
        <f t="shared" si="15"/>
        <v>1365.722621184919</v>
      </c>
      <c r="K92" s="29">
        <f t="shared" si="15"/>
        <v>281.17818671454216</v>
      </c>
      <c r="L92" s="29">
        <f t="shared" si="15"/>
        <v>1589.5175044883301</v>
      </c>
      <c r="M92" s="29">
        <f t="shared" si="15"/>
        <v>418.89811490125669</v>
      </c>
      <c r="N92" s="29">
        <f t="shared" si="15"/>
        <v>0</v>
      </c>
      <c r="O92" s="29">
        <f t="shared" si="15"/>
        <v>0</v>
      </c>
      <c r="P92" s="29">
        <f t="shared" si="15"/>
        <v>0</v>
      </c>
      <c r="Q92" s="29">
        <f t="shared" si="15"/>
        <v>0</v>
      </c>
      <c r="R92" s="29">
        <f t="shared" si="15"/>
        <v>0</v>
      </c>
    </row>
    <row r="93" spans="1:18" x14ac:dyDescent="0.25">
      <c r="A93" s="1" t="s">
        <v>210</v>
      </c>
      <c r="B93" s="60" t="s">
        <v>48</v>
      </c>
      <c r="C93" s="1" t="s">
        <v>49</v>
      </c>
      <c r="D93" s="29"/>
      <c r="E93" s="29"/>
      <c r="F93" s="29"/>
      <c r="G93" s="29"/>
      <c r="H93" s="29"/>
      <c r="I93" s="29"/>
      <c r="J93" s="29"/>
      <c r="K93" s="29"/>
      <c r="L93" s="29"/>
      <c r="M93" s="29"/>
      <c r="N93" s="29">
        <f>N42</f>
        <v>1087.0352574483547</v>
      </c>
      <c r="O93" s="29">
        <f>O42</f>
        <v>969.58812986881003</v>
      </c>
      <c r="P93" s="29">
        <f>P42</f>
        <v>678.2998887039688</v>
      </c>
      <c r="Q93" s="29">
        <f>Q42</f>
        <v>1035.5856961398335</v>
      </c>
      <c r="R93" s="29">
        <f>R42</f>
        <v>1169.9988181476417</v>
      </c>
    </row>
    <row r="94" spans="1:18" x14ac:dyDescent="0.25">
      <c r="A94" s="1" t="s">
        <v>81</v>
      </c>
      <c r="B94" s="60" t="s">
        <v>48</v>
      </c>
      <c r="C94" s="1" t="s">
        <v>49</v>
      </c>
      <c r="D94" s="29">
        <f t="shared" ref="D94:R94" si="16">E79</f>
        <v>775.35052025608229</v>
      </c>
      <c r="E94" s="29">
        <f t="shared" si="16"/>
        <v>996.61690686494535</v>
      </c>
      <c r="F94" s="29">
        <f t="shared" si="16"/>
        <v>2300.1747729710587</v>
      </c>
      <c r="G94" s="29">
        <f t="shared" si="16"/>
        <v>1265.6796311467238</v>
      </c>
      <c r="H94" s="29">
        <f t="shared" si="16"/>
        <v>1696.6295643350707</v>
      </c>
      <c r="I94" s="29">
        <f t="shared" si="16"/>
        <v>3522.08464482813</v>
      </c>
      <c r="J94" s="29">
        <f t="shared" si="16"/>
        <v>3670.7791297922236</v>
      </c>
      <c r="K94" s="29">
        <f t="shared" si="16"/>
        <v>3773.7104302859398</v>
      </c>
      <c r="L94" s="29">
        <f t="shared" si="16"/>
        <v>3890.6289109861195</v>
      </c>
      <c r="M94" s="29">
        <f t="shared" si="16"/>
        <v>4016.1548871979685</v>
      </c>
      <c r="N94" s="29">
        <f t="shared" si="16"/>
        <v>3967.11515092328</v>
      </c>
      <c r="O94" s="29">
        <f t="shared" si="16"/>
        <v>1665.2285410003667</v>
      </c>
      <c r="P94" s="29">
        <f t="shared" si="16"/>
        <v>1197.0054461812267</v>
      </c>
      <c r="Q94" s="29">
        <f t="shared" si="16"/>
        <v>1076.8294400336499</v>
      </c>
      <c r="R94" s="29">
        <f t="shared" si="16"/>
        <v>948.56913585198492</v>
      </c>
    </row>
    <row r="95" spans="1:18" x14ac:dyDescent="0.25">
      <c r="A95" s="1" t="s">
        <v>76</v>
      </c>
      <c r="B95" s="60" t="s">
        <v>48</v>
      </c>
      <c r="C95" s="1" t="s">
        <v>49</v>
      </c>
      <c r="D95" s="29">
        <f>D91+D92+D93-D94</f>
        <v>17894.307474871937</v>
      </c>
      <c r="E95" s="29">
        <f t="shared" ref="E95:R95" si="17">E91+E92+E93-E94</f>
        <v>18160.370710177893</v>
      </c>
      <c r="F95" s="29">
        <f t="shared" si="17"/>
        <v>19514.847844406802</v>
      </c>
      <c r="G95" s="29">
        <f t="shared" si="17"/>
        <v>21284.341637978705</v>
      </c>
      <c r="H95" s="29">
        <f t="shared" si="17"/>
        <v>20635.531193930885</v>
      </c>
      <c r="I95" s="29">
        <f t="shared" si="17"/>
        <v>18126.835687343329</v>
      </c>
      <c r="J95" s="29">
        <f t="shared" si="17"/>
        <v>15821.779178736026</v>
      </c>
      <c r="K95" s="29">
        <f t="shared" si="17"/>
        <v>12329.246935164629</v>
      </c>
      <c r="L95" s="29">
        <f t="shared" si="17"/>
        <v>10028.13552866684</v>
      </c>
      <c r="M95" s="29">
        <f t="shared" si="17"/>
        <v>6430.878756370128</v>
      </c>
      <c r="N95" s="29">
        <f t="shared" si="17"/>
        <v>3550.798862895203</v>
      </c>
      <c r="O95" s="29">
        <f t="shared" si="17"/>
        <v>2855.1584517636466</v>
      </c>
      <c r="P95" s="29">
        <f t="shared" si="17"/>
        <v>2336.452894286389</v>
      </c>
      <c r="Q95" s="29">
        <f t="shared" si="17"/>
        <v>2295.2091503925726</v>
      </c>
      <c r="R95" s="29">
        <f t="shared" si="17"/>
        <v>2516.6388326882293</v>
      </c>
    </row>
    <row r="96" spans="1:18" x14ac:dyDescent="0.25">
      <c r="A96" s="1" t="s">
        <v>77</v>
      </c>
      <c r="B96" s="60" t="s">
        <v>48</v>
      </c>
      <c r="C96" s="1" t="s">
        <v>49</v>
      </c>
      <c r="D96" s="29">
        <f t="shared" ref="D96:R96" si="18">(D91+D95)/2</f>
        <v>17223.591112685473</v>
      </c>
      <c r="E96" s="29">
        <f t="shared" si="18"/>
        <v>18027.339092524915</v>
      </c>
      <c r="F96" s="29">
        <f t="shared" si="18"/>
        <v>18837.609277292348</v>
      </c>
      <c r="G96" s="29">
        <f t="shared" si="18"/>
        <v>20399.594741192755</v>
      </c>
      <c r="H96" s="29">
        <f t="shared" si="18"/>
        <v>20959.936415954795</v>
      </c>
      <c r="I96" s="29">
        <f t="shared" si="18"/>
        <v>19381.183440637105</v>
      </c>
      <c r="J96" s="29">
        <f t="shared" si="18"/>
        <v>16974.307433039678</v>
      </c>
      <c r="K96" s="29">
        <f t="shared" si="18"/>
        <v>14075.513056950327</v>
      </c>
      <c r="L96" s="29">
        <f t="shared" si="18"/>
        <v>11178.691231915735</v>
      </c>
      <c r="M96" s="29">
        <f t="shared" si="18"/>
        <v>8229.5071425184833</v>
      </c>
      <c r="N96" s="29">
        <f t="shared" si="18"/>
        <v>4990.8388096326653</v>
      </c>
      <c r="O96" s="29">
        <f t="shared" si="18"/>
        <v>3202.978657329425</v>
      </c>
      <c r="P96" s="29">
        <f t="shared" si="18"/>
        <v>2595.8056730250178</v>
      </c>
      <c r="Q96" s="29">
        <f t="shared" si="18"/>
        <v>2315.831022339481</v>
      </c>
      <c r="R96" s="29">
        <f t="shared" si="18"/>
        <v>2405.9239915404009</v>
      </c>
    </row>
    <row r="100" spans="1:9" x14ac:dyDescent="0.25">
      <c r="A100" s="115" t="s">
        <v>216</v>
      </c>
      <c r="B100" s="134"/>
    </row>
    <row r="101" spans="1:9" x14ac:dyDescent="0.25">
      <c r="A101" s="134"/>
    </row>
    <row r="102" spans="1:9" x14ac:dyDescent="0.25">
      <c r="A102" s="115" t="s">
        <v>213</v>
      </c>
    </row>
    <row r="103" spans="1:9" x14ac:dyDescent="0.25">
      <c r="A103" s="1" t="s">
        <v>82</v>
      </c>
      <c r="D103" s="40">
        <v>0.93745800262644219</v>
      </c>
    </row>
    <row r="104" spans="1:9" x14ac:dyDescent="0.25">
      <c r="A104" s="1" t="s">
        <v>44</v>
      </c>
      <c r="D104" s="14">
        <v>6.2541997373557812E-2</v>
      </c>
    </row>
    <row r="106" spans="1:9" x14ac:dyDescent="0.25">
      <c r="A106" s="136" t="s">
        <v>217</v>
      </c>
      <c r="B106" s="20" t="s">
        <v>35</v>
      </c>
      <c r="C106" s="20" t="s">
        <v>46</v>
      </c>
      <c r="D106" s="21" t="s">
        <v>20</v>
      </c>
      <c r="E106" s="21" t="s">
        <v>21</v>
      </c>
      <c r="F106" s="21" t="s">
        <v>22</v>
      </c>
      <c r="G106" s="21" t="s">
        <v>23</v>
      </c>
      <c r="H106" s="21" t="s">
        <v>24</v>
      </c>
      <c r="I106" s="21" t="s">
        <v>47</v>
      </c>
    </row>
    <row r="107" spans="1:9" x14ac:dyDescent="0.25">
      <c r="A107" s="1" t="s">
        <v>82</v>
      </c>
      <c r="B107" s="60" t="s">
        <v>48</v>
      </c>
      <c r="C107" s="1" t="s">
        <v>49</v>
      </c>
      <c r="D107" s="125">
        <f>'RAB Inputs'!N36</f>
        <v>3999.2616251784443</v>
      </c>
      <c r="E107" s="125">
        <f>'RAB Inputs'!O36</f>
        <v>1762.9726765238149</v>
      </c>
      <c r="F107" s="125">
        <f>'RAB Inputs'!P36</f>
        <v>1363.870779847397</v>
      </c>
      <c r="G107" s="125">
        <f>'RAB Inputs'!Q36</f>
        <v>1312.7862152154398</v>
      </c>
      <c r="H107" s="125">
        <f>'RAB Inputs'!R36</f>
        <v>1272.6674596050275</v>
      </c>
      <c r="I107" s="29">
        <f>SUM(D107:H107)</f>
        <v>9711.5587563701229</v>
      </c>
    </row>
    <row r="108" spans="1:9" x14ac:dyDescent="0.25">
      <c r="A108" s="1" t="s">
        <v>44</v>
      </c>
      <c r="B108" s="60" t="s">
        <v>48</v>
      </c>
      <c r="C108" s="1" t="s">
        <v>49</v>
      </c>
      <c r="D108" s="29">
        <f>'RAB Inputs'!N51</f>
        <v>116.32743267504486</v>
      </c>
      <c r="E108" s="29">
        <f>'RAB Inputs'!O51</f>
        <v>116.32743267504486</v>
      </c>
      <c r="F108" s="29">
        <f>'RAB Inputs'!P51</f>
        <v>116.32743267504486</v>
      </c>
      <c r="G108" s="29">
        <f>'RAB Inputs'!Q51</f>
        <v>116.32743267504486</v>
      </c>
      <c r="H108" s="29">
        <f>'RAB Inputs'!R51</f>
        <v>116.32743267504486</v>
      </c>
      <c r="I108" s="29">
        <f>SUM(D108:H108)</f>
        <v>581.6371633752243</v>
      </c>
    </row>
    <row r="109" spans="1:9" x14ac:dyDescent="0.25">
      <c r="A109" s="1" t="s">
        <v>83</v>
      </c>
      <c r="B109" s="60" t="s">
        <v>48</v>
      </c>
      <c r="C109" s="1" t="s">
        <v>49</v>
      </c>
      <c r="D109" s="29">
        <f>'RAB Inputs'!N56</f>
        <v>0</v>
      </c>
      <c r="E109" s="29">
        <f>'RAB Inputs'!O56</f>
        <v>0</v>
      </c>
      <c r="F109" s="29">
        <f>'RAB Inputs'!P56</f>
        <v>0</v>
      </c>
      <c r="G109" s="29">
        <f>'RAB Inputs'!Q56</f>
        <v>850</v>
      </c>
      <c r="H109" s="29">
        <f>'RAB Inputs'!R56</f>
        <v>850</v>
      </c>
      <c r="I109" s="29">
        <f>SUM(D109:H109)</f>
        <v>1700</v>
      </c>
    </row>
    <row r="111" spans="1:9" x14ac:dyDescent="0.25">
      <c r="A111" s="136" t="s">
        <v>218</v>
      </c>
      <c r="B111" s="26"/>
      <c r="C111" s="26"/>
      <c r="D111" s="21" t="s">
        <v>20</v>
      </c>
      <c r="E111" s="21" t="s">
        <v>21</v>
      </c>
      <c r="F111" s="21" t="s">
        <v>22</v>
      </c>
      <c r="G111" s="21" t="s">
        <v>23</v>
      </c>
      <c r="H111" s="21" t="s">
        <v>24</v>
      </c>
      <c r="I111" s="21" t="s">
        <v>47</v>
      </c>
    </row>
    <row r="112" spans="1:9" x14ac:dyDescent="0.25">
      <c r="A112" s="1" t="s">
        <v>82</v>
      </c>
      <c r="B112" s="60" t="s">
        <v>48</v>
      </c>
      <c r="C112" s="1" t="s">
        <v>49</v>
      </c>
      <c r="D112" s="29">
        <f>('RAB Inputs'!D$11*$D103)/F12</f>
        <v>2937.7510677600244</v>
      </c>
      <c r="E112" s="29">
        <f>('RAB Inputs'!E$11*$D103)/G12</f>
        <v>1846.8394303497021</v>
      </c>
      <c r="F112" s="29">
        <f>('RAB Inputs'!F$11*$D103)/H12</f>
        <v>1314.1771546970208</v>
      </c>
      <c r="G112" s="29">
        <f>('RAB Inputs'!G$11*$D103)/I12</f>
        <v>1991.121906032794</v>
      </c>
      <c r="H112" s="29">
        <f>('RAB Inputs'!H$11*$D103)/J12</f>
        <v>2184.2255926184084</v>
      </c>
      <c r="I112" s="29">
        <f>SUM(D112:H112)</f>
        <v>10274.115151457951</v>
      </c>
    </row>
    <row r="113" spans="1:18" x14ac:dyDescent="0.25">
      <c r="A113" s="1" t="s">
        <v>44</v>
      </c>
      <c r="B113" s="60" t="s">
        <v>48</v>
      </c>
      <c r="C113" s="1" t="s">
        <v>49</v>
      </c>
      <c r="D113" s="29">
        <f>('RAB Inputs'!D$11*$D104)/F12</f>
        <v>195.99045402488056</v>
      </c>
      <c r="E113" s="29">
        <f>('RAB Inputs'!E$11*$D104)/G12</f>
        <v>123.21088142477616</v>
      </c>
      <c r="F113" s="29">
        <f>('RAB Inputs'!F$11*$D104)/H12</f>
        <v>87.674609344822343</v>
      </c>
      <c r="G113" s="29">
        <f>('RAB Inputs'!G$11*$D104)/I12</f>
        <v>132.8366077932545</v>
      </c>
      <c r="H113" s="29">
        <f>('RAB Inputs'!H$11*$D104)/J12</f>
        <v>145.71941451678327</v>
      </c>
      <c r="I113" s="29">
        <f>SUM(D113:H113)</f>
        <v>685.43196710451684</v>
      </c>
    </row>
    <row r="114" spans="1:18" x14ac:dyDescent="0.25">
      <c r="A114" s="1" t="s">
        <v>83</v>
      </c>
      <c r="B114" s="60" t="s">
        <v>48</v>
      </c>
      <c r="C114" s="1" t="s">
        <v>49</v>
      </c>
      <c r="D114" s="29">
        <f>D109</f>
        <v>0</v>
      </c>
      <c r="E114" s="29">
        <f>E109</f>
        <v>0</v>
      </c>
      <c r="F114" s="29">
        <f>F109</f>
        <v>0</v>
      </c>
      <c r="G114" s="29">
        <f>G109</f>
        <v>850</v>
      </c>
      <c r="H114" s="29">
        <f>H109</f>
        <v>850</v>
      </c>
      <c r="I114" s="29">
        <f>SUM(D114:H114)</f>
        <v>1700</v>
      </c>
    </row>
    <row r="116" spans="1:18" x14ac:dyDescent="0.25">
      <c r="A116" s="136" t="s">
        <v>219</v>
      </c>
      <c r="B116" s="26"/>
      <c r="C116" s="26"/>
      <c r="D116" s="21" t="s">
        <v>20</v>
      </c>
      <c r="E116" s="21" t="s">
        <v>21</v>
      </c>
      <c r="F116" s="21" t="s">
        <v>22</v>
      </c>
      <c r="G116" s="21" t="s">
        <v>23</v>
      </c>
      <c r="H116" s="21" t="s">
        <v>24</v>
      </c>
      <c r="I116" s="21" t="s">
        <v>47</v>
      </c>
    </row>
    <row r="117" spans="1:18" x14ac:dyDescent="0.25">
      <c r="A117" s="1" t="s">
        <v>82</v>
      </c>
      <c r="B117" s="60" t="s">
        <v>48</v>
      </c>
      <c r="C117" s="1" t="s">
        <v>49</v>
      </c>
      <c r="D117" s="29">
        <f>(D107-D112)*0.5</f>
        <v>530.75527870920996</v>
      </c>
      <c r="E117" s="29">
        <f>(E107-E112)*0.5</f>
        <v>-41.933376912943572</v>
      </c>
      <c r="F117" s="29">
        <f>(F107-F112)*0.5</f>
        <v>24.846812575188096</v>
      </c>
      <c r="G117" s="29">
        <f>(G107-G112)*0.5</f>
        <v>-339.16784540867707</v>
      </c>
      <c r="H117" s="29">
        <f>(H107-H112)*0.5</f>
        <v>-455.77906650669047</v>
      </c>
      <c r="I117" s="29">
        <f>SUM(D117:H117)</f>
        <v>-281.27819754391305</v>
      </c>
    </row>
    <row r="118" spans="1:18" x14ac:dyDescent="0.25">
      <c r="A118" s="1" t="s">
        <v>44</v>
      </c>
      <c r="B118" s="60" t="s">
        <v>48</v>
      </c>
      <c r="C118" s="1" t="s">
        <v>49</v>
      </c>
      <c r="D118" s="29">
        <f>(D108-D113)*0.5</f>
        <v>-39.831510674917851</v>
      </c>
      <c r="E118" s="29">
        <f t="shared" ref="E118:H118" si="19">(E108-E113)*0.5</f>
        <v>-3.4417243748656503</v>
      </c>
      <c r="F118" s="29">
        <f t="shared" si="19"/>
        <v>14.326411665111259</v>
      </c>
      <c r="G118" s="29">
        <f t="shared" si="19"/>
        <v>-8.2545875591048201</v>
      </c>
      <c r="H118" s="29">
        <f t="shared" si="19"/>
        <v>-14.695990920869207</v>
      </c>
      <c r="I118" s="29">
        <f>SUM(D118:H118)</f>
        <v>-51.89740186464627</v>
      </c>
    </row>
    <row r="119" spans="1:18" x14ac:dyDescent="0.25">
      <c r="A119" s="1" t="s">
        <v>83</v>
      </c>
      <c r="B119" s="60" t="s">
        <v>48</v>
      </c>
      <c r="C119" s="1" t="s">
        <v>49</v>
      </c>
      <c r="D119" s="29">
        <f>(D109-D114)*0.5</f>
        <v>0</v>
      </c>
      <c r="E119" s="29">
        <f>(E109-E114)*0.5</f>
        <v>0</v>
      </c>
      <c r="F119" s="29">
        <f>(F109-F114)*0.5</f>
        <v>0</v>
      </c>
      <c r="G119" s="29">
        <f>(G109-G114)*0.5</f>
        <v>0</v>
      </c>
      <c r="H119" s="29">
        <f>(H109-H114)*0.5</f>
        <v>0</v>
      </c>
      <c r="I119" s="29">
        <f>SUM(D119:H119)</f>
        <v>0</v>
      </c>
    </row>
    <row r="121" spans="1:18" x14ac:dyDescent="0.25">
      <c r="A121" s="136" t="s">
        <v>220</v>
      </c>
      <c r="B121" s="26"/>
      <c r="C121" s="26"/>
      <c r="D121" s="21" t="s">
        <v>20</v>
      </c>
      <c r="E121" s="21" t="s">
        <v>21</v>
      </c>
      <c r="F121" s="21" t="s">
        <v>22</v>
      </c>
      <c r="G121" s="21" t="s">
        <v>23</v>
      </c>
      <c r="H121" s="21" t="s">
        <v>24</v>
      </c>
      <c r="I121" s="21" t="s">
        <v>47</v>
      </c>
    </row>
    <row r="122" spans="1:18" x14ac:dyDescent="0.25">
      <c r="A122" s="1" t="s">
        <v>82</v>
      </c>
      <c r="B122" s="60" t="s">
        <v>48</v>
      </c>
      <c r="C122" s="1" t="s">
        <v>49</v>
      </c>
      <c r="D122" s="29">
        <f>D107-D117</f>
        <v>3468.5063464692344</v>
      </c>
      <c r="E122" s="29">
        <f t="shared" ref="E122:H122" si="20">E107-E117</f>
        <v>1804.9060534367586</v>
      </c>
      <c r="F122" s="29">
        <f t="shared" si="20"/>
        <v>1339.0239672722089</v>
      </c>
      <c r="G122" s="29">
        <f t="shared" si="20"/>
        <v>1651.9540606241169</v>
      </c>
      <c r="H122" s="29">
        <f t="shared" si="20"/>
        <v>1728.446526111718</v>
      </c>
      <c r="I122" s="29">
        <f>SUM(D122:H122)</f>
        <v>9992.8369539140367</v>
      </c>
    </row>
    <row r="123" spans="1:18" x14ac:dyDescent="0.25">
      <c r="A123" s="1" t="s">
        <v>44</v>
      </c>
      <c r="B123" s="60" t="s">
        <v>48</v>
      </c>
      <c r="C123" s="1" t="s">
        <v>49</v>
      </c>
      <c r="D123" s="29">
        <f>D108-D118</f>
        <v>156.15894334996273</v>
      </c>
      <c r="E123" s="29">
        <f t="shared" ref="E123:H123" si="21">E108-E118</f>
        <v>119.76915704991052</v>
      </c>
      <c r="F123" s="29">
        <f t="shared" si="21"/>
        <v>102.00102100993359</v>
      </c>
      <c r="G123" s="29">
        <f t="shared" si="21"/>
        <v>124.58202023414968</v>
      </c>
      <c r="H123" s="29">
        <f t="shared" si="21"/>
        <v>131.02342359591407</v>
      </c>
      <c r="I123" s="29">
        <f>SUM(D123:H123)</f>
        <v>633.53456523987063</v>
      </c>
    </row>
    <row r="124" spans="1:18" x14ac:dyDescent="0.25">
      <c r="A124" s="1" t="s">
        <v>83</v>
      </c>
      <c r="B124" s="60" t="s">
        <v>48</v>
      </c>
      <c r="C124" s="1" t="s">
        <v>49</v>
      </c>
      <c r="D124" s="29">
        <f>D109-D119</f>
        <v>0</v>
      </c>
      <c r="E124" s="29">
        <f>E109-E119</f>
        <v>0</v>
      </c>
      <c r="F124" s="29">
        <f>F109-F119</f>
        <v>0</v>
      </c>
      <c r="G124" s="29">
        <f>G109-G119</f>
        <v>850</v>
      </c>
      <c r="H124" s="29">
        <f>H109-H119</f>
        <v>850</v>
      </c>
      <c r="I124" s="29">
        <f>SUM(D124:H124)</f>
        <v>1700</v>
      </c>
    </row>
    <row r="127" spans="1:18" x14ac:dyDescent="0.25">
      <c r="A127" s="7" t="s">
        <v>221</v>
      </c>
      <c r="B127" s="18"/>
    </row>
    <row r="128" spans="1:18" x14ac:dyDescent="0.25">
      <c r="B128" s="26"/>
      <c r="C128" s="26" t="s">
        <v>65</v>
      </c>
      <c r="D128" s="28">
        <v>39538</v>
      </c>
      <c r="E128" s="28">
        <v>39721</v>
      </c>
      <c r="F128" s="28">
        <v>40086</v>
      </c>
      <c r="G128" s="28">
        <v>40268</v>
      </c>
      <c r="H128" s="28">
        <v>40451</v>
      </c>
      <c r="I128" s="28">
        <v>40816</v>
      </c>
      <c r="J128" s="28">
        <v>41182</v>
      </c>
      <c r="K128" s="28">
        <v>41547</v>
      </c>
      <c r="L128" s="28">
        <v>41912</v>
      </c>
      <c r="M128" s="28">
        <v>42277</v>
      </c>
      <c r="N128" s="28">
        <v>42643</v>
      </c>
      <c r="O128" s="28">
        <v>43008</v>
      </c>
      <c r="P128" s="28">
        <v>43373</v>
      </c>
      <c r="Q128" s="28">
        <v>43738</v>
      </c>
      <c r="R128" s="28">
        <v>44104</v>
      </c>
    </row>
    <row r="129" spans="1:18" x14ac:dyDescent="0.25">
      <c r="A129" s="16" t="s">
        <v>54</v>
      </c>
      <c r="B129" s="16" t="s">
        <v>35</v>
      </c>
      <c r="C129" s="16" t="s">
        <v>46</v>
      </c>
      <c r="D129" s="128"/>
      <c r="E129" s="128"/>
      <c r="F129" s="128"/>
      <c r="G129" s="128"/>
      <c r="H129" s="128"/>
      <c r="I129" s="128"/>
      <c r="J129" s="128"/>
      <c r="K129" s="128"/>
      <c r="L129" s="128"/>
      <c r="M129" s="128"/>
      <c r="N129" s="128"/>
      <c r="O129" s="128"/>
      <c r="P129" s="128"/>
      <c r="Q129" s="128"/>
      <c r="R129" s="128"/>
    </row>
    <row r="130" spans="1:18" x14ac:dyDescent="0.25">
      <c r="A130" s="1" t="s">
        <v>74</v>
      </c>
      <c r="B130" s="129" t="s">
        <v>48</v>
      </c>
      <c r="C130" s="1" t="s">
        <v>49</v>
      </c>
      <c r="D130" s="29">
        <v>16552.87475049901</v>
      </c>
      <c r="E130" s="29">
        <f>D134</f>
        <v>17894.307474871937</v>
      </c>
      <c r="F130" s="29">
        <f t="shared" ref="F130:R130" si="22">E134</f>
        <v>18160.370710177893</v>
      </c>
      <c r="G130" s="29">
        <f t="shared" si="22"/>
        <v>19514.847844406802</v>
      </c>
      <c r="H130" s="29">
        <f t="shared" si="22"/>
        <v>21284.341637978705</v>
      </c>
      <c r="I130" s="29">
        <f t="shared" si="22"/>
        <v>20635.531193930885</v>
      </c>
      <c r="J130" s="29">
        <f t="shared" si="22"/>
        <v>18126.835687343329</v>
      </c>
      <c r="K130" s="29">
        <f t="shared" si="22"/>
        <v>15821.779178736026</v>
      </c>
      <c r="L130" s="29">
        <f t="shared" si="22"/>
        <v>12329.246935164629</v>
      </c>
      <c r="M130" s="29">
        <f t="shared" si="22"/>
        <v>10028.13552866684</v>
      </c>
      <c r="N130" s="29">
        <f t="shared" si="22"/>
        <v>6430.878756370128</v>
      </c>
      <c r="O130" s="29">
        <f t="shared" si="22"/>
        <v>4049.4076673492486</v>
      </c>
      <c r="P130" s="29">
        <f t="shared" si="22"/>
        <v>3214.0897437812996</v>
      </c>
      <c r="Q130" s="29">
        <f>P134</f>
        <v>2553.3656652130594</v>
      </c>
      <c r="R130" s="29">
        <f t="shared" si="22"/>
        <v>1936.9973007287761</v>
      </c>
    </row>
    <row r="131" spans="1:18" x14ac:dyDescent="0.25">
      <c r="A131" s="134" t="s">
        <v>237</v>
      </c>
      <c r="B131" s="129" t="s">
        <v>48</v>
      </c>
      <c r="C131" s="1" t="s">
        <v>49</v>
      </c>
      <c r="D131" s="29">
        <f t="shared" ref="D131:R131" si="23">SUM(D34:D36)</f>
        <v>2116.7832446290081</v>
      </c>
      <c r="E131" s="29">
        <f t="shared" si="23"/>
        <v>1262.6801421709006</v>
      </c>
      <c r="F131" s="29">
        <f t="shared" si="23"/>
        <v>3654.6519071999674</v>
      </c>
      <c r="G131" s="29">
        <f t="shared" si="23"/>
        <v>3035.1734247186259</v>
      </c>
      <c r="H131" s="29">
        <f t="shared" si="23"/>
        <v>1047.8191202872531</v>
      </c>
      <c r="I131" s="29">
        <f t="shared" si="23"/>
        <v>1013.3891382405744</v>
      </c>
      <c r="J131" s="29">
        <f t="shared" si="23"/>
        <v>1365.722621184919</v>
      </c>
      <c r="K131" s="29">
        <f t="shared" si="23"/>
        <v>281.17818671454216</v>
      </c>
      <c r="L131" s="29">
        <f t="shared" si="23"/>
        <v>1589.5175044883301</v>
      </c>
      <c r="M131" s="29">
        <f t="shared" si="23"/>
        <v>418.89811490125669</v>
      </c>
      <c r="N131" s="29">
        <f t="shared" si="23"/>
        <v>0</v>
      </c>
      <c r="O131" s="29">
        <f t="shared" si="23"/>
        <v>0</v>
      </c>
      <c r="P131" s="29">
        <f t="shared" si="23"/>
        <v>0</v>
      </c>
      <c r="Q131" s="29">
        <f t="shared" si="23"/>
        <v>0</v>
      </c>
      <c r="R131" s="29">
        <f t="shared" si="23"/>
        <v>0</v>
      </c>
    </row>
    <row r="132" spans="1:18" x14ac:dyDescent="0.25">
      <c r="A132" s="134" t="s">
        <v>206</v>
      </c>
      <c r="B132" s="129" t="s">
        <v>48</v>
      </c>
      <c r="C132" s="1" t="s">
        <v>49</v>
      </c>
      <c r="D132" s="29"/>
      <c r="E132" s="29"/>
      <c r="F132" s="29"/>
      <c r="G132" s="29"/>
      <c r="H132" s="29"/>
      <c r="I132" s="29"/>
      <c r="J132" s="29"/>
      <c r="K132" s="29"/>
      <c r="L132" s="29"/>
      <c r="M132" s="29"/>
      <c r="N132" s="29">
        <f>D27</f>
        <v>1087.0352574483547</v>
      </c>
      <c r="O132" s="29">
        <f>E27</f>
        <v>969.58812986881003</v>
      </c>
      <c r="P132" s="29">
        <f>F27</f>
        <v>678.2998887039688</v>
      </c>
      <c r="Q132" s="29">
        <f>G27</f>
        <v>1035.5856961398335</v>
      </c>
      <c r="R132" s="29">
        <f>H27</f>
        <v>1169.9988181476417</v>
      </c>
    </row>
    <row r="133" spans="1:18" x14ac:dyDescent="0.25">
      <c r="A133" s="134" t="s">
        <v>100</v>
      </c>
      <c r="B133" s="129" t="s">
        <v>48</v>
      </c>
      <c r="C133" s="1" t="s">
        <v>49</v>
      </c>
      <c r="D133" s="29">
        <f t="shared" ref="D133:M133" si="24">E79</f>
        <v>775.35052025608229</v>
      </c>
      <c r="E133" s="29">
        <f t="shared" si="24"/>
        <v>996.61690686494535</v>
      </c>
      <c r="F133" s="29">
        <f t="shared" si="24"/>
        <v>2300.1747729710587</v>
      </c>
      <c r="G133" s="29">
        <f t="shared" si="24"/>
        <v>1265.6796311467238</v>
      </c>
      <c r="H133" s="29">
        <f t="shared" si="24"/>
        <v>1696.6295643350707</v>
      </c>
      <c r="I133" s="29">
        <f t="shared" si="24"/>
        <v>3522.08464482813</v>
      </c>
      <c r="J133" s="29">
        <f t="shared" si="24"/>
        <v>3670.7791297922236</v>
      </c>
      <c r="K133" s="29">
        <f t="shared" si="24"/>
        <v>3773.7104302859398</v>
      </c>
      <c r="L133" s="29">
        <f t="shared" si="24"/>
        <v>3890.6289109861195</v>
      </c>
      <c r="M133" s="29">
        <f t="shared" si="24"/>
        <v>4016.1548871979685</v>
      </c>
      <c r="N133" s="29">
        <f>D122</f>
        <v>3468.5063464692344</v>
      </c>
      <c r="O133" s="29">
        <f t="shared" ref="O133:R133" si="25">E122</f>
        <v>1804.9060534367586</v>
      </c>
      <c r="P133" s="29">
        <f t="shared" si="25"/>
        <v>1339.0239672722089</v>
      </c>
      <c r="Q133" s="29">
        <f t="shared" si="25"/>
        <v>1651.9540606241169</v>
      </c>
      <c r="R133" s="29">
        <f t="shared" si="25"/>
        <v>1728.446526111718</v>
      </c>
    </row>
    <row r="134" spans="1:18" x14ac:dyDescent="0.25">
      <c r="A134" s="1" t="s">
        <v>76</v>
      </c>
      <c r="B134" s="129" t="s">
        <v>48</v>
      </c>
      <c r="C134" s="1" t="s">
        <v>49</v>
      </c>
      <c r="D134" s="29">
        <f t="shared" ref="D134:R134" si="26">D130+D131+D132-D133</f>
        <v>17894.307474871937</v>
      </c>
      <c r="E134" s="29">
        <f t="shared" si="26"/>
        <v>18160.370710177893</v>
      </c>
      <c r="F134" s="29">
        <f t="shared" si="26"/>
        <v>19514.847844406802</v>
      </c>
      <c r="G134" s="29">
        <f t="shared" si="26"/>
        <v>21284.341637978705</v>
      </c>
      <c r="H134" s="29">
        <f t="shared" si="26"/>
        <v>20635.531193930885</v>
      </c>
      <c r="I134" s="29">
        <f t="shared" si="26"/>
        <v>18126.835687343329</v>
      </c>
      <c r="J134" s="29">
        <f t="shared" si="26"/>
        <v>15821.779178736026</v>
      </c>
      <c r="K134" s="29">
        <f t="shared" si="26"/>
        <v>12329.246935164629</v>
      </c>
      <c r="L134" s="29">
        <f t="shared" si="26"/>
        <v>10028.13552866684</v>
      </c>
      <c r="M134" s="29">
        <f t="shared" si="26"/>
        <v>6430.878756370128</v>
      </c>
      <c r="N134" s="29">
        <f t="shared" si="26"/>
        <v>4049.4076673492486</v>
      </c>
      <c r="O134" s="29">
        <f t="shared" si="26"/>
        <v>3214.0897437812996</v>
      </c>
      <c r="P134" s="29">
        <f t="shared" si="26"/>
        <v>2553.3656652130594</v>
      </c>
      <c r="Q134" s="29">
        <f t="shared" si="26"/>
        <v>1936.9973007287761</v>
      </c>
      <c r="R134" s="29">
        <f t="shared" si="26"/>
        <v>1378.5495927646998</v>
      </c>
    </row>
    <row r="135" spans="1:18" x14ac:dyDescent="0.25">
      <c r="A135" s="1" t="s">
        <v>77</v>
      </c>
      <c r="B135" s="129" t="s">
        <v>48</v>
      </c>
      <c r="C135" s="1" t="s">
        <v>49</v>
      </c>
      <c r="D135" s="29">
        <f t="shared" ref="D135:R135" si="27">(D130+D134)/2</f>
        <v>17223.591112685473</v>
      </c>
      <c r="E135" s="29">
        <f t="shared" si="27"/>
        <v>18027.339092524915</v>
      </c>
      <c r="F135" s="29">
        <f t="shared" si="27"/>
        <v>18837.609277292348</v>
      </c>
      <c r="G135" s="29">
        <f t="shared" si="27"/>
        <v>20399.594741192755</v>
      </c>
      <c r="H135" s="29">
        <f t="shared" si="27"/>
        <v>20959.936415954795</v>
      </c>
      <c r="I135" s="29">
        <f t="shared" si="27"/>
        <v>19381.183440637105</v>
      </c>
      <c r="J135" s="29">
        <f t="shared" si="27"/>
        <v>16974.307433039678</v>
      </c>
      <c r="K135" s="29">
        <f t="shared" si="27"/>
        <v>14075.513056950327</v>
      </c>
      <c r="L135" s="29">
        <f t="shared" si="27"/>
        <v>11178.691231915735</v>
      </c>
      <c r="M135" s="29">
        <f t="shared" si="27"/>
        <v>8229.5071425184833</v>
      </c>
      <c r="N135" s="29">
        <f t="shared" si="27"/>
        <v>5240.1432118596886</v>
      </c>
      <c r="O135" s="29">
        <f t="shared" si="27"/>
        <v>3631.7487055652741</v>
      </c>
      <c r="P135" s="29">
        <f t="shared" si="27"/>
        <v>2883.7277044971797</v>
      </c>
      <c r="Q135" s="29">
        <f t="shared" si="27"/>
        <v>2245.1814829709178</v>
      </c>
      <c r="R135" s="29">
        <f t="shared" si="27"/>
        <v>1657.773446746738</v>
      </c>
    </row>
    <row r="136" spans="1:18" ht="13.8" customHeight="1" x14ac:dyDescent="0.25">
      <c r="D136" s="3"/>
      <c r="E136" s="3"/>
      <c r="F136" s="3"/>
      <c r="G136" s="3"/>
      <c r="H136" s="3"/>
      <c r="I136" s="3"/>
      <c r="J136" s="3"/>
      <c r="K136" s="3"/>
      <c r="L136" s="3"/>
      <c r="M136" s="3"/>
      <c r="N136" s="3"/>
      <c r="O136" s="3"/>
      <c r="P136" s="3"/>
      <c r="Q136" s="3"/>
      <c r="R136" s="3"/>
    </row>
    <row r="137" spans="1:18" x14ac:dyDescent="0.25">
      <c r="A137" s="7" t="s">
        <v>222</v>
      </c>
      <c r="B137" s="18"/>
    </row>
    <row r="138" spans="1:18" ht="39.6" x14ac:dyDescent="0.25">
      <c r="A138" s="16" t="s">
        <v>108</v>
      </c>
      <c r="B138" s="20" t="s">
        <v>35</v>
      </c>
      <c r="C138" s="20" t="s">
        <v>46</v>
      </c>
      <c r="D138" s="65" t="s">
        <v>109</v>
      </c>
      <c r="E138" s="65" t="s">
        <v>223</v>
      </c>
      <c r="F138" s="65" t="s">
        <v>110</v>
      </c>
      <c r="G138" s="3"/>
      <c r="H138" s="3"/>
    </row>
    <row r="139" spans="1:18" x14ac:dyDescent="0.25">
      <c r="A139" s="1" t="s">
        <v>111</v>
      </c>
      <c r="B139" s="60" t="s">
        <v>48</v>
      </c>
      <c r="C139" s="1" t="s">
        <v>49</v>
      </c>
      <c r="D139" s="29">
        <f>SUM(N94:R94)</f>
        <v>8854.7477139905077</v>
      </c>
      <c r="E139" s="29">
        <f>I122</f>
        <v>9992.8369539140367</v>
      </c>
      <c r="F139" s="114">
        <f>D139-E139</f>
        <v>-1138.089239923529</v>
      </c>
      <c r="G139" s="3"/>
      <c r="H139" s="3"/>
    </row>
    <row r="141" spans="1:18" x14ac:dyDescent="0.25">
      <c r="A141" s="16" t="s">
        <v>112</v>
      </c>
      <c r="B141" s="20" t="s">
        <v>35</v>
      </c>
      <c r="C141" s="20" t="s">
        <v>46</v>
      </c>
      <c r="D141" s="20"/>
      <c r="E141" s="20"/>
      <c r="F141" s="65" t="s">
        <v>110</v>
      </c>
    </row>
    <row r="142" spans="1:18" x14ac:dyDescent="0.25">
      <c r="A142" s="1" t="s">
        <v>111</v>
      </c>
      <c r="B142" s="60" t="s">
        <v>48</v>
      </c>
      <c r="C142" s="1" t="s">
        <v>62</v>
      </c>
      <c r="F142" s="29">
        <f>F139*K14</f>
        <v>-1290.3346422860732</v>
      </c>
    </row>
    <row r="144" spans="1:18" x14ac:dyDescent="0.25">
      <c r="A144" s="7" t="s">
        <v>233</v>
      </c>
      <c r="B144" s="18"/>
    </row>
    <row r="145" spans="1:8" x14ac:dyDescent="0.25">
      <c r="B145" s="26"/>
      <c r="C145" s="26"/>
      <c r="D145" s="21" t="s">
        <v>27</v>
      </c>
      <c r="E145" s="21" t="s">
        <v>28</v>
      </c>
      <c r="F145" s="21" t="s">
        <v>29</v>
      </c>
      <c r="G145" s="21" t="s">
        <v>30</v>
      </c>
      <c r="H145" s="21" t="s">
        <v>36</v>
      </c>
    </row>
    <row r="146" spans="1:8" x14ac:dyDescent="0.25">
      <c r="A146" s="1" t="s">
        <v>114</v>
      </c>
      <c r="D146" s="22">
        <v>0.2</v>
      </c>
      <c r="E146" s="22">
        <v>0.2</v>
      </c>
      <c r="F146" s="22">
        <v>0.2</v>
      </c>
      <c r="G146" s="22">
        <v>0.2</v>
      </c>
      <c r="H146" s="22">
        <v>0.2</v>
      </c>
    </row>
    <row r="147" spans="1:8" x14ac:dyDescent="0.25">
      <c r="A147" s="115" t="s">
        <v>214</v>
      </c>
      <c r="B147" s="20" t="s">
        <v>35</v>
      </c>
      <c r="C147" s="20" t="s">
        <v>46</v>
      </c>
      <c r="D147" s="29"/>
      <c r="E147" s="29"/>
      <c r="F147" s="29"/>
      <c r="G147" s="29"/>
      <c r="H147" s="29"/>
    </row>
    <row r="148" spans="1:8" x14ac:dyDescent="0.25">
      <c r="A148" s="1" t="s">
        <v>111</v>
      </c>
      <c r="B148" s="60" t="s">
        <v>48</v>
      </c>
      <c r="C148" s="1" t="s">
        <v>62</v>
      </c>
      <c r="D148" s="114">
        <f>$F142*D$146</f>
        <v>-258.06692845721466</v>
      </c>
      <c r="E148" s="114">
        <f t="shared" ref="E148:H148" si="28">$F142*E$146</f>
        <v>-258.06692845721466</v>
      </c>
      <c r="F148" s="114">
        <f t="shared" si="28"/>
        <v>-258.06692845721466</v>
      </c>
      <c r="G148" s="114">
        <f t="shared" si="28"/>
        <v>-258.06692845721466</v>
      </c>
      <c r="H148" s="114">
        <f t="shared" si="28"/>
        <v>-258.06692845721466</v>
      </c>
    </row>
    <row r="151" spans="1:8" x14ac:dyDescent="0.25">
      <c r="A151" s="7" t="s">
        <v>173</v>
      </c>
      <c r="B151" s="18"/>
    </row>
    <row r="153" spans="1:8" x14ac:dyDescent="0.25">
      <c r="A153" s="16" t="s">
        <v>54</v>
      </c>
      <c r="B153" s="20" t="s">
        <v>35</v>
      </c>
      <c r="C153" s="20" t="s">
        <v>46</v>
      </c>
      <c r="D153" s="21" t="s">
        <v>27</v>
      </c>
      <c r="E153" s="21" t="s">
        <v>28</v>
      </c>
      <c r="F153" s="21" t="s">
        <v>29</v>
      </c>
      <c r="G153" s="21" t="s">
        <v>30</v>
      </c>
      <c r="H153" s="21" t="s">
        <v>36</v>
      </c>
    </row>
    <row r="154" spans="1:8" x14ac:dyDescent="0.25">
      <c r="A154" s="1" t="s">
        <v>74</v>
      </c>
      <c r="B154" s="60" t="s">
        <v>48</v>
      </c>
      <c r="C154" s="1" t="s">
        <v>62</v>
      </c>
      <c r="D154" s="29">
        <f>R134*K14</f>
        <v>1562.9620536375267</v>
      </c>
      <c r="E154" s="29">
        <f>D158</f>
        <v>3157.6117712037139</v>
      </c>
      <c r="F154" s="29">
        <f t="shared" ref="F154:H154" si="29">E158</f>
        <v>4140.9686309269819</v>
      </c>
      <c r="G154" s="29">
        <f t="shared" si="29"/>
        <v>4426.2072918096737</v>
      </c>
      <c r="H154" s="29">
        <f t="shared" si="29"/>
        <v>4385.7638627571114</v>
      </c>
    </row>
    <row r="155" spans="1:8" x14ac:dyDescent="0.25">
      <c r="A155" s="1" t="s">
        <v>85</v>
      </c>
      <c r="B155" s="60" t="s">
        <v>48</v>
      </c>
      <c r="C155" s="1" t="s">
        <v>62</v>
      </c>
      <c r="D155" s="29">
        <f>S45</f>
        <v>2592.911525</v>
      </c>
      <c r="E155" s="29">
        <f>T45</f>
        <v>2230.8171675000003</v>
      </c>
      <c r="F155" s="29">
        <f>U45</f>
        <v>1743.2751349999999</v>
      </c>
      <c r="G155" s="29">
        <f>V45</f>
        <v>1552.8942999999999</v>
      </c>
      <c r="H155" s="29">
        <f>W45</f>
        <v>1480.0943</v>
      </c>
    </row>
    <row r="156" spans="1:8" x14ac:dyDescent="0.25">
      <c r="A156" s="1" t="s">
        <v>86</v>
      </c>
      <c r="B156" s="60" t="s">
        <v>48</v>
      </c>
      <c r="C156" s="1" t="s">
        <v>62</v>
      </c>
      <c r="D156" s="29">
        <f>D84</f>
        <v>1256.328735891027</v>
      </c>
      <c r="E156" s="29">
        <f>E84</f>
        <v>1505.5272362339476</v>
      </c>
      <c r="F156" s="29">
        <f>F84</f>
        <v>1716.1034025745228</v>
      </c>
      <c r="G156" s="29">
        <f>G84</f>
        <v>1851.4046575097773</v>
      </c>
      <c r="H156" s="29">
        <f>H84</f>
        <v>1904.6403409643199</v>
      </c>
    </row>
    <row r="157" spans="1:8" x14ac:dyDescent="0.25">
      <c r="A157" s="134" t="s">
        <v>234</v>
      </c>
      <c r="B157" s="60" t="s">
        <v>48</v>
      </c>
      <c r="C157" s="1" t="s">
        <v>62</v>
      </c>
      <c r="D157" s="114">
        <f>D148</f>
        <v>-258.06692845721466</v>
      </c>
      <c r="E157" s="114">
        <f t="shared" ref="E157:H157" si="30">E148</f>
        <v>-258.06692845721466</v>
      </c>
      <c r="F157" s="114">
        <f t="shared" si="30"/>
        <v>-258.06692845721466</v>
      </c>
      <c r="G157" s="114">
        <f t="shared" si="30"/>
        <v>-258.06692845721466</v>
      </c>
      <c r="H157" s="114">
        <f t="shared" si="30"/>
        <v>-258.06692845721466</v>
      </c>
    </row>
    <row r="158" spans="1:8" x14ac:dyDescent="0.25">
      <c r="A158" s="1" t="s">
        <v>76</v>
      </c>
      <c r="B158" s="60" t="s">
        <v>48</v>
      </c>
      <c r="C158" s="1" t="s">
        <v>62</v>
      </c>
      <c r="D158" s="29">
        <f>D154+D155-D156-D157</f>
        <v>3157.6117712037139</v>
      </c>
      <c r="E158" s="29">
        <f t="shared" ref="E158:H158" si="31">E154+E155-E156-E157</f>
        <v>4140.9686309269819</v>
      </c>
      <c r="F158" s="29">
        <f t="shared" si="31"/>
        <v>4426.2072918096737</v>
      </c>
      <c r="G158" s="29">
        <f t="shared" si="31"/>
        <v>4385.7638627571114</v>
      </c>
      <c r="H158" s="29">
        <f t="shared" si="31"/>
        <v>4219.2847502500063</v>
      </c>
    </row>
    <row r="159" spans="1:8" x14ac:dyDescent="0.25">
      <c r="A159" s="1" t="s">
        <v>77</v>
      </c>
      <c r="B159" s="60" t="s">
        <v>48</v>
      </c>
      <c r="C159" s="1" t="s">
        <v>62</v>
      </c>
      <c r="D159" s="29">
        <f>AVERAGE(D154,D158)</f>
        <v>2360.2869124206204</v>
      </c>
      <c r="E159" s="29">
        <f t="shared" ref="E159:H159" si="32">AVERAGE(E154,E158)</f>
        <v>3649.2902010653479</v>
      </c>
      <c r="F159" s="29">
        <f t="shared" si="32"/>
        <v>4283.5879613683283</v>
      </c>
      <c r="G159" s="29">
        <f t="shared" si="32"/>
        <v>4405.9855772833926</v>
      </c>
      <c r="H159" s="29">
        <f t="shared" si="32"/>
        <v>4302.5243065035593</v>
      </c>
    </row>
    <row r="160" spans="1:8" x14ac:dyDescent="0.25">
      <c r="D160" s="3"/>
      <c r="E160" s="3"/>
      <c r="F160" s="3"/>
      <c r="G160" s="3"/>
      <c r="H160" s="3"/>
    </row>
    <row r="161" spans="1:13" x14ac:dyDescent="0.25">
      <c r="D161" s="29"/>
    </row>
    <row r="162" spans="1:13" x14ac:dyDescent="0.25">
      <c r="A162" s="7" t="s">
        <v>173</v>
      </c>
      <c r="B162" s="18"/>
    </row>
    <row r="164" spans="1:13" x14ac:dyDescent="0.25">
      <c r="A164" s="16" t="s">
        <v>54</v>
      </c>
      <c r="B164" s="20" t="s">
        <v>35</v>
      </c>
      <c r="C164" s="20" t="s">
        <v>46</v>
      </c>
      <c r="D164" s="21" t="s">
        <v>27</v>
      </c>
      <c r="E164" s="21" t="s">
        <v>28</v>
      </c>
      <c r="F164" s="21" t="s">
        <v>29</v>
      </c>
      <c r="G164" s="21" t="s">
        <v>30</v>
      </c>
      <c r="H164" s="21" t="s">
        <v>36</v>
      </c>
    </row>
    <row r="165" spans="1:13" x14ac:dyDescent="0.25">
      <c r="A165" s="1" t="s">
        <v>174</v>
      </c>
      <c r="B165" s="60" t="s">
        <v>48</v>
      </c>
      <c r="C165" s="1" t="s">
        <v>87</v>
      </c>
      <c r="D165" s="29">
        <f>(R134*$K$14)*K7</f>
        <v>1603.633928639247</v>
      </c>
      <c r="E165" s="29">
        <f>D168*(L5/K5)</f>
        <v>3304.5757094024898</v>
      </c>
      <c r="F165" s="29">
        <f>E168*(M5/L5)</f>
        <v>4420.3747165729937</v>
      </c>
      <c r="G165" s="29">
        <f>F168*(N5/M5)</f>
        <v>4819.3566476304313</v>
      </c>
      <c r="H165" s="29">
        <f>G168*(O5/N5)</f>
        <v>4870.8273268962757</v>
      </c>
    </row>
    <row r="166" spans="1:13" x14ac:dyDescent="0.25">
      <c r="A166" s="1" t="s">
        <v>175</v>
      </c>
      <c r="B166" s="60" t="s">
        <v>48</v>
      </c>
      <c r="C166" s="1" t="s">
        <v>87</v>
      </c>
      <c r="D166" s="29">
        <f>S45*K7</f>
        <v>2660.3850591078071</v>
      </c>
      <c r="E166" s="29">
        <f>T45*L7</f>
        <v>2334.6455352959115</v>
      </c>
      <c r="F166" s="29">
        <f>U45*M7</f>
        <v>1860.9001945178588</v>
      </c>
      <c r="G166" s="29">
        <f>V45*N7</f>
        <v>1690.8271516385666</v>
      </c>
      <c r="H166" s="29">
        <f>W45*O7</f>
        <v>1643.7920481864012</v>
      </c>
    </row>
    <row r="167" spans="1:13" x14ac:dyDescent="0.25">
      <c r="A167" s="134" t="s">
        <v>200</v>
      </c>
      <c r="B167" s="60" t="s">
        <v>48</v>
      </c>
      <c r="C167" s="1" t="s">
        <v>87</v>
      </c>
      <c r="D167" s="29">
        <f>(D156+D157)*K7</f>
        <v>1024.2388804897109</v>
      </c>
      <c r="E167" s="29">
        <f>(E156+E157)*L7</f>
        <v>1305.5205421758583</v>
      </c>
      <c r="F167" s="29">
        <f>(F156+F157)*M7</f>
        <v>1556.4154526296456</v>
      </c>
      <c r="G167" s="29">
        <f>(G156+G157)*N7</f>
        <v>1734.8628905471589</v>
      </c>
      <c r="H167" s="29">
        <f>(H156+H157)*O7</f>
        <v>1828.6836738945124</v>
      </c>
    </row>
    <row r="168" spans="1:13" x14ac:dyDescent="0.25">
      <c r="A168" s="1" t="s">
        <v>176</v>
      </c>
      <c r="B168" s="60" t="s">
        <v>48</v>
      </c>
      <c r="C168" s="1" t="s">
        <v>87</v>
      </c>
      <c r="D168" s="29">
        <f>D165+D166-D167</f>
        <v>3239.7801072573429</v>
      </c>
      <c r="E168" s="29">
        <f t="shared" ref="E168:H168" si="33">E165+E166-E167</f>
        <v>4333.700702522543</v>
      </c>
      <c r="F168" s="29">
        <f t="shared" si="33"/>
        <v>4724.8594584612074</v>
      </c>
      <c r="G168" s="29">
        <f t="shared" si="33"/>
        <v>4775.3209087218393</v>
      </c>
      <c r="H168" s="29">
        <f t="shared" si="33"/>
        <v>4685.9357011881648</v>
      </c>
    </row>
    <row r="169" spans="1:13" x14ac:dyDescent="0.25">
      <c r="A169" s="1" t="s">
        <v>77</v>
      </c>
      <c r="B169" s="60" t="s">
        <v>48</v>
      </c>
      <c r="C169" s="1" t="s">
        <v>87</v>
      </c>
      <c r="D169" s="29">
        <f>AVERAGE(D165,D168)</f>
        <v>2421.7070179482948</v>
      </c>
      <c r="E169" s="29">
        <f>AVERAGE(E165,E168)</f>
        <v>3819.1382059625166</v>
      </c>
      <c r="F169" s="29">
        <f>AVERAGE(F165,F168)</f>
        <v>4572.617087517101</v>
      </c>
      <c r="G169" s="29">
        <f>AVERAGE(G165,G168)</f>
        <v>4797.3387781761357</v>
      </c>
      <c r="H169" s="29">
        <f>AVERAGE(H165,H168)</f>
        <v>4778.3815140422203</v>
      </c>
      <c r="I169" s="61"/>
      <c r="J169" s="61"/>
      <c r="K169" s="61"/>
      <c r="L169" s="61"/>
      <c r="M169" s="61"/>
    </row>
    <row r="170" spans="1:13" x14ac:dyDescent="0.25">
      <c r="D170" s="29"/>
      <c r="E170" s="29"/>
      <c r="F170" s="29"/>
      <c r="G170" s="29"/>
      <c r="H170" s="29"/>
      <c r="I170" s="61"/>
      <c r="J170" s="61"/>
      <c r="K170" s="61"/>
      <c r="L170" s="61"/>
      <c r="M170" s="61"/>
    </row>
    <row r="171" spans="1:13" x14ac:dyDescent="0.25">
      <c r="D171" s="61"/>
      <c r="E171" s="61"/>
      <c r="F171" s="61"/>
      <c r="G171" s="61"/>
      <c r="H171" s="61"/>
      <c r="I171" s="61"/>
      <c r="J171" s="61"/>
      <c r="K171" s="61"/>
      <c r="L171" s="61"/>
      <c r="M171" s="61"/>
    </row>
    <row r="172" spans="1:13" x14ac:dyDescent="0.25">
      <c r="D172" s="29"/>
      <c r="E172" s="29"/>
      <c r="F172" s="29"/>
      <c r="G172" s="29"/>
      <c r="H172" s="29"/>
      <c r="I172" s="61"/>
      <c r="J172" s="61"/>
      <c r="K172" s="61"/>
      <c r="L172" s="61"/>
      <c r="M172" s="61"/>
    </row>
    <row r="173" spans="1:13" x14ac:dyDescent="0.25">
      <c r="D173" s="29"/>
      <c r="E173" s="29"/>
      <c r="F173" s="29"/>
      <c r="G173" s="29"/>
      <c r="H173" s="29"/>
      <c r="I173" s="61"/>
      <c r="J173" s="61"/>
      <c r="K173" s="61"/>
      <c r="L173" s="61"/>
      <c r="M173" s="61"/>
    </row>
    <row r="174" spans="1:13" x14ac:dyDescent="0.25">
      <c r="D174" s="29"/>
      <c r="E174" s="29"/>
      <c r="F174" s="29"/>
      <c r="G174" s="29"/>
      <c r="H174" s="29"/>
    </row>
    <row r="175" spans="1:13" x14ac:dyDescent="0.25">
      <c r="D175" s="29"/>
      <c r="E175" s="29"/>
      <c r="F175" s="29"/>
      <c r="G175" s="29"/>
      <c r="H175" s="29"/>
    </row>
    <row r="176" spans="1:13" x14ac:dyDescent="0.25">
      <c r="D176" s="29"/>
      <c r="E176" s="29"/>
      <c r="F176" s="29"/>
      <c r="G176" s="29"/>
      <c r="H176" s="29"/>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39"/>
  <sheetViews>
    <sheetView showGridLines="0" topLeftCell="D49" zoomScale="71" zoomScaleNormal="85" workbookViewId="0"/>
  </sheetViews>
  <sheetFormatPr defaultColWidth="9.109375" defaultRowHeight="13.2" x14ac:dyDescent="0.25"/>
  <cols>
    <col min="1" max="1" width="60" style="1" customWidth="1"/>
    <col min="2" max="2" width="19.33203125" style="1" bestFit="1" customWidth="1"/>
    <col min="3" max="3" width="17.33203125" style="1" bestFit="1" customWidth="1"/>
    <col min="4" max="4" width="12.33203125" style="1" bestFit="1" customWidth="1"/>
    <col min="5" max="5" width="13.109375" style="1" customWidth="1"/>
    <col min="6" max="42" width="12.33203125" style="1" bestFit="1" customWidth="1"/>
    <col min="43" max="55" width="10.109375" style="1" customWidth="1"/>
    <col min="56" max="16384" width="9.109375" style="1"/>
  </cols>
  <sheetData>
    <row r="1" spans="1:26" x14ac:dyDescent="0.25">
      <c r="A1" s="7" t="s">
        <v>33</v>
      </c>
      <c r="B1" s="18"/>
    </row>
    <row r="3" spans="1:26" x14ac:dyDescent="0.25">
      <c r="A3" s="7" t="s">
        <v>34</v>
      </c>
      <c r="B3" s="18"/>
      <c r="J3" s="19"/>
      <c r="K3" s="19">
        <v>1</v>
      </c>
      <c r="L3" s="19">
        <v>2</v>
      </c>
      <c r="M3" s="19">
        <v>3</v>
      </c>
      <c r="N3" s="19">
        <v>4</v>
      </c>
      <c r="O3" s="19">
        <v>5</v>
      </c>
    </row>
    <row r="4" spans="1:26" x14ac:dyDescent="0.25">
      <c r="B4" s="20" t="s">
        <v>35</v>
      </c>
      <c r="C4" s="20"/>
      <c r="D4" s="21" t="s">
        <v>18</v>
      </c>
      <c r="E4" s="21" t="s">
        <v>19</v>
      </c>
      <c r="F4" s="21" t="s">
        <v>20</v>
      </c>
      <c r="G4" s="21" t="s">
        <v>21</v>
      </c>
      <c r="H4" s="21" t="s">
        <v>22</v>
      </c>
      <c r="I4" s="21" t="s">
        <v>23</v>
      </c>
      <c r="J4" s="21" t="s">
        <v>24</v>
      </c>
      <c r="K4" s="21" t="s">
        <v>27</v>
      </c>
      <c r="L4" s="21" t="s">
        <v>28</v>
      </c>
      <c r="M4" s="21" t="s">
        <v>29</v>
      </c>
      <c r="N4" s="21" t="s">
        <v>30</v>
      </c>
      <c r="O4" s="21" t="s">
        <v>36</v>
      </c>
    </row>
    <row r="5" spans="1:26" x14ac:dyDescent="0.25">
      <c r="A5" s="2" t="s">
        <v>13</v>
      </c>
      <c r="B5" s="1" t="s">
        <v>11</v>
      </c>
      <c r="D5" s="62">
        <f>Inflation!G3</f>
        <v>99.6</v>
      </c>
      <c r="E5" s="62">
        <f>Inflation!H3</f>
        <v>99.9</v>
      </c>
      <c r="F5" s="62">
        <f>Inflation!I3</f>
        <v>100.6</v>
      </c>
      <c r="G5" s="62">
        <f>Inflation!J3</f>
        <v>103.2</v>
      </c>
      <c r="H5" s="62">
        <f>Inflation!K3</f>
        <v>105.5</v>
      </c>
      <c r="I5" s="62">
        <f>Inflation!L3</f>
        <v>107.6</v>
      </c>
      <c r="J5" s="62">
        <f>Inflation!M3</f>
        <v>108.6</v>
      </c>
      <c r="K5" s="63">
        <f>Inflation!N3</f>
        <v>110.4</v>
      </c>
      <c r="L5" s="63">
        <f>Inflation!O3</f>
        <v>112.608</v>
      </c>
      <c r="M5" s="63">
        <f>Inflation!P3</f>
        <v>114.86016000000001</v>
      </c>
      <c r="N5" s="63">
        <f>Inflation!Q3</f>
        <v>117.15736320000001</v>
      </c>
      <c r="O5" s="63">
        <f>Inflation!R3</f>
        <v>119.500510464</v>
      </c>
    </row>
    <row r="6" spans="1:26" x14ac:dyDescent="0.25">
      <c r="A6" s="1" t="s">
        <v>37</v>
      </c>
      <c r="B6" s="1" t="s">
        <v>38</v>
      </c>
      <c r="D6" s="22">
        <f>$J$5/D5</f>
        <v>1.0903614457831325</v>
      </c>
      <c r="E6" s="22">
        <f t="shared" ref="E6:O6" si="0">$J$5/E5</f>
        <v>1.087087087087087</v>
      </c>
      <c r="F6" s="22">
        <f t="shared" si="0"/>
        <v>1.0795228628230615</v>
      </c>
      <c r="G6" s="22">
        <f t="shared" si="0"/>
        <v>1.0523255813953487</v>
      </c>
      <c r="H6" s="22">
        <f t="shared" si="0"/>
        <v>1.0293838862559241</v>
      </c>
      <c r="I6" s="22">
        <f t="shared" si="0"/>
        <v>1.0092936802973977</v>
      </c>
      <c r="J6" s="22">
        <f t="shared" si="0"/>
        <v>1</v>
      </c>
      <c r="K6" s="22">
        <f t="shared" si="0"/>
        <v>0.98369565217391297</v>
      </c>
      <c r="L6" s="22">
        <f t="shared" si="0"/>
        <v>0.96440750213128723</v>
      </c>
      <c r="M6" s="22">
        <f t="shared" si="0"/>
        <v>0.94549755110910505</v>
      </c>
      <c r="N6" s="22">
        <f t="shared" si="0"/>
        <v>0.92695838344029913</v>
      </c>
      <c r="O6" s="22">
        <f t="shared" si="0"/>
        <v>0.90878272886303835</v>
      </c>
    </row>
    <row r="7" spans="1:26" x14ac:dyDescent="0.25">
      <c r="A7" s="1" t="s">
        <v>177</v>
      </c>
      <c r="B7" s="1" t="s">
        <v>38</v>
      </c>
      <c r="D7" s="22">
        <f>D5/$I$5</f>
        <v>0.92565055762081783</v>
      </c>
      <c r="E7" s="22">
        <f t="shared" ref="E7:O7" si="1">E5/$I$5</f>
        <v>0.92843866171003731</v>
      </c>
      <c r="F7" s="22">
        <f t="shared" si="1"/>
        <v>0.93494423791821557</v>
      </c>
      <c r="G7" s="22">
        <f t="shared" si="1"/>
        <v>0.9591078066914499</v>
      </c>
      <c r="H7" s="22">
        <f t="shared" si="1"/>
        <v>0.98048327137546476</v>
      </c>
      <c r="I7" s="22">
        <f t="shared" si="1"/>
        <v>1</v>
      </c>
      <c r="J7" s="22">
        <f t="shared" si="1"/>
        <v>1.0092936802973977</v>
      </c>
      <c r="K7" s="22">
        <f t="shared" si="1"/>
        <v>1.0260223048327139</v>
      </c>
      <c r="L7" s="22">
        <f t="shared" si="1"/>
        <v>1.0465427509293681</v>
      </c>
      <c r="M7" s="22">
        <f t="shared" si="1"/>
        <v>1.0674736059479555</v>
      </c>
      <c r="N7" s="22">
        <f t="shared" si="1"/>
        <v>1.0888230780669146</v>
      </c>
      <c r="O7" s="22">
        <f t="shared" si="1"/>
        <v>1.1105995396282529</v>
      </c>
    </row>
    <row r="8" spans="1:26" x14ac:dyDescent="0.25">
      <c r="D8" s="22"/>
      <c r="E8" s="22"/>
      <c r="F8" s="22"/>
      <c r="G8" s="22"/>
      <c r="H8" s="22"/>
      <c r="I8" s="22"/>
      <c r="J8" s="22"/>
      <c r="K8" s="22"/>
      <c r="L8" s="22"/>
      <c r="M8" s="22"/>
      <c r="N8" s="22"/>
      <c r="O8" s="22"/>
    </row>
    <row r="9" spans="1:26" x14ac:dyDescent="0.25">
      <c r="B9" s="20" t="s">
        <v>35</v>
      </c>
      <c r="C9" s="20"/>
      <c r="D9" s="21" t="s">
        <v>18</v>
      </c>
      <c r="E9" s="21" t="s">
        <v>19</v>
      </c>
      <c r="F9" s="21" t="s">
        <v>20</v>
      </c>
      <c r="G9" s="21" t="s">
        <v>21</v>
      </c>
      <c r="H9" s="21" t="s">
        <v>22</v>
      </c>
      <c r="I9" s="21" t="s">
        <v>23</v>
      </c>
      <c r="J9" s="21" t="s">
        <v>24</v>
      </c>
      <c r="K9" s="21" t="s">
        <v>27</v>
      </c>
      <c r="L9" s="21" t="s">
        <v>28</v>
      </c>
      <c r="M9" s="21" t="s">
        <v>29</v>
      </c>
      <c r="N9" s="21" t="s">
        <v>30</v>
      </c>
      <c r="O9" s="21" t="s">
        <v>36</v>
      </c>
    </row>
    <row r="10" spans="1:26" x14ac:dyDescent="0.25">
      <c r="A10" s="2" t="s">
        <v>14</v>
      </c>
      <c r="B10" s="1" t="s">
        <v>11</v>
      </c>
      <c r="D10" s="62">
        <f>Inflation!G7</f>
        <v>255.7</v>
      </c>
      <c r="E10" s="62">
        <f>Inflation!H7</f>
        <v>258</v>
      </c>
      <c r="F10" s="62">
        <f>Inflation!I7</f>
        <v>261.39999999999998</v>
      </c>
      <c r="G10" s="62">
        <f>Inflation!J7</f>
        <v>270.60000000000002</v>
      </c>
      <c r="H10" s="62">
        <f>Inflation!K7</f>
        <v>279.7</v>
      </c>
      <c r="I10" s="62">
        <f>Inflation!L7</f>
        <v>288.2</v>
      </c>
      <c r="J10" s="62">
        <f>Inflation!M7</f>
        <v>292.60000000000002</v>
      </c>
      <c r="K10" s="63">
        <f>Inflation!N7</f>
        <v>301.10000000000002</v>
      </c>
      <c r="L10" s="63">
        <f>Inflation!O7</f>
        <v>0</v>
      </c>
      <c r="M10" s="63">
        <f>Inflation!P7</f>
        <v>0</v>
      </c>
      <c r="N10" s="63">
        <f>Inflation!Q7</f>
        <v>0</v>
      </c>
      <c r="O10" s="63">
        <f>Inflation!R7</f>
        <v>0</v>
      </c>
      <c r="P10" s="22"/>
      <c r="Q10" s="22"/>
      <c r="R10" s="22"/>
      <c r="S10" s="22"/>
      <c r="T10" s="22"/>
      <c r="U10" s="22"/>
      <c r="V10" s="22"/>
      <c r="W10" s="22"/>
      <c r="X10" s="22"/>
      <c r="Y10" s="22"/>
      <c r="Z10" s="22"/>
    </row>
    <row r="11" spans="1:26" x14ac:dyDescent="0.25">
      <c r="A11" s="1" t="s">
        <v>106</v>
      </c>
      <c r="B11" s="1" t="s">
        <v>38</v>
      </c>
      <c r="D11" s="22">
        <f>$J$10/D10</f>
        <v>1.1443097379741887</v>
      </c>
      <c r="E11" s="22">
        <f t="shared" ref="E11:O11" si="2">$J$10/E10</f>
        <v>1.134108527131783</v>
      </c>
      <c r="F11" s="22">
        <f t="shared" si="2"/>
        <v>1.1193573068094875</v>
      </c>
      <c r="G11" s="22">
        <f t="shared" si="2"/>
        <v>1.0813008130081301</v>
      </c>
      <c r="H11" s="22">
        <f t="shared" si="2"/>
        <v>1.0461208437611729</v>
      </c>
      <c r="I11" s="22">
        <f t="shared" si="2"/>
        <v>1.0152671755725191</v>
      </c>
      <c r="J11" s="22">
        <f t="shared" si="2"/>
        <v>1</v>
      </c>
      <c r="K11" s="22">
        <f t="shared" si="2"/>
        <v>0.97177017602125537</v>
      </c>
      <c r="L11" s="22" t="e">
        <f t="shared" si="2"/>
        <v>#DIV/0!</v>
      </c>
      <c r="M11" s="22" t="e">
        <f t="shared" si="2"/>
        <v>#DIV/0!</v>
      </c>
      <c r="N11" s="22" t="e">
        <f t="shared" si="2"/>
        <v>#DIV/0!</v>
      </c>
      <c r="O11" s="22" t="e">
        <f t="shared" si="2"/>
        <v>#DIV/0!</v>
      </c>
      <c r="P11" s="3"/>
    </row>
    <row r="12" spans="1:26" x14ac:dyDescent="0.25">
      <c r="A12" s="1" t="s">
        <v>107</v>
      </c>
      <c r="B12" s="1" t="s">
        <v>38</v>
      </c>
      <c r="D12" s="22">
        <f>D10/$D$10</f>
        <v>1</v>
      </c>
      <c r="E12" s="22">
        <f t="shared" ref="E12:O12" si="3">E10/$D$10</f>
        <v>1.0089949159170903</v>
      </c>
      <c r="F12" s="22">
        <f t="shared" si="3"/>
        <v>1.0222917481423544</v>
      </c>
      <c r="G12" s="22">
        <f t="shared" si="3"/>
        <v>1.0582714118107157</v>
      </c>
      <c r="H12" s="22">
        <f t="shared" si="3"/>
        <v>1.0938599921783341</v>
      </c>
      <c r="I12" s="22">
        <f t="shared" si="3"/>
        <v>1.127102072741494</v>
      </c>
      <c r="J12" s="22">
        <f t="shared" si="3"/>
        <v>1.1443097379741887</v>
      </c>
      <c r="K12" s="22">
        <f t="shared" si="3"/>
        <v>1.1775518185373486</v>
      </c>
      <c r="L12" s="22">
        <f t="shared" si="3"/>
        <v>0</v>
      </c>
      <c r="M12" s="22">
        <f t="shared" si="3"/>
        <v>0</v>
      </c>
      <c r="N12" s="22">
        <f t="shared" si="3"/>
        <v>0</v>
      </c>
      <c r="O12" s="22">
        <f t="shared" si="3"/>
        <v>0</v>
      </c>
    </row>
    <row r="13" spans="1:26" x14ac:dyDescent="0.25">
      <c r="A13" s="16" t="s">
        <v>32</v>
      </c>
      <c r="B13" s="1" t="s">
        <v>38</v>
      </c>
      <c r="D13" s="22"/>
      <c r="E13" s="22"/>
      <c r="F13" s="22"/>
      <c r="G13" s="22"/>
      <c r="H13" s="22"/>
      <c r="I13" s="22"/>
      <c r="J13" s="22"/>
      <c r="K13" s="22"/>
      <c r="L13" s="22"/>
      <c r="M13" s="22"/>
    </row>
    <row r="14" spans="1:26" x14ac:dyDescent="0.25">
      <c r="A14" s="1" t="s">
        <v>39</v>
      </c>
      <c r="B14" s="1" t="s">
        <v>38</v>
      </c>
      <c r="J14" s="64">
        <f>J12/I6</f>
        <v>1.1337728158933951</v>
      </c>
    </row>
    <row r="15" spans="1:26" x14ac:dyDescent="0.25">
      <c r="D15" s="22"/>
      <c r="E15" s="22"/>
      <c r="F15" s="22"/>
      <c r="G15" s="22"/>
      <c r="H15" s="22"/>
      <c r="I15" s="22"/>
      <c r="J15" s="22"/>
      <c r="K15" s="22"/>
      <c r="L15" s="22"/>
      <c r="M15" s="22"/>
      <c r="N15" s="22"/>
      <c r="O15" s="22"/>
    </row>
    <row r="16" spans="1:26" x14ac:dyDescent="0.25">
      <c r="A16" s="7" t="s">
        <v>40</v>
      </c>
      <c r="B16" s="18"/>
    </row>
    <row r="17" spans="1:23" x14ac:dyDescent="0.25">
      <c r="B17" s="20" t="s">
        <v>35</v>
      </c>
      <c r="C17" s="23" t="s">
        <v>41</v>
      </c>
      <c r="D17" s="24">
        <v>39538</v>
      </c>
      <c r="E17" s="24">
        <v>39721</v>
      </c>
      <c r="F17" s="24">
        <v>40086</v>
      </c>
      <c r="G17" s="24">
        <v>40268</v>
      </c>
      <c r="H17" s="24">
        <v>40451</v>
      </c>
      <c r="I17" s="24">
        <v>40816</v>
      </c>
      <c r="J17" s="24">
        <v>41182</v>
      </c>
      <c r="K17" s="24">
        <v>41547</v>
      </c>
      <c r="L17" s="24">
        <v>41912</v>
      </c>
      <c r="M17" s="24">
        <v>42277</v>
      </c>
      <c r="N17" s="24">
        <v>42643</v>
      </c>
      <c r="O17" s="24">
        <v>43008</v>
      </c>
      <c r="P17" s="24">
        <v>43373</v>
      </c>
      <c r="Q17" s="24">
        <v>43738</v>
      </c>
      <c r="R17" s="24">
        <v>44104</v>
      </c>
      <c r="S17" s="24">
        <v>44469</v>
      </c>
      <c r="T17" s="24">
        <v>44834</v>
      </c>
      <c r="U17" s="24">
        <v>45199</v>
      </c>
      <c r="V17" s="24">
        <v>45565</v>
      </c>
      <c r="W17" s="24">
        <v>45930</v>
      </c>
    </row>
    <row r="18" spans="1:23" x14ac:dyDescent="0.25">
      <c r="A18" s="1" t="s">
        <v>44</v>
      </c>
      <c r="B18" s="1" t="s">
        <v>43</v>
      </c>
      <c r="D18" s="113">
        <f>'RAB Inputs'!D77</f>
        <v>25</v>
      </c>
      <c r="E18" s="113">
        <f>'RAB Inputs'!E77</f>
        <v>25</v>
      </c>
      <c r="F18" s="113">
        <f>'RAB Inputs'!F77</f>
        <v>25</v>
      </c>
      <c r="G18" s="113">
        <f>'RAB Inputs'!G77</f>
        <v>25</v>
      </c>
      <c r="H18" s="113">
        <f>'RAB Inputs'!H77</f>
        <v>25</v>
      </c>
      <c r="I18" s="113">
        <f>'RAB Inputs'!I77</f>
        <v>25</v>
      </c>
      <c r="J18" s="113">
        <f>'RAB Inputs'!J77</f>
        <v>25</v>
      </c>
      <c r="K18" s="113">
        <f>'RAB Inputs'!K77</f>
        <v>25</v>
      </c>
      <c r="L18" s="113">
        <f>'RAB Inputs'!L77</f>
        <v>25</v>
      </c>
      <c r="M18" s="113">
        <f>'RAB Inputs'!M77</f>
        <v>25</v>
      </c>
      <c r="N18" s="113">
        <f>'RAB Inputs'!N77</f>
        <v>25</v>
      </c>
      <c r="O18" s="113">
        <f>'RAB Inputs'!O77</f>
        <v>25</v>
      </c>
      <c r="P18" s="113">
        <f>'RAB Inputs'!P77</f>
        <v>25</v>
      </c>
      <c r="Q18" s="113">
        <f>'RAB Inputs'!Q77</f>
        <v>25</v>
      </c>
      <c r="R18" s="113">
        <f>'RAB Inputs'!R77</f>
        <v>25</v>
      </c>
      <c r="S18" s="113">
        <f>'RAB Inputs'!S77</f>
        <v>25</v>
      </c>
      <c r="T18" s="113">
        <f>'RAB Inputs'!T77</f>
        <v>25</v>
      </c>
      <c r="U18" s="113">
        <f>'RAB Inputs'!U77</f>
        <v>25</v>
      </c>
      <c r="V18" s="113">
        <f>'RAB Inputs'!V77</f>
        <v>25</v>
      </c>
      <c r="W18" s="113">
        <f>'RAB Inputs'!W77</f>
        <v>25</v>
      </c>
    </row>
    <row r="19" spans="1:23" x14ac:dyDescent="0.25">
      <c r="N19" s="3"/>
      <c r="O19" s="3"/>
      <c r="P19" s="3"/>
      <c r="Q19" s="3"/>
      <c r="R19" s="3"/>
      <c r="S19" s="3"/>
      <c r="T19" s="3"/>
      <c r="U19" s="3"/>
      <c r="V19" s="3"/>
      <c r="W19" s="3"/>
    </row>
    <row r="20" spans="1:23" x14ac:dyDescent="0.25">
      <c r="N20" s="3"/>
      <c r="O20" s="3"/>
      <c r="P20" s="3"/>
      <c r="Q20" s="3"/>
      <c r="R20" s="3"/>
      <c r="S20" s="3"/>
      <c r="T20" s="3"/>
      <c r="U20" s="3"/>
      <c r="V20" s="3"/>
      <c r="W20" s="3"/>
    </row>
    <row r="21" spans="1:23" x14ac:dyDescent="0.25">
      <c r="A21" s="7" t="s">
        <v>115</v>
      </c>
      <c r="B21" s="18"/>
    </row>
    <row r="22" spans="1:23" x14ac:dyDescent="0.25">
      <c r="B22" s="26"/>
      <c r="C22" s="23" t="s">
        <v>51</v>
      </c>
      <c r="D22" s="27">
        <v>42278</v>
      </c>
      <c r="E22" s="27">
        <v>42644</v>
      </c>
      <c r="F22" s="27">
        <v>43009</v>
      </c>
      <c r="G22" s="27">
        <v>43374</v>
      </c>
      <c r="H22" s="27">
        <v>43739</v>
      </c>
    </row>
    <row r="23" spans="1:23" x14ac:dyDescent="0.25">
      <c r="B23" s="26"/>
      <c r="C23" s="23" t="s">
        <v>52</v>
      </c>
      <c r="D23" s="28">
        <v>42643</v>
      </c>
      <c r="E23" s="28">
        <v>43008</v>
      </c>
      <c r="F23" s="28">
        <v>43373</v>
      </c>
      <c r="G23" s="28">
        <v>43738</v>
      </c>
      <c r="H23" s="28">
        <v>44104</v>
      </c>
    </row>
    <row r="24" spans="1:23" x14ac:dyDescent="0.25">
      <c r="B24" s="20" t="s">
        <v>35</v>
      </c>
      <c r="C24" s="20" t="s">
        <v>46</v>
      </c>
      <c r="D24" s="28"/>
      <c r="E24" s="28"/>
      <c r="F24" s="28"/>
      <c r="G24" s="28"/>
      <c r="H24" s="28"/>
    </row>
    <row r="25" spans="1:23" x14ac:dyDescent="0.25">
      <c r="A25" s="134" t="s">
        <v>205</v>
      </c>
      <c r="B25" s="1" t="s">
        <v>48</v>
      </c>
      <c r="C25" s="1" t="s">
        <v>49</v>
      </c>
      <c r="D25" s="29">
        <v>0</v>
      </c>
      <c r="E25" s="29">
        <v>0</v>
      </c>
      <c r="F25" s="29">
        <v>0</v>
      </c>
      <c r="G25" s="29">
        <v>0</v>
      </c>
      <c r="H25" s="29">
        <v>0</v>
      </c>
    </row>
    <row r="26" spans="1:23" x14ac:dyDescent="0.25">
      <c r="A26" s="134" t="str">
        <f>'RAB Inputs'!A5</f>
        <v>Actual capital expenditure attributable to the non-buildings RAB (source: RIGS)</v>
      </c>
      <c r="B26" s="1" t="s">
        <v>48</v>
      </c>
      <c r="C26" s="1" t="s">
        <v>49</v>
      </c>
      <c r="D26" s="125">
        <f>'RAB Inputs'!D6/F12</f>
        <v>195.87606998087222</v>
      </c>
      <c r="E26" s="125">
        <f>'RAB Inputs'!E6/G12</f>
        <v>25.705730776053215</v>
      </c>
      <c r="F26" s="125">
        <f>'RAB Inputs'!F6/H12</f>
        <v>16.518731948516265</v>
      </c>
      <c r="G26" s="125">
        <f>'RAB Inputs'!G6/I12</f>
        <v>60.244960631505897</v>
      </c>
      <c r="H26" s="125">
        <f>'RAB Inputs'!H6/J12</f>
        <v>-0.45111911825016821</v>
      </c>
    </row>
    <row r="27" spans="1:23" x14ac:dyDescent="0.25">
      <c r="A27" s="134" t="s">
        <v>206</v>
      </c>
      <c r="B27" s="1" t="s">
        <v>48</v>
      </c>
      <c r="C27" s="1" t="s">
        <v>49</v>
      </c>
      <c r="D27" s="29">
        <f>D25+0.5*(D26-D25)</f>
        <v>97.938034990436108</v>
      </c>
      <c r="E27" s="29">
        <f t="shared" ref="E27:H27" si="4">E25+0.5*(E26-E25)</f>
        <v>12.852865388026608</v>
      </c>
      <c r="F27" s="29">
        <f t="shared" si="4"/>
        <v>8.2593659742581327</v>
      </c>
      <c r="G27" s="29">
        <f t="shared" si="4"/>
        <v>30.122480315752949</v>
      </c>
      <c r="H27" s="29">
        <f t="shared" si="4"/>
        <v>-0.2255595591250841</v>
      </c>
    </row>
    <row r="28" spans="1:23" x14ac:dyDescent="0.25">
      <c r="D28" s="29"/>
      <c r="E28" s="29"/>
      <c r="F28" s="29"/>
      <c r="G28" s="29"/>
      <c r="H28" s="29"/>
    </row>
    <row r="29" spans="1:23" s="16" customFormat="1" ht="19.350000000000001" customHeight="1" x14ac:dyDescent="0.25">
      <c r="A29" s="7" t="s">
        <v>236</v>
      </c>
      <c r="B29" s="7"/>
    </row>
    <row r="30" spans="1:23" s="16" customFormat="1" ht="14.25" customHeight="1" x14ac:dyDescent="0.25">
      <c r="A30" s="1"/>
      <c r="B30" s="20"/>
      <c r="C30" s="23" t="s">
        <v>51</v>
      </c>
      <c r="D30" s="27">
        <v>39387</v>
      </c>
      <c r="E30" s="27">
        <v>39539</v>
      </c>
      <c r="F30" s="27">
        <v>39722</v>
      </c>
      <c r="G30" s="27">
        <v>40087</v>
      </c>
      <c r="H30" s="27">
        <v>40269</v>
      </c>
      <c r="I30" s="27">
        <v>40452</v>
      </c>
      <c r="J30" s="27">
        <v>40817</v>
      </c>
      <c r="K30" s="27">
        <v>41183</v>
      </c>
      <c r="L30" s="27">
        <v>41548</v>
      </c>
      <c r="M30" s="27">
        <v>41913</v>
      </c>
      <c r="N30" s="27">
        <v>42278</v>
      </c>
      <c r="O30" s="27">
        <v>42644</v>
      </c>
      <c r="P30" s="27">
        <v>43009</v>
      </c>
      <c r="Q30" s="27">
        <v>43374</v>
      </c>
      <c r="R30" s="27">
        <v>43739</v>
      </c>
      <c r="S30" s="27">
        <v>44105</v>
      </c>
      <c r="T30" s="27">
        <v>44470</v>
      </c>
      <c r="U30" s="27">
        <v>44835</v>
      </c>
      <c r="V30" s="27">
        <v>45200</v>
      </c>
      <c r="W30" s="27">
        <v>45566</v>
      </c>
    </row>
    <row r="31" spans="1:23" s="16" customFormat="1" ht="14.25" customHeight="1" x14ac:dyDescent="0.25">
      <c r="A31" s="1"/>
      <c r="B31" s="20"/>
      <c r="C31" s="23" t="s">
        <v>52</v>
      </c>
      <c r="D31" s="27">
        <v>39538</v>
      </c>
      <c r="E31" s="27">
        <v>39721</v>
      </c>
      <c r="F31" s="27">
        <v>40086</v>
      </c>
      <c r="G31" s="27">
        <v>40268</v>
      </c>
      <c r="H31" s="27">
        <v>40451</v>
      </c>
      <c r="I31" s="27">
        <v>40816</v>
      </c>
      <c r="J31" s="27">
        <v>41182</v>
      </c>
      <c r="K31" s="27">
        <v>41547</v>
      </c>
      <c r="L31" s="27">
        <v>41912</v>
      </c>
      <c r="M31" s="27">
        <v>42277</v>
      </c>
      <c r="N31" s="27">
        <v>42643</v>
      </c>
      <c r="O31" s="27">
        <v>43008</v>
      </c>
      <c r="P31" s="27">
        <v>43373</v>
      </c>
      <c r="Q31" s="27">
        <v>43738</v>
      </c>
      <c r="R31" s="27">
        <v>44104</v>
      </c>
      <c r="S31" s="28" t="s">
        <v>116</v>
      </c>
      <c r="T31" s="28" t="s">
        <v>117</v>
      </c>
      <c r="U31" s="28" t="s">
        <v>118</v>
      </c>
      <c r="V31" s="28" t="s">
        <v>119</v>
      </c>
      <c r="W31" s="28" t="s">
        <v>120</v>
      </c>
    </row>
    <row r="32" spans="1:23" s="16" customFormat="1" ht="14.25" customHeight="1" x14ac:dyDescent="0.25">
      <c r="A32" s="16" t="s">
        <v>121</v>
      </c>
      <c r="B32" s="20" t="s">
        <v>35</v>
      </c>
      <c r="C32" s="20" t="s">
        <v>46</v>
      </c>
      <c r="D32" s="66"/>
      <c r="E32" s="66"/>
      <c r="F32" s="66"/>
      <c r="G32" s="66"/>
      <c r="H32" s="66"/>
      <c r="I32" s="66"/>
      <c r="J32" s="66"/>
      <c r="K32" s="66"/>
      <c r="L32" s="66"/>
      <c r="M32" s="66"/>
      <c r="N32" s="66"/>
      <c r="O32" s="66"/>
      <c r="P32" s="66"/>
      <c r="Q32" s="66"/>
      <c r="R32" s="66"/>
      <c r="S32" s="66"/>
      <c r="T32" s="66"/>
      <c r="U32" s="66"/>
      <c r="V32" s="66"/>
      <c r="W32" s="66"/>
    </row>
    <row r="33" spans="1:59" s="16" customFormat="1" ht="14.25" customHeight="1" x14ac:dyDescent="0.25">
      <c r="A33" s="1" t="s">
        <v>122</v>
      </c>
      <c r="B33" s="1" t="s">
        <v>48</v>
      </c>
      <c r="C33" s="1" t="s">
        <v>49</v>
      </c>
      <c r="D33" s="29"/>
      <c r="E33" s="29"/>
      <c r="F33" s="29"/>
      <c r="G33" s="29"/>
      <c r="H33" s="29">
        <f>'RAB Inputs'!H46</f>
        <v>0</v>
      </c>
      <c r="I33" s="29">
        <f>'RAB Inputs'!I46</f>
        <v>1454.0929084380609</v>
      </c>
      <c r="J33" s="29">
        <f>'RAB Inputs'!J46</f>
        <v>1454.0929084380609</v>
      </c>
      <c r="K33" s="29">
        <f>'RAB Inputs'!K46</f>
        <v>0</v>
      </c>
      <c r="L33" s="29">
        <f>'RAB Inputs'!L46</f>
        <v>0</v>
      </c>
      <c r="M33" s="29">
        <f>'RAB Inputs'!M46</f>
        <v>0</v>
      </c>
      <c r="N33" s="29"/>
      <c r="O33" s="29"/>
      <c r="P33" s="29"/>
      <c r="Q33" s="29"/>
      <c r="R33" s="29"/>
      <c r="S33" s="29"/>
      <c r="T33" s="29"/>
      <c r="U33" s="29"/>
      <c r="V33" s="29"/>
      <c r="W33" s="29"/>
    </row>
    <row r="34" spans="1:59" s="16" customFormat="1" ht="14.25" customHeight="1" x14ac:dyDescent="0.25">
      <c r="A34" s="1"/>
      <c r="B34" s="1"/>
      <c r="C34" s="1"/>
      <c r="D34" s="29"/>
      <c r="E34" s="29"/>
      <c r="F34" s="29"/>
      <c r="G34" s="29"/>
      <c r="H34" s="29"/>
      <c r="I34" s="29"/>
      <c r="J34" s="29"/>
      <c r="K34" s="29"/>
      <c r="L34" s="29"/>
      <c r="M34" s="29"/>
      <c r="N34" s="29"/>
      <c r="O34" s="29"/>
      <c r="P34" s="29"/>
      <c r="Q34" s="29"/>
      <c r="R34" s="29"/>
      <c r="S34" s="29"/>
      <c r="T34" s="29"/>
      <c r="U34" s="29"/>
      <c r="V34" s="29"/>
      <c r="W34" s="29"/>
    </row>
    <row r="35" spans="1:59" s="16" customFormat="1" ht="14.25" customHeight="1" x14ac:dyDescent="0.25">
      <c r="A35" s="115" t="s">
        <v>207</v>
      </c>
      <c r="D35" s="29"/>
      <c r="E35" s="29"/>
      <c r="F35" s="29"/>
      <c r="G35" s="29"/>
      <c r="H35" s="29"/>
      <c r="I35" s="29"/>
      <c r="J35" s="29"/>
      <c r="K35" s="29"/>
      <c r="L35" s="29"/>
      <c r="M35" s="29"/>
      <c r="N35" s="29"/>
      <c r="O35" s="29"/>
      <c r="P35" s="29"/>
      <c r="Q35" s="29"/>
      <c r="R35" s="29"/>
      <c r="S35" s="29"/>
      <c r="T35" s="29"/>
      <c r="U35" s="29"/>
      <c r="V35" s="29"/>
      <c r="W35" s="29"/>
    </row>
    <row r="36" spans="1:59" s="16" customFormat="1" ht="14.25" customHeight="1" x14ac:dyDescent="0.25">
      <c r="A36" s="134" t="s">
        <v>206</v>
      </c>
      <c r="B36" s="1" t="s">
        <v>48</v>
      </c>
      <c r="C36" s="1" t="s">
        <v>49</v>
      </c>
      <c r="D36" s="29"/>
      <c r="E36" s="29"/>
      <c r="F36" s="29"/>
      <c r="G36" s="29"/>
      <c r="H36" s="29"/>
      <c r="I36" s="29"/>
      <c r="J36" s="29"/>
      <c r="K36" s="29"/>
      <c r="L36" s="29"/>
      <c r="M36" s="29"/>
      <c r="N36" s="29">
        <f>D27</f>
        <v>97.938034990436108</v>
      </c>
      <c r="O36" s="29">
        <f>E27</f>
        <v>12.852865388026608</v>
      </c>
      <c r="P36" s="29">
        <f>F27</f>
        <v>8.2593659742581327</v>
      </c>
      <c r="Q36" s="29">
        <f>G27</f>
        <v>30.122480315752949</v>
      </c>
      <c r="R36" s="29">
        <f>H27</f>
        <v>-0.2255595591250841</v>
      </c>
      <c r="S36" s="29"/>
      <c r="T36" s="29"/>
      <c r="U36" s="29"/>
      <c r="V36" s="29"/>
      <c r="W36" s="29"/>
    </row>
    <row r="37" spans="1:59" s="16" customFormat="1" ht="14.25" customHeight="1" x14ac:dyDescent="0.25">
      <c r="A37" s="134"/>
      <c r="B37" s="1"/>
      <c r="C37" s="1"/>
      <c r="D37" s="29"/>
      <c r="E37" s="29"/>
      <c r="F37" s="29"/>
      <c r="G37" s="29"/>
      <c r="H37" s="29"/>
      <c r="I37" s="29"/>
      <c r="J37" s="29"/>
      <c r="K37" s="29"/>
      <c r="L37" s="29"/>
      <c r="M37" s="29"/>
      <c r="N37" s="29"/>
      <c r="O37" s="29"/>
      <c r="P37" s="29"/>
      <c r="Q37" s="29"/>
      <c r="R37" s="29"/>
      <c r="S37" s="29"/>
      <c r="T37" s="29"/>
      <c r="U37" s="29"/>
      <c r="V37" s="29"/>
      <c r="W37" s="29"/>
    </row>
    <row r="38" spans="1:59" s="16" customFormat="1" ht="14.25" customHeight="1" x14ac:dyDescent="0.25">
      <c r="A38" s="115" t="s">
        <v>197</v>
      </c>
      <c r="B38" s="1"/>
    </row>
    <row r="39" spans="1:59" s="16" customFormat="1" ht="14.25" customHeight="1" x14ac:dyDescent="0.25">
      <c r="A39" s="134" t="s">
        <v>215</v>
      </c>
      <c r="B39" s="1" t="s">
        <v>48</v>
      </c>
      <c r="C39" s="1" t="s">
        <v>62</v>
      </c>
      <c r="D39" s="29"/>
      <c r="E39" s="29"/>
      <c r="F39" s="29"/>
      <c r="G39" s="29"/>
      <c r="H39" s="29"/>
      <c r="I39" s="29"/>
      <c r="J39" s="29"/>
      <c r="K39" s="29"/>
      <c r="L39" s="29"/>
      <c r="M39" s="29"/>
      <c r="N39" s="29"/>
      <c r="O39" s="29"/>
      <c r="P39" s="29"/>
      <c r="Q39" s="29"/>
      <c r="R39" s="29"/>
      <c r="S39" s="29">
        <f>'Cost Sharing'!D46/K7</f>
        <v>47.5</v>
      </c>
      <c r="T39" s="29">
        <f>'Cost Sharing'!E46/L7</f>
        <v>47.5</v>
      </c>
      <c r="U39" s="29">
        <f>'Cost Sharing'!F46/M7</f>
        <v>10</v>
      </c>
      <c r="V39" s="29">
        <f>'Cost Sharing'!G46/N7</f>
        <v>10</v>
      </c>
      <c r="W39" s="29">
        <f>'Cost Sharing'!H46/O7</f>
        <v>10</v>
      </c>
    </row>
    <row r="40" spans="1:59" s="16" customFormat="1" ht="14.25" customHeight="1" x14ac:dyDescent="0.25"/>
    <row r="41" spans="1:59" ht="14.25" customHeight="1" x14ac:dyDescent="0.25"/>
    <row r="42" spans="1:59" ht="14.25" customHeight="1" x14ac:dyDescent="0.25">
      <c r="A42" s="16" t="s">
        <v>63</v>
      </c>
      <c r="B42" s="26"/>
      <c r="C42" s="23" t="s">
        <v>46</v>
      </c>
      <c r="D42" s="67" t="s">
        <v>64</v>
      </c>
      <c r="E42" s="26" t="s">
        <v>49</v>
      </c>
      <c r="F42" s="26" t="s">
        <v>49</v>
      </c>
      <c r="G42" s="26" t="s">
        <v>49</v>
      </c>
      <c r="H42" s="26" t="s">
        <v>49</v>
      </c>
      <c r="I42" s="26" t="s">
        <v>49</v>
      </c>
      <c r="J42" s="26" t="s">
        <v>49</v>
      </c>
      <c r="K42" s="26" t="s">
        <v>49</v>
      </c>
      <c r="L42" s="26" t="s">
        <v>49</v>
      </c>
      <c r="M42" s="26" t="s">
        <v>49</v>
      </c>
      <c r="N42" s="26" t="s">
        <v>49</v>
      </c>
      <c r="O42" s="26" t="s">
        <v>49</v>
      </c>
      <c r="P42" s="26" t="s">
        <v>49</v>
      </c>
      <c r="Q42" s="26" t="s">
        <v>49</v>
      </c>
      <c r="R42" s="26" t="s">
        <v>49</v>
      </c>
      <c r="S42" s="26" t="s">
        <v>49</v>
      </c>
      <c r="T42" s="26" t="s">
        <v>62</v>
      </c>
      <c r="U42" s="26" t="s">
        <v>62</v>
      </c>
      <c r="V42" s="26" t="s">
        <v>62</v>
      </c>
      <c r="W42" s="26" t="s">
        <v>62</v>
      </c>
      <c r="X42" s="26" t="s">
        <v>62</v>
      </c>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row>
    <row r="43" spans="1:59" ht="14.25" customHeight="1" x14ac:dyDescent="0.25">
      <c r="B43" s="26"/>
      <c r="C43" s="23" t="s">
        <v>65</v>
      </c>
      <c r="D43" s="28">
        <v>39386</v>
      </c>
      <c r="E43" s="24">
        <v>39538</v>
      </c>
      <c r="F43" s="24">
        <v>39721</v>
      </c>
      <c r="G43" s="24">
        <v>40086</v>
      </c>
      <c r="H43" s="24">
        <v>40268</v>
      </c>
      <c r="I43" s="24">
        <v>40451</v>
      </c>
      <c r="J43" s="24">
        <v>40816</v>
      </c>
      <c r="K43" s="24">
        <v>41182</v>
      </c>
      <c r="L43" s="24">
        <v>41547</v>
      </c>
      <c r="M43" s="24">
        <v>41912</v>
      </c>
      <c r="N43" s="24">
        <v>42277</v>
      </c>
      <c r="O43" s="24">
        <v>42643</v>
      </c>
      <c r="P43" s="24">
        <v>43008</v>
      </c>
      <c r="Q43" s="24">
        <v>43373</v>
      </c>
      <c r="R43" s="24">
        <v>43738</v>
      </c>
      <c r="S43" s="24">
        <v>44104</v>
      </c>
      <c r="T43" s="24">
        <v>44469</v>
      </c>
      <c r="U43" s="24">
        <v>44834</v>
      </c>
      <c r="V43" s="24">
        <v>45199</v>
      </c>
      <c r="W43" s="24">
        <v>45565</v>
      </c>
      <c r="X43" s="24">
        <v>45930</v>
      </c>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row>
    <row r="44" spans="1:59" ht="14.25" customHeight="1" x14ac:dyDescent="0.25">
      <c r="A44" s="16"/>
      <c r="B44" s="26"/>
      <c r="C44" s="23" t="s">
        <v>66</v>
      </c>
      <c r="D44" s="67" t="s">
        <v>64</v>
      </c>
      <c r="E44" s="26"/>
      <c r="F44" s="26"/>
      <c r="G44" s="26"/>
      <c r="H44" s="26"/>
      <c r="I44" s="26"/>
      <c r="J44" s="26"/>
      <c r="K44" s="26"/>
      <c r="L44" s="26"/>
      <c r="M44" s="26"/>
      <c r="N44" s="26"/>
      <c r="O44" s="26"/>
      <c r="P44" s="26"/>
      <c r="Q44" s="26"/>
      <c r="R44" s="26"/>
      <c r="S44" s="26"/>
      <c r="T44" s="26"/>
      <c r="U44" s="26"/>
      <c r="V44" s="26"/>
      <c r="W44" s="26"/>
      <c r="X44" s="2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row>
    <row r="45" spans="1:59" ht="14.25" customHeight="1" x14ac:dyDescent="0.25">
      <c r="A45" s="16" t="s">
        <v>66</v>
      </c>
      <c r="D45" s="68"/>
      <c r="E45" s="36">
        <f t="shared" ref="E45:X45" si="5">MAX(0,(YEAR(E43)-YEAR(D43))*12+(MONTH(E43)-MONTH(D43)))</f>
        <v>5</v>
      </c>
      <c r="F45" s="36">
        <f>MAX(0,(YEAR(F43)-YEAR(E43))*12+(MONTH(F43)-MONTH(E43)))</f>
        <v>6</v>
      </c>
      <c r="G45" s="36">
        <f t="shared" si="5"/>
        <v>12</v>
      </c>
      <c r="H45" s="36">
        <f t="shared" si="5"/>
        <v>6</v>
      </c>
      <c r="I45" s="36">
        <f t="shared" si="5"/>
        <v>6</v>
      </c>
      <c r="J45" s="36">
        <f t="shared" si="5"/>
        <v>12</v>
      </c>
      <c r="K45" s="36">
        <f t="shared" si="5"/>
        <v>12</v>
      </c>
      <c r="L45" s="36">
        <f t="shared" si="5"/>
        <v>12</v>
      </c>
      <c r="M45" s="36">
        <f t="shared" si="5"/>
        <v>12</v>
      </c>
      <c r="N45" s="36">
        <f t="shared" si="5"/>
        <v>12</v>
      </c>
      <c r="O45" s="36">
        <f t="shared" si="5"/>
        <v>12</v>
      </c>
      <c r="P45" s="36">
        <f t="shared" si="5"/>
        <v>12</v>
      </c>
      <c r="Q45" s="36">
        <f t="shared" si="5"/>
        <v>12</v>
      </c>
      <c r="R45" s="36">
        <f t="shared" si="5"/>
        <v>12</v>
      </c>
      <c r="S45" s="36">
        <f t="shared" si="5"/>
        <v>12</v>
      </c>
      <c r="T45" s="36">
        <f t="shared" si="5"/>
        <v>12</v>
      </c>
      <c r="U45" s="36">
        <f t="shared" si="5"/>
        <v>12</v>
      </c>
      <c r="V45" s="36">
        <f t="shared" si="5"/>
        <v>12</v>
      </c>
      <c r="W45" s="36">
        <f t="shared" si="5"/>
        <v>12</v>
      </c>
      <c r="X45" s="36">
        <f t="shared" si="5"/>
        <v>12</v>
      </c>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row>
    <row r="46" spans="1:59" ht="14.25" customHeight="1" x14ac:dyDescent="0.25">
      <c r="A46" s="16" t="s">
        <v>63</v>
      </c>
      <c r="D46" s="68"/>
      <c r="E46" s="37"/>
      <c r="F46" s="37"/>
      <c r="G46" s="37"/>
      <c r="H46" s="37"/>
      <c r="I46" s="37"/>
      <c r="J46" s="37"/>
      <c r="K46" s="37"/>
      <c r="L46" s="37"/>
      <c r="M46" s="37"/>
      <c r="N46" s="37"/>
      <c r="O46" s="37"/>
      <c r="P46" s="37"/>
      <c r="Q46" s="37"/>
      <c r="R46" s="37"/>
      <c r="S46" s="37"/>
      <c r="T46" s="37"/>
      <c r="U46" s="37"/>
      <c r="V46" s="37"/>
      <c r="W46" s="37"/>
      <c r="X46" s="37"/>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row>
    <row r="47" spans="1:59" ht="14.25" customHeight="1" x14ac:dyDescent="0.25">
      <c r="A47" s="16" t="s">
        <v>67</v>
      </c>
      <c r="B47" s="16" t="s">
        <v>35</v>
      </c>
      <c r="C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row>
    <row r="48" spans="1:59" ht="14.25" customHeight="1" x14ac:dyDescent="0.25">
      <c r="A48" s="38">
        <v>40451</v>
      </c>
      <c r="B48" s="1" t="s">
        <v>48</v>
      </c>
      <c r="D48" s="29"/>
      <c r="E48" s="29"/>
      <c r="F48" s="29"/>
      <c r="G48" s="29"/>
      <c r="H48" s="29"/>
      <c r="I48" s="29">
        <f t="shared" ref="I48:N48" si="6">$H33/12*I$45/H$18</f>
        <v>0</v>
      </c>
      <c r="J48" s="29">
        <f t="shared" si="6"/>
        <v>0</v>
      </c>
      <c r="K48" s="29">
        <f t="shared" si="6"/>
        <v>0</v>
      </c>
      <c r="L48" s="29">
        <f t="shared" si="6"/>
        <v>0</v>
      </c>
      <c r="M48" s="29">
        <f t="shared" si="6"/>
        <v>0</v>
      </c>
      <c r="N48" s="29">
        <f t="shared" si="6"/>
        <v>0</v>
      </c>
      <c r="O48" s="36">
        <f>($H33-SUM(I48:N48))/(N$18-(YEAR(N43)-YEAR(I43))-(0.5*I45/12))</f>
        <v>0</v>
      </c>
      <c r="P48" s="36">
        <f t="shared" ref="P48:X55" si="7">O48</f>
        <v>0</v>
      </c>
      <c r="Q48" s="36">
        <f t="shared" si="7"/>
        <v>0</v>
      </c>
      <c r="R48" s="36">
        <f t="shared" si="7"/>
        <v>0</v>
      </c>
      <c r="S48" s="36">
        <f t="shared" si="7"/>
        <v>0</v>
      </c>
      <c r="T48" s="36">
        <f>S48*$J$14</f>
        <v>0</v>
      </c>
      <c r="U48" s="36">
        <f t="shared" si="7"/>
        <v>0</v>
      </c>
      <c r="V48" s="36">
        <f t="shared" si="7"/>
        <v>0</v>
      </c>
      <c r="W48" s="36">
        <f t="shared" si="7"/>
        <v>0</v>
      </c>
      <c r="X48" s="36">
        <f t="shared" si="7"/>
        <v>0</v>
      </c>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row>
    <row r="49" spans="1:59" ht="14.25" customHeight="1" x14ac:dyDescent="0.25">
      <c r="A49" s="38">
        <v>40816</v>
      </c>
      <c r="B49" s="1" t="s">
        <v>48</v>
      </c>
      <c r="D49" s="29"/>
      <c r="E49" s="29"/>
      <c r="F49" s="29"/>
      <c r="G49" s="29"/>
      <c r="H49" s="29"/>
      <c r="I49" s="29"/>
      <c r="J49" s="29">
        <f>$I33/12*J$45/I$18/2</f>
        <v>29.081858168761219</v>
      </c>
      <c r="K49" s="29">
        <f>$I33/12*K$45/J$18</f>
        <v>58.163716337522438</v>
      </c>
      <c r="L49" s="29">
        <f>$I33/12*L$45/K$18</f>
        <v>58.163716337522438</v>
      </c>
      <c r="M49" s="29">
        <f>$I33/12*M$45/L$18</f>
        <v>58.163716337522438</v>
      </c>
      <c r="N49" s="29">
        <f>$I33/12*N$45/M$18</f>
        <v>58.163716337522438</v>
      </c>
      <c r="O49" s="36">
        <f>($I33-SUM(J49:N49))/(N$18-(YEAR(N43)-YEAR(J43))-(0.5*J45/12))</f>
        <v>58.163716337522438</v>
      </c>
      <c r="P49" s="36">
        <f t="shared" si="7"/>
        <v>58.163716337522438</v>
      </c>
      <c r="Q49" s="36">
        <f t="shared" si="7"/>
        <v>58.163716337522438</v>
      </c>
      <c r="R49" s="36">
        <f t="shared" si="7"/>
        <v>58.163716337522438</v>
      </c>
      <c r="S49" s="36">
        <f t="shared" si="7"/>
        <v>58.163716337522438</v>
      </c>
      <c r="T49" s="36">
        <f t="shared" ref="T49:T58" si="8">S49*$J$14</f>
        <v>65.944440454817482</v>
      </c>
      <c r="U49" s="36">
        <f t="shared" si="7"/>
        <v>65.944440454817482</v>
      </c>
      <c r="V49" s="36">
        <f t="shared" si="7"/>
        <v>65.944440454817482</v>
      </c>
      <c r="W49" s="36">
        <f t="shared" si="7"/>
        <v>65.944440454817482</v>
      </c>
      <c r="X49" s="36">
        <f t="shared" si="7"/>
        <v>65.944440454817482</v>
      </c>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row>
    <row r="50" spans="1:59" ht="14.25" customHeight="1" x14ac:dyDescent="0.25">
      <c r="A50" s="38">
        <v>41182</v>
      </c>
      <c r="B50" s="1" t="s">
        <v>48</v>
      </c>
      <c r="D50" s="29"/>
      <c r="E50" s="29"/>
      <c r="F50" s="29"/>
      <c r="G50" s="29"/>
      <c r="H50" s="29"/>
      <c r="I50" s="29"/>
      <c r="J50" s="29"/>
      <c r="K50" s="29">
        <f>$J33/12*K$45/J$18/2</f>
        <v>29.081858168761219</v>
      </c>
      <c r="L50" s="29">
        <f>$J33/12*L$45/K$18</f>
        <v>58.163716337522438</v>
      </c>
      <c r="M50" s="29">
        <f>$J33/12*M$45/L$18</f>
        <v>58.163716337522438</v>
      </c>
      <c r="N50" s="29">
        <f>$J33/12*N$45/M$18</f>
        <v>58.163716337522438</v>
      </c>
      <c r="O50" s="36">
        <f>($J33-SUM(K50:N50))/(N$18-(YEAR(N43)-YEAR(K43))-(0.5*K45/12))</f>
        <v>58.16371633752243</v>
      </c>
      <c r="P50" s="36">
        <f t="shared" si="7"/>
        <v>58.16371633752243</v>
      </c>
      <c r="Q50" s="36">
        <f t="shared" si="7"/>
        <v>58.16371633752243</v>
      </c>
      <c r="R50" s="36">
        <f t="shared" si="7"/>
        <v>58.16371633752243</v>
      </c>
      <c r="S50" s="36">
        <f t="shared" si="7"/>
        <v>58.16371633752243</v>
      </c>
      <c r="T50" s="36">
        <f t="shared" si="8"/>
        <v>65.944440454817467</v>
      </c>
      <c r="U50" s="36">
        <f t="shared" si="7"/>
        <v>65.944440454817467</v>
      </c>
      <c r="V50" s="36">
        <f t="shared" si="7"/>
        <v>65.944440454817467</v>
      </c>
      <c r="W50" s="36">
        <f t="shared" si="7"/>
        <v>65.944440454817467</v>
      </c>
      <c r="X50" s="36">
        <f t="shared" si="7"/>
        <v>65.944440454817467</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row>
    <row r="51" spans="1:59" ht="14.25" customHeight="1" x14ac:dyDescent="0.25">
      <c r="A51" s="38">
        <v>41547</v>
      </c>
      <c r="B51" s="1" t="s">
        <v>48</v>
      </c>
      <c r="D51" s="29"/>
      <c r="E51" s="29"/>
      <c r="F51" s="29"/>
      <c r="G51" s="29"/>
      <c r="H51" s="29"/>
      <c r="I51" s="29"/>
      <c r="J51" s="29"/>
      <c r="K51" s="29"/>
      <c r="L51" s="29">
        <f>$K33/12*L$45/K$18/2</f>
        <v>0</v>
      </c>
      <c r="M51" s="29">
        <f>$K33/12*M$45/L$18</f>
        <v>0</v>
      </c>
      <c r="N51" s="29">
        <f>$K33/12*N$45/M$18</f>
        <v>0</v>
      </c>
      <c r="O51" s="36">
        <f>($K33-SUM(L51:N51))/(N$18-(YEAR(N43)-YEAR(L43))-(0.5*L45/12))</f>
        <v>0</v>
      </c>
      <c r="P51" s="36">
        <f t="shared" si="7"/>
        <v>0</v>
      </c>
      <c r="Q51" s="36">
        <f t="shared" si="7"/>
        <v>0</v>
      </c>
      <c r="R51" s="36">
        <f t="shared" si="7"/>
        <v>0</v>
      </c>
      <c r="S51" s="36">
        <f t="shared" si="7"/>
        <v>0</v>
      </c>
      <c r="T51" s="36">
        <f t="shared" si="8"/>
        <v>0</v>
      </c>
      <c r="U51" s="36">
        <f t="shared" si="7"/>
        <v>0</v>
      </c>
      <c r="V51" s="36">
        <f t="shared" si="7"/>
        <v>0</v>
      </c>
      <c r="W51" s="36">
        <f t="shared" si="7"/>
        <v>0</v>
      </c>
      <c r="X51" s="36">
        <f t="shared" si="7"/>
        <v>0</v>
      </c>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row>
    <row r="52" spans="1:59" ht="14.25" customHeight="1" x14ac:dyDescent="0.25">
      <c r="A52" s="38">
        <v>41912</v>
      </c>
      <c r="B52" s="1" t="s">
        <v>48</v>
      </c>
      <c r="D52" s="29"/>
      <c r="E52" s="29"/>
      <c r="F52" s="29"/>
      <c r="G52" s="29"/>
      <c r="H52" s="29"/>
      <c r="I52" s="29"/>
      <c r="J52" s="29"/>
      <c r="K52" s="29"/>
      <c r="L52" s="29"/>
      <c r="M52" s="29">
        <f>$L33/12*M$45/L$18/2</f>
        <v>0</v>
      </c>
      <c r="N52" s="29">
        <f>$L33/12*N$45/M$18</f>
        <v>0</v>
      </c>
      <c r="O52" s="36">
        <f>($L33-SUM(M52:N52))/(N$18-(YEAR(N43)-YEAR(M43))-(0.5*M45/12))</f>
        <v>0</v>
      </c>
      <c r="P52" s="36">
        <f t="shared" si="7"/>
        <v>0</v>
      </c>
      <c r="Q52" s="36">
        <f t="shared" si="7"/>
        <v>0</v>
      </c>
      <c r="R52" s="36">
        <f t="shared" si="7"/>
        <v>0</v>
      </c>
      <c r="S52" s="36">
        <f t="shared" si="7"/>
        <v>0</v>
      </c>
      <c r="T52" s="36">
        <f t="shared" si="8"/>
        <v>0</v>
      </c>
      <c r="U52" s="36">
        <f t="shared" si="7"/>
        <v>0</v>
      </c>
      <c r="V52" s="36">
        <f t="shared" si="7"/>
        <v>0</v>
      </c>
      <c r="W52" s="36">
        <f t="shared" si="7"/>
        <v>0</v>
      </c>
      <c r="X52" s="36">
        <f t="shared" si="7"/>
        <v>0</v>
      </c>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row>
    <row r="53" spans="1:59" ht="14.25" customHeight="1" x14ac:dyDescent="0.25">
      <c r="A53" s="38">
        <v>42277</v>
      </c>
      <c r="B53" s="1" t="s">
        <v>48</v>
      </c>
      <c r="D53" s="29"/>
      <c r="E53" s="29"/>
      <c r="F53" s="29"/>
      <c r="G53" s="29"/>
      <c r="H53" s="29"/>
      <c r="I53" s="29"/>
      <c r="J53" s="29"/>
      <c r="K53" s="29"/>
      <c r="L53" s="29"/>
      <c r="M53" s="29"/>
      <c r="N53" s="29">
        <f>$M33/12*N$45/M$18/2</f>
        <v>0</v>
      </c>
      <c r="O53" s="36">
        <f>($M33-N53)/(N$18-(YEAR(N43)-YEAR(N43))-(0.5*N45/12))</f>
        <v>0</v>
      </c>
      <c r="P53" s="36">
        <f t="shared" si="7"/>
        <v>0</v>
      </c>
      <c r="Q53" s="36">
        <f t="shared" si="7"/>
        <v>0</v>
      </c>
      <c r="R53" s="36">
        <f t="shared" si="7"/>
        <v>0</v>
      </c>
      <c r="S53" s="36">
        <f t="shared" si="7"/>
        <v>0</v>
      </c>
      <c r="T53" s="36">
        <f t="shared" si="8"/>
        <v>0</v>
      </c>
      <c r="U53" s="36">
        <f t="shared" si="7"/>
        <v>0</v>
      </c>
      <c r="V53" s="36">
        <f t="shared" si="7"/>
        <v>0</v>
      </c>
      <c r="W53" s="36">
        <f t="shared" si="7"/>
        <v>0</v>
      </c>
      <c r="X53" s="36">
        <f t="shared" si="7"/>
        <v>0</v>
      </c>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row>
    <row r="54" spans="1:59" ht="14.25" customHeight="1" x14ac:dyDescent="0.25">
      <c r="A54" s="38">
        <v>42643</v>
      </c>
      <c r="B54" s="1" t="s">
        <v>48</v>
      </c>
      <c r="D54" s="36"/>
      <c r="E54" s="36"/>
      <c r="F54" s="36"/>
      <c r="G54" s="36"/>
      <c r="H54" s="36"/>
      <c r="I54" s="36"/>
      <c r="J54" s="36"/>
      <c r="K54" s="36"/>
      <c r="L54" s="36"/>
      <c r="M54" s="36"/>
      <c r="N54" s="36"/>
      <c r="O54" s="36">
        <f>$N36/12*O$45/N$18/2</f>
        <v>1.9587606998087221</v>
      </c>
      <c r="P54" s="36">
        <f>$N36/12*P$45/O$18</f>
        <v>3.9175213996174443</v>
      </c>
      <c r="Q54" s="36">
        <f>$N36/12*Q$45/P$18</f>
        <v>3.9175213996174443</v>
      </c>
      <c r="R54" s="36">
        <f>$N36/12*R$45/Q$18</f>
        <v>3.9175213996174443</v>
      </c>
      <c r="S54" s="36">
        <f>$N36/12*S$45/R$18</f>
        <v>3.9175213996174443</v>
      </c>
      <c r="T54" s="36">
        <f t="shared" si="8"/>
        <v>4.4415792685669038</v>
      </c>
      <c r="U54" s="36">
        <f>T54</f>
        <v>4.4415792685669038</v>
      </c>
      <c r="V54" s="36">
        <f t="shared" si="7"/>
        <v>4.4415792685669038</v>
      </c>
      <c r="W54" s="36">
        <f t="shared" si="7"/>
        <v>4.4415792685669038</v>
      </c>
      <c r="X54" s="36">
        <f t="shared" si="7"/>
        <v>4.4415792685669038</v>
      </c>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row>
    <row r="55" spans="1:59" ht="14.25" customHeight="1" x14ac:dyDescent="0.25">
      <c r="A55" s="38">
        <v>43008</v>
      </c>
      <c r="B55" s="1" t="s">
        <v>48</v>
      </c>
      <c r="D55" s="36"/>
      <c r="E55" s="36"/>
      <c r="F55" s="36"/>
      <c r="G55" s="36"/>
      <c r="H55" s="36"/>
      <c r="I55" s="36"/>
      <c r="J55" s="36"/>
      <c r="K55" s="36"/>
      <c r="L55" s="36"/>
      <c r="M55" s="36"/>
      <c r="N55" s="36"/>
      <c r="O55" s="36"/>
      <c r="P55" s="36">
        <f>$O36/12*P$45/O$18/2</f>
        <v>0.25705730776053215</v>
      </c>
      <c r="Q55" s="36">
        <f>$O36/12*Q$45/P$18</f>
        <v>0.5141146155210643</v>
      </c>
      <c r="R55" s="36">
        <f>$O36/12*R$45/Q$18</f>
        <v>0.5141146155210643</v>
      </c>
      <c r="S55" s="36">
        <f>$O36/12*S$45/R$18</f>
        <v>0.5141146155210643</v>
      </c>
      <c r="T55" s="36">
        <f t="shared" si="8"/>
        <v>0.58288917533126727</v>
      </c>
      <c r="U55" s="36">
        <f>T55</f>
        <v>0.58288917533126727</v>
      </c>
      <c r="V55" s="36">
        <f t="shared" si="7"/>
        <v>0.58288917533126727</v>
      </c>
      <c r="W55" s="36">
        <f t="shared" si="7"/>
        <v>0.58288917533126727</v>
      </c>
      <c r="X55" s="36">
        <f t="shared" si="7"/>
        <v>0.58288917533126727</v>
      </c>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row>
    <row r="56" spans="1:59" ht="14.25" customHeight="1" x14ac:dyDescent="0.25">
      <c r="A56" s="38">
        <v>43373</v>
      </c>
      <c r="B56" s="1" t="s">
        <v>48</v>
      </c>
      <c r="D56" s="36"/>
      <c r="E56" s="36"/>
      <c r="F56" s="36"/>
      <c r="G56" s="36"/>
      <c r="H56" s="36"/>
      <c r="I56" s="36"/>
      <c r="J56" s="36"/>
      <c r="K56" s="36"/>
      <c r="L56" s="36"/>
      <c r="M56" s="36"/>
      <c r="N56" s="36"/>
      <c r="O56" s="36"/>
      <c r="P56" s="36"/>
      <c r="Q56" s="36">
        <f>$P36/12*Q$45/P$18/2</f>
        <v>0.16518731948516266</v>
      </c>
      <c r="R56" s="36">
        <f>$P36/12*R$45/Q$18</f>
        <v>0.33037463897032532</v>
      </c>
      <c r="S56" s="36">
        <f>$P36/12*S$45/R$18</f>
        <v>0.33037463897032532</v>
      </c>
      <c r="T56" s="36">
        <f t="shared" si="8"/>
        <v>0.37456978472514951</v>
      </c>
      <c r="U56" s="36">
        <f t="shared" ref="U56:X58" si="9">T56</f>
        <v>0.37456978472514951</v>
      </c>
      <c r="V56" s="36">
        <f t="shared" si="9"/>
        <v>0.37456978472514951</v>
      </c>
      <c r="W56" s="36">
        <f t="shared" si="9"/>
        <v>0.37456978472514951</v>
      </c>
      <c r="X56" s="36">
        <f t="shared" si="9"/>
        <v>0.37456978472514951</v>
      </c>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row>
    <row r="57" spans="1:59" ht="14.25" customHeight="1" x14ac:dyDescent="0.25">
      <c r="A57" s="38">
        <v>43738</v>
      </c>
      <c r="B57" s="1" t="s">
        <v>48</v>
      </c>
      <c r="D57" s="36"/>
      <c r="E57" s="36"/>
      <c r="F57" s="36"/>
      <c r="G57" s="36"/>
      <c r="H57" s="36"/>
      <c r="I57" s="36"/>
      <c r="J57" s="36"/>
      <c r="K57" s="36"/>
      <c r="L57" s="36"/>
      <c r="M57" s="36"/>
      <c r="N57" s="36"/>
      <c r="O57" s="36"/>
      <c r="P57" s="36"/>
      <c r="Q57" s="36"/>
      <c r="R57" s="36">
        <f>$Q36/12*R$45/Q$18/2</f>
        <v>0.60244960631505895</v>
      </c>
      <c r="S57" s="36">
        <f>$Q36/12*S$45/R$18</f>
        <v>1.2048992126301179</v>
      </c>
      <c r="T57" s="36">
        <f t="shared" si="8"/>
        <v>1.3660819731713834</v>
      </c>
      <c r="U57" s="36">
        <f t="shared" si="9"/>
        <v>1.3660819731713834</v>
      </c>
      <c r="V57" s="36">
        <f t="shared" si="9"/>
        <v>1.3660819731713834</v>
      </c>
      <c r="W57" s="36">
        <f t="shared" si="9"/>
        <v>1.3660819731713834</v>
      </c>
      <c r="X57" s="36">
        <f t="shared" si="9"/>
        <v>1.3660819731713834</v>
      </c>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row>
    <row r="58" spans="1:59" ht="14.25" customHeight="1" x14ac:dyDescent="0.25">
      <c r="A58" s="38">
        <v>44104</v>
      </c>
      <c r="B58" s="1" t="s">
        <v>48</v>
      </c>
      <c r="D58" s="36"/>
      <c r="E58" s="36"/>
      <c r="F58" s="36"/>
      <c r="G58" s="36"/>
      <c r="H58" s="36"/>
      <c r="I58" s="36"/>
      <c r="J58" s="36"/>
      <c r="K58" s="36"/>
      <c r="L58" s="36"/>
      <c r="M58" s="36"/>
      <c r="N58" s="36"/>
      <c r="O58" s="36"/>
      <c r="P58" s="36"/>
      <c r="Q58" s="36"/>
      <c r="R58" s="36"/>
      <c r="S58" s="36">
        <f>$R36/12*S$45/R$18/2</f>
        <v>-4.5111911825016816E-3</v>
      </c>
      <c r="T58" s="36">
        <f t="shared" si="8"/>
        <v>-5.1146659300183861E-3</v>
      </c>
      <c r="U58" s="36">
        <f t="shared" si="9"/>
        <v>-5.1146659300183861E-3</v>
      </c>
      <c r="V58" s="36">
        <f t="shared" si="9"/>
        <v>-5.1146659300183861E-3</v>
      </c>
      <c r="W58" s="36">
        <f t="shared" si="9"/>
        <v>-5.1146659300183861E-3</v>
      </c>
      <c r="X58" s="36">
        <f t="shared" si="9"/>
        <v>-5.1146659300183861E-3</v>
      </c>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row>
    <row r="59" spans="1:59" ht="14.25" customHeight="1" x14ac:dyDescent="0.25">
      <c r="A59" s="38">
        <v>44469</v>
      </c>
      <c r="B59" s="1" t="s">
        <v>48</v>
      </c>
      <c r="D59" s="36"/>
      <c r="E59" s="36"/>
      <c r="F59" s="36"/>
      <c r="G59" s="36"/>
      <c r="H59" s="36"/>
      <c r="I59" s="36"/>
      <c r="J59" s="36"/>
      <c r="K59" s="36"/>
      <c r="L59" s="36"/>
      <c r="M59" s="36"/>
      <c r="N59" s="36"/>
      <c r="O59" s="36"/>
      <c r="P59" s="36"/>
      <c r="Q59" s="36"/>
      <c r="R59" s="36"/>
      <c r="S59" s="36"/>
      <c r="T59" s="36">
        <f>$S39/12*T$45/S$18/2</f>
        <v>0.95</v>
      </c>
      <c r="U59" s="36">
        <f>$S39/12*U$45/T$18</f>
        <v>1.9</v>
      </c>
      <c r="V59" s="36">
        <f>$S39/12*V$45/U$18</f>
        <v>1.9</v>
      </c>
      <c r="W59" s="36">
        <f>$S39/12*W$45/V$18</f>
        <v>1.9</v>
      </c>
      <c r="X59" s="36">
        <f>$S39/12*X$45/W$18</f>
        <v>1.9</v>
      </c>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row>
    <row r="60" spans="1:59" ht="14.25" customHeight="1" x14ac:dyDescent="0.25">
      <c r="A60" s="38">
        <v>44834</v>
      </c>
      <c r="B60" s="1" t="s">
        <v>48</v>
      </c>
      <c r="D60" s="36"/>
      <c r="E60" s="36"/>
      <c r="F60" s="36"/>
      <c r="G60" s="36"/>
      <c r="H60" s="36"/>
      <c r="I60" s="36"/>
      <c r="J60" s="36"/>
      <c r="K60" s="36"/>
      <c r="L60" s="36"/>
      <c r="M60" s="36"/>
      <c r="N60" s="36"/>
      <c r="O60" s="36"/>
      <c r="P60" s="36"/>
      <c r="Q60" s="36"/>
      <c r="R60" s="36"/>
      <c r="S60" s="36"/>
      <c r="T60" s="36"/>
      <c r="U60" s="36">
        <f>$T39/12*U$45/T$18/2</f>
        <v>0.95</v>
      </c>
      <c r="V60" s="36">
        <f>$T39/12*V$45/U$18</f>
        <v>1.9</v>
      </c>
      <c r="W60" s="36">
        <f>$T39/12*W$45/V$18</f>
        <v>1.9</v>
      </c>
      <c r="X60" s="36">
        <f>$T39/12*X$45/W$18</f>
        <v>1.9</v>
      </c>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row>
    <row r="61" spans="1:59" ht="14.25" customHeight="1" x14ac:dyDescent="0.25">
      <c r="A61" s="38">
        <v>45199</v>
      </c>
      <c r="B61" s="1" t="s">
        <v>48</v>
      </c>
      <c r="D61" s="36"/>
      <c r="E61" s="36"/>
      <c r="F61" s="36"/>
      <c r="G61" s="36"/>
      <c r="H61" s="36"/>
      <c r="I61" s="36"/>
      <c r="J61" s="36"/>
      <c r="K61" s="36"/>
      <c r="L61" s="36"/>
      <c r="M61" s="36"/>
      <c r="N61" s="36"/>
      <c r="O61" s="36"/>
      <c r="P61" s="36"/>
      <c r="Q61" s="36"/>
      <c r="R61" s="36"/>
      <c r="S61" s="36"/>
      <c r="T61" s="36"/>
      <c r="U61" s="36"/>
      <c r="V61" s="36">
        <f>$U39/12*V$45/U$18/2</f>
        <v>0.2</v>
      </c>
      <c r="W61" s="36">
        <f>$U39/12*W$45/V$18</f>
        <v>0.4</v>
      </c>
      <c r="X61" s="36">
        <f>$U39/12*X$45/W$18</f>
        <v>0.4</v>
      </c>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row>
    <row r="62" spans="1:59" ht="14.25" customHeight="1" x14ac:dyDescent="0.25">
      <c r="A62" s="38">
        <v>45565</v>
      </c>
      <c r="B62" s="1" t="s">
        <v>48</v>
      </c>
      <c r="D62" s="36"/>
      <c r="E62" s="36"/>
      <c r="F62" s="36"/>
      <c r="G62" s="36"/>
      <c r="H62" s="36"/>
      <c r="I62" s="36"/>
      <c r="J62" s="36"/>
      <c r="K62" s="36"/>
      <c r="L62" s="36"/>
      <c r="M62" s="36"/>
      <c r="N62" s="36"/>
      <c r="O62" s="36"/>
      <c r="P62" s="36"/>
      <c r="Q62" s="36"/>
      <c r="R62" s="36"/>
      <c r="S62" s="36"/>
      <c r="T62" s="36"/>
      <c r="U62" s="36"/>
      <c r="V62" s="36"/>
      <c r="W62" s="36">
        <f>$V39/12*W$45/V$18/2</f>
        <v>0.2</v>
      </c>
      <c r="X62" s="36">
        <f>$V39/12*X$45/W$18</f>
        <v>0.4</v>
      </c>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row>
    <row r="63" spans="1:59" ht="14.25" customHeight="1" x14ac:dyDescent="0.25">
      <c r="A63" s="38">
        <v>45930</v>
      </c>
      <c r="B63" s="1" t="s">
        <v>48</v>
      </c>
      <c r="D63" s="36"/>
      <c r="E63" s="36"/>
      <c r="F63" s="36"/>
      <c r="G63" s="36"/>
      <c r="H63" s="36"/>
      <c r="I63" s="36"/>
      <c r="J63" s="36"/>
      <c r="K63" s="36"/>
      <c r="L63" s="36"/>
      <c r="M63" s="36"/>
      <c r="N63" s="36"/>
      <c r="O63" s="36"/>
      <c r="P63" s="36"/>
      <c r="Q63" s="36"/>
      <c r="R63" s="36"/>
      <c r="S63" s="36"/>
      <c r="T63" s="36"/>
      <c r="U63" s="36"/>
      <c r="V63" s="36"/>
      <c r="W63" s="36"/>
      <c r="X63" s="36">
        <f>$W39/12*X$45/W$18/2</f>
        <v>0.2</v>
      </c>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row>
    <row r="64" spans="1:59" ht="14.25" customHeight="1" x14ac:dyDescent="0.25"/>
    <row r="65" spans="1:18" ht="14.25" customHeight="1" x14ac:dyDescent="0.25">
      <c r="B65" s="26"/>
      <c r="C65" s="23" t="s">
        <v>65</v>
      </c>
      <c r="D65" s="24">
        <v>39538</v>
      </c>
      <c r="E65" s="24">
        <v>39721</v>
      </c>
      <c r="F65" s="24">
        <v>40086</v>
      </c>
      <c r="G65" s="24">
        <v>40268</v>
      </c>
      <c r="H65" s="24">
        <v>40451</v>
      </c>
      <c r="I65" s="24">
        <v>40816</v>
      </c>
      <c r="J65" s="24">
        <v>41182</v>
      </c>
      <c r="K65" s="24">
        <v>41547</v>
      </c>
      <c r="L65" s="24">
        <v>41912</v>
      </c>
      <c r="M65" s="24">
        <v>42277</v>
      </c>
      <c r="N65" s="24">
        <v>42643</v>
      </c>
      <c r="O65" s="24">
        <v>43008</v>
      </c>
      <c r="P65" s="24">
        <v>43373</v>
      </c>
      <c r="Q65" s="24">
        <v>43738</v>
      </c>
      <c r="R65" s="24">
        <v>44104</v>
      </c>
    </row>
    <row r="66" spans="1:18" ht="14.25" customHeight="1" x14ac:dyDescent="0.25">
      <c r="B66" s="26"/>
      <c r="C66" s="20" t="s">
        <v>46</v>
      </c>
      <c r="D66" s="24"/>
      <c r="E66" s="24"/>
      <c r="F66" s="24"/>
      <c r="G66" s="24"/>
      <c r="H66" s="24"/>
      <c r="I66" s="24"/>
      <c r="J66" s="24"/>
      <c r="K66" s="24"/>
      <c r="L66" s="24"/>
      <c r="M66" s="24"/>
      <c r="N66" s="24"/>
      <c r="O66" s="24"/>
      <c r="P66" s="24"/>
      <c r="Q66" s="24"/>
      <c r="R66" s="24"/>
    </row>
    <row r="67" spans="1:18" ht="14.25" customHeight="1" x14ac:dyDescent="0.25">
      <c r="A67" s="115" t="s">
        <v>224</v>
      </c>
      <c r="B67" s="60" t="s">
        <v>48</v>
      </c>
      <c r="C67" s="1" t="s">
        <v>49</v>
      </c>
      <c r="D67" s="29"/>
      <c r="E67" s="29"/>
      <c r="F67" s="29"/>
      <c r="G67" s="29"/>
      <c r="H67" s="29">
        <f t="shared" ref="H67:R67" si="10">SUM(I48:I58)</f>
        <v>0</v>
      </c>
      <c r="I67" s="29">
        <f t="shared" si="10"/>
        <v>29.081858168761219</v>
      </c>
      <c r="J67" s="29">
        <f t="shared" si="10"/>
        <v>87.24557450628366</v>
      </c>
      <c r="K67" s="29">
        <f t="shared" si="10"/>
        <v>116.32743267504488</v>
      </c>
      <c r="L67" s="29">
        <f t="shared" si="10"/>
        <v>116.32743267504488</v>
      </c>
      <c r="M67" s="29">
        <f t="shared" si="10"/>
        <v>116.32743267504488</v>
      </c>
      <c r="N67" s="29">
        <f t="shared" si="10"/>
        <v>118.28619337485358</v>
      </c>
      <c r="O67" s="29">
        <f t="shared" si="10"/>
        <v>120.50201138242284</v>
      </c>
      <c r="P67" s="29">
        <f t="shared" si="10"/>
        <v>120.92425600966853</v>
      </c>
      <c r="Q67" s="29">
        <f t="shared" si="10"/>
        <v>121.69189293546876</v>
      </c>
      <c r="R67" s="29">
        <f t="shared" si="10"/>
        <v>122.28983135060132</v>
      </c>
    </row>
    <row r="68" spans="1:18" ht="14.25" customHeight="1" x14ac:dyDescent="0.25"/>
    <row r="69" spans="1:18" ht="14.25" customHeight="1" x14ac:dyDescent="0.25"/>
    <row r="70" spans="1:18" ht="14.25" customHeight="1" x14ac:dyDescent="0.25">
      <c r="A70" s="16" t="s">
        <v>198</v>
      </c>
      <c r="B70" s="20" t="s">
        <v>35</v>
      </c>
      <c r="C70" s="23" t="s">
        <v>65</v>
      </c>
      <c r="D70" s="24">
        <v>44469</v>
      </c>
      <c r="E70" s="24">
        <v>44834</v>
      </c>
      <c r="F70" s="24">
        <v>45199</v>
      </c>
      <c r="G70" s="24">
        <v>45565</v>
      </c>
      <c r="H70" s="24">
        <v>45930</v>
      </c>
    </row>
    <row r="71" spans="1:18" ht="14.25" customHeight="1" x14ac:dyDescent="0.25">
      <c r="A71" s="16"/>
      <c r="B71" s="20"/>
      <c r="C71" s="20" t="s">
        <v>46</v>
      </c>
      <c r="D71" s="24"/>
      <c r="E71" s="24"/>
      <c r="F71" s="24"/>
      <c r="G71" s="24"/>
      <c r="H71" s="24"/>
    </row>
    <row r="72" spans="1:18" ht="14.25" customHeight="1" x14ac:dyDescent="0.25">
      <c r="A72" s="1" t="s">
        <v>71</v>
      </c>
      <c r="B72" s="60" t="s">
        <v>48</v>
      </c>
      <c r="C72" s="1" t="s">
        <v>62</v>
      </c>
      <c r="D72" s="29">
        <f>SUM(T48:T58)</f>
        <v>138.64888644549964</v>
      </c>
      <c r="E72" s="29">
        <f>SUM(U48:U58)</f>
        <v>138.64888644549964</v>
      </c>
      <c r="F72" s="29">
        <f>SUM(V48:V58)</f>
        <v>138.64888644549964</v>
      </c>
      <c r="G72" s="29">
        <f>SUM(W48:W58)</f>
        <v>138.64888644549964</v>
      </c>
      <c r="H72" s="29">
        <f>SUM(X48:X58)</f>
        <v>138.64888644549964</v>
      </c>
    </row>
    <row r="73" spans="1:18" ht="14.25" customHeight="1" x14ac:dyDescent="0.25">
      <c r="A73" s="1" t="s">
        <v>72</v>
      </c>
      <c r="B73" s="60" t="s">
        <v>48</v>
      </c>
      <c r="C73" s="1" t="s">
        <v>62</v>
      </c>
      <c r="D73" s="29">
        <f>SUM(T59:T63)</f>
        <v>0.95</v>
      </c>
      <c r="E73" s="29">
        <f>SUM(U59:U63)</f>
        <v>2.8499999999999996</v>
      </c>
      <c r="F73" s="29">
        <f>SUM(V59:V63)</f>
        <v>4</v>
      </c>
      <c r="G73" s="29">
        <f>SUM(W59:W63)</f>
        <v>4.4000000000000004</v>
      </c>
      <c r="H73" s="29">
        <f>SUM(X59:X63)</f>
        <v>4.8000000000000007</v>
      </c>
    </row>
    <row r="74" spans="1:18" ht="14.25" customHeight="1" x14ac:dyDescent="0.25">
      <c r="A74" s="115" t="s">
        <v>225</v>
      </c>
      <c r="B74" s="60" t="s">
        <v>48</v>
      </c>
      <c r="C74" s="1" t="s">
        <v>62</v>
      </c>
      <c r="D74" s="29">
        <f>D72+D73</f>
        <v>139.59888644549963</v>
      </c>
      <c r="E74" s="29">
        <f t="shared" ref="E74:H74" si="11">E72+E73</f>
        <v>141.49888644549964</v>
      </c>
      <c r="F74" s="29">
        <f t="shared" si="11"/>
        <v>142.64888644549964</v>
      </c>
      <c r="G74" s="29">
        <f t="shared" si="11"/>
        <v>143.04888644549965</v>
      </c>
      <c r="H74" s="29">
        <f t="shared" si="11"/>
        <v>143.44888644549965</v>
      </c>
    </row>
    <row r="75" spans="1:18" ht="14.25" customHeight="1" x14ac:dyDescent="0.25">
      <c r="A75" s="16"/>
      <c r="B75" s="60"/>
      <c r="D75" s="29"/>
      <c r="E75" s="29"/>
      <c r="F75" s="29"/>
      <c r="G75" s="29"/>
      <c r="H75" s="29"/>
    </row>
    <row r="76" spans="1:18" ht="14.25" customHeight="1" x14ac:dyDescent="0.25"/>
    <row r="77" spans="1:18" x14ac:dyDescent="0.25">
      <c r="A77" s="7" t="s">
        <v>78</v>
      </c>
    </row>
    <row r="78" spans="1:18" x14ac:dyDescent="0.25">
      <c r="B78" s="26"/>
      <c r="C78" s="23" t="s">
        <v>65</v>
      </c>
      <c r="D78" s="24">
        <v>39538</v>
      </c>
      <c r="E78" s="24">
        <v>39721</v>
      </c>
      <c r="F78" s="24">
        <v>40086</v>
      </c>
      <c r="G78" s="24">
        <v>40268</v>
      </c>
      <c r="H78" s="24">
        <v>40451</v>
      </c>
      <c r="I78" s="24">
        <v>40816</v>
      </c>
      <c r="J78" s="24">
        <v>41182</v>
      </c>
      <c r="K78" s="24">
        <v>41547</v>
      </c>
      <c r="L78" s="24">
        <v>41912</v>
      </c>
      <c r="M78" s="24">
        <v>42277</v>
      </c>
      <c r="N78" s="24">
        <v>42643</v>
      </c>
      <c r="O78" s="24">
        <v>43008</v>
      </c>
      <c r="P78" s="24">
        <v>43373</v>
      </c>
      <c r="Q78" s="24">
        <v>43738</v>
      </c>
      <c r="R78" s="24">
        <v>44104</v>
      </c>
    </row>
    <row r="79" spans="1:18" x14ac:dyDescent="0.25">
      <c r="A79" s="16" t="s">
        <v>73</v>
      </c>
      <c r="B79" s="20" t="s">
        <v>35</v>
      </c>
      <c r="C79" s="20" t="s">
        <v>46</v>
      </c>
      <c r="D79" s="24"/>
      <c r="E79" s="24"/>
      <c r="F79" s="24"/>
      <c r="G79" s="24"/>
      <c r="H79" s="24"/>
      <c r="I79" s="24"/>
      <c r="J79" s="24"/>
      <c r="K79" s="24"/>
      <c r="L79" s="24"/>
      <c r="M79" s="24"/>
      <c r="N79" s="24"/>
      <c r="O79" s="24"/>
      <c r="P79" s="24"/>
      <c r="Q79" s="24"/>
      <c r="R79" s="24"/>
    </row>
    <row r="80" spans="1:18" x14ac:dyDescent="0.25">
      <c r="A80" s="1" t="s">
        <v>74</v>
      </c>
      <c r="B80" s="60" t="s">
        <v>48</v>
      </c>
      <c r="C80" s="1" t="s">
        <v>49</v>
      </c>
      <c r="D80" s="29"/>
      <c r="E80" s="29"/>
      <c r="F80" s="29"/>
      <c r="G80" s="29"/>
      <c r="H80" s="29">
        <v>0</v>
      </c>
      <c r="I80" s="29">
        <f>H84</f>
        <v>0</v>
      </c>
      <c r="J80" s="29">
        <f>I84</f>
        <v>1425.0110502692996</v>
      </c>
      <c r="K80" s="29">
        <f>J84</f>
        <v>2791.8583842010771</v>
      </c>
      <c r="L80" s="29">
        <f>K84</f>
        <v>2675.5309515260324</v>
      </c>
      <c r="M80" s="29">
        <f>L84</f>
        <v>2559.2035188509876</v>
      </c>
      <c r="N80" s="29">
        <f>H80+SUM(H81:M81)-SUM(H67:M67)</f>
        <v>2442.8760861759424</v>
      </c>
      <c r="O80" s="29">
        <f>N84</f>
        <v>2422.5279277915251</v>
      </c>
      <c r="P80" s="29">
        <f>O84</f>
        <v>2314.8787817971288</v>
      </c>
      <c r="Q80" s="29">
        <f>P84</f>
        <v>2202.2138917617185</v>
      </c>
      <c r="R80" s="29">
        <f>Q84</f>
        <v>2110.6444791420026</v>
      </c>
    </row>
    <row r="81" spans="1:18" x14ac:dyDescent="0.25">
      <c r="A81" s="1" t="s">
        <v>79</v>
      </c>
      <c r="B81" s="60" t="s">
        <v>48</v>
      </c>
      <c r="C81" s="1" t="s">
        <v>49</v>
      </c>
      <c r="D81" s="29"/>
      <c r="E81" s="29"/>
      <c r="F81" s="29"/>
      <c r="G81" s="29"/>
      <c r="H81" s="29">
        <f t="shared" ref="H81:M81" si="12">H33</f>
        <v>0</v>
      </c>
      <c r="I81" s="29">
        <f t="shared" si="12"/>
        <v>1454.0929084380609</v>
      </c>
      <c r="J81" s="29">
        <f t="shared" si="12"/>
        <v>1454.0929084380609</v>
      </c>
      <c r="K81" s="29">
        <f t="shared" si="12"/>
        <v>0</v>
      </c>
      <c r="L81" s="29">
        <f t="shared" si="12"/>
        <v>0</v>
      </c>
      <c r="M81" s="29">
        <f t="shared" si="12"/>
        <v>0</v>
      </c>
      <c r="N81" s="29">
        <f>N33+D25</f>
        <v>0</v>
      </c>
      <c r="O81" s="29">
        <f>O33+E25</f>
        <v>0</v>
      </c>
      <c r="P81" s="29">
        <f>P33+F25</f>
        <v>0</v>
      </c>
      <c r="Q81" s="29">
        <f>Q33+G25</f>
        <v>0</v>
      </c>
      <c r="R81" s="29">
        <f>R33+H25</f>
        <v>0</v>
      </c>
    </row>
    <row r="82" spans="1:18" x14ac:dyDescent="0.25">
      <c r="A82" s="1" t="s">
        <v>80</v>
      </c>
      <c r="B82" s="60" t="s">
        <v>48</v>
      </c>
      <c r="C82" s="1" t="s">
        <v>49</v>
      </c>
      <c r="D82" s="29"/>
      <c r="E82" s="29"/>
      <c r="F82" s="29"/>
      <c r="G82" s="29"/>
      <c r="H82" s="29"/>
      <c r="I82" s="29"/>
      <c r="J82" s="29"/>
      <c r="K82" s="29"/>
      <c r="L82" s="29"/>
      <c r="M82" s="29"/>
      <c r="N82" s="29">
        <f>D27</f>
        <v>97.938034990436108</v>
      </c>
      <c r="O82" s="29">
        <f>E27</f>
        <v>12.852865388026608</v>
      </c>
      <c r="P82" s="29">
        <f>F27</f>
        <v>8.2593659742581327</v>
      </c>
      <c r="Q82" s="29">
        <f>G27</f>
        <v>30.122480315752949</v>
      </c>
      <c r="R82" s="29">
        <f>H27</f>
        <v>-0.2255595591250841</v>
      </c>
    </row>
    <row r="83" spans="1:18" x14ac:dyDescent="0.25">
      <c r="A83" s="1" t="s">
        <v>81</v>
      </c>
      <c r="B83" s="60" t="s">
        <v>48</v>
      </c>
      <c r="C83" s="1" t="s">
        <v>49</v>
      </c>
      <c r="H83" s="29">
        <f t="shared" ref="H83:R83" si="13">H67</f>
        <v>0</v>
      </c>
      <c r="I83" s="29">
        <f t="shared" si="13"/>
        <v>29.081858168761219</v>
      </c>
      <c r="J83" s="29">
        <f t="shared" si="13"/>
        <v>87.24557450628366</v>
      </c>
      <c r="K83" s="29">
        <f t="shared" si="13"/>
        <v>116.32743267504488</v>
      </c>
      <c r="L83" s="29">
        <f t="shared" si="13"/>
        <v>116.32743267504488</v>
      </c>
      <c r="M83" s="29">
        <f t="shared" si="13"/>
        <v>116.32743267504488</v>
      </c>
      <c r="N83" s="29">
        <f t="shared" si="13"/>
        <v>118.28619337485358</v>
      </c>
      <c r="O83" s="29">
        <f t="shared" si="13"/>
        <v>120.50201138242284</v>
      </c>
      <c r="P83" s="29">
        <f t="shared" si="13"/>
        <v>120.92425600966853</v>
      </c>
      <c r="Q83" s="29">
        <f t="shared" si="13"/>
        <v>121.69189293546876</v>
      </c>
      <c r="R83" s="29">
        <f t="shared" si="13"/>
        <v>122.28983135060132</v>
      </c>
    </row>
    <row r="84" spans="1:18" x14ac:dyDescent="0.25">
      <c r="A84" s="1" t="s">
        <v>76</v>
      </c>
      <c r="B84" s="60" t="s">
        <v>48</v>
      </c>
      <c r="C84" s="1" t="s">
        <v>49</v>
      </c>
      <c r="D84" s="29"/>
      <c r="E84" s="29"/>
      <c r="F84" s="29"/>
      <c r="G84" s="29"/>
      <c r="H84" s="29">
        <f>H80+H81+H82-H83</f>
        <v>0</v>
      </c>
      <c r="I84" s="29">
        <f t="shared" ref="I84:R84" si="14">I80+I81+I82-I83</f>
        <v>1425.0110502692996</v>
      </c>
      <c r="J84" s="29">
        <f t="shared" si="14"/>
        <v>2791.8583842010771</v>
      </c>
      <c r="K84" s="29">
        <f t="shared" si="14"/>
        <v>2675.5309515260324</v>
      </c>
      <c r="L84" s="29">
        <f t="shared" si="14"/>
        <v>2559.2035188509876</v>
      </c>
      <c r="M84" s="29">
        <f t="shared" si="14"/>
        <v>2442.8760861759429</v>
      </c>
      <c r="N84" s="29">
        <f t="shared" si="14"/>
        <v>2422.5279277915251</v>
      </c>
      <c r="O84" s="29">
        <f t="shared" si="14"/>
        <v>2314.8787817971288</v>
      </c>
      <c r="P84" s="29">
        <f t="shared" si="14"/>
        <v>2202.2138917617185</v>
      </c>
      <c r="Q84" s="29">
        <f t="shared" si="14"/>
        <v>2110.6444791420026</v>
      </c>
      <c r="R84" s="29">
        <f t="shared" si="14"/>
        <v>1988.1290882322762</v>
      </c>
    </row>
    <row r="85" spans="1:18" x14ac:dyDescent="0.25">
      <c r="A85" s="1" t="s">
        <v>77</v>
      </c>
      <c r="B85" s="60" t="s">
        <v>48</v>
      </c>
      <c r="C85" s="1" t="s">
        <v>49</v>
      </c>
      <c r="D85" s="29"/>
      <c r="E85" s="29"/>
      <c r="F85" s="29"/>
      <c r="G85" s="29"/>
      <c r="H85" s="29">
        <f t="shared" ref="H85:R85" si="15">(H80+H84)/2</f>
        <v>0</v>
      </c>
      <c r="I85" s="29">
        <f t="shared" si="15"/>
        <v>712.50552513464982</v>
      </c>
      <c r="J85" s="29">
        <f t="shared" si="15"/>
        <v>2108.4347172351881</v>
      </c>
      <c r="K85" s="29">
        <f t="shared" si="15"/>
        <v>2733.694667863555</v>
      </c>
      <c r="L85" s="29">
        <f t="shared" si="15"/>
        <v>2617.3672351885098</v>
      </c>
      <c r="M85" s="29">
        <f t="shared" si="15"/>
        <v>2501.0398025134655</v>
      </c>
      <c r="N85" s="29">
        <f t="shared" si="15"/>
        <v>2432.7020069837336</v>
      </c>
      <c r="O85" s="29">
        <f t="shared" si="15"/>
        <v>2368.703354794327</v>
      </c>
      <c r="P85" s="29">
        <f t="shared" si="15"/>
        <v>2258.5463367794237</v>
      </c>
      <c r="Q85" s="29">
        <f t="shared" si="15"/>
        <v>2156.4291854518606</v>
      </c>
      <c r="R85" s="29">
        <f t="shared" si="15"/>
        <v>2049.3867836871395</v>
      </c>
    </row>
    <row r="86" spans="1:18" x14ac:dyDescent="0.25">
      <c r="I86" s="3"/>
      <c r="J86" s="3"/>
      <c r="K86" s="3"/>
      <c r="L86" s="3"/>
      <c r="M86" s="3"/>
      <c r="N86" s="3"/>
      <c r="O86" s="3"/>
      <c r="P86" s="3"/>
      <c r="Q86" s="3"/>
      <c r="R86" s="3"/>
    </row>
    <row r="88" spans="1:18" x14ac:dyDescent="0.25">
      <c r="A88" s="7" t="s">
        <v>212</v>
      </c>
      <c r="B88" s="18"/>
    </row>
    <row r="90" spans="1:18" x14ac:dyDescent="0.25">
      <c r="A90" s="20" t="s">
        <v>220</v>
      </c>
      <c r="B90" s="26"/>
      <c r="C90" s="26"/>
      <c r="D90" s="21" t="s">
        <v>20</v>
      </c>
      <c r="E90" s="21" t="s">
        <v>21</v>
      </c>
      <c r="F90" s="21" t="s">
        <v>22</v>
      </c>
      <c r="G90" s="21" t="s">
        <v>23</v>
      </c>
      <c r="H90" s="21" t="s">
        <v>24</v>
      </c>
      <c r="I90" s="21" t="s">
        <v>47</v>
      </c>
    </row>
    <row r="91" spans="1:18" x14ac:dyDescent="0.25">
      <c r="A91" s="1" t="s">
        <v>44</v>
      </c>
      <c r="B91" s="60" t="s">
        <v>48</v>
      </c>
      <c r="C91" s="1" t="s">
        <v>49</v>
      </c>
      <c r="D91" s="29">
        <f>'RAB - NB'!D123</f>
        <v>156.15894334996273</v>
      </c>
      <c r="E91" s="29">
        <f>'RAB - NB'!E123</f>
        <v>119.76915704991052</v>
      </c>
      <c r="F91" s="29">
        <f>'RAB - NB'!F123</f>
        <v>102.00102100993359</v>
      </c>
      <c r="G91" s="29">
        <f>'RAB - NB'!G123</f>
        <v>124.58202023414968</v>
      </c>
      <c r="H91" s="29">
        <f>'RAB - NB'!H123</f>
        <v>131.02342359591407</v>
      </c>
      <c r="I91" s="29">
        <f>SUM(D91:H91)</f>
        <v>633.53456523987063</v>
      </c>
    </row>
    <row r="94" spans="1:18" x14ac:dyDescent="0.25">
      <c r="A94" s="7" t="s">
        <v>221</v>
      </c>
      <c r="B94" s="18"/>
    </row>
    <row r="95" spans="1:18" x14ac:dyDescent="0.25">
      <c r="A95" s="16" t="s">
        <v>73</v>
      </c>
      <c r="B95" s="20" t="s">
        <v>35</v>
      </c>
      <c r="C95" s="20" t="s">
        <v>46</v>
      </c>
      <c r="D95" s="24">
        <v>39538</v>
      </c>
      <c r="E95" s="24">
        <v>39721</v>
      </c>
      <c r="F95" s="24">
        <v>40086</v>
      </c>
      <c r="G95" s="24">
        <v>40268</v>
      </c>
      <c r="H95" s="24">
        <v>40451</v>
      </c>
      <c r="I95" s="24">
        <v>40816</v>
      </c>
      <c r="J95" s="24">
        <v>41182</v>
      </c>
      <c r="K95" s="24">
        <v>41547</v>
      </c>
      <c r="L95" s="24">
        <v>41912</v>
      </c>
      <c r="M95" s="24">
        <v>42277</v>
      </c>
      <c r="N95" s="24">
        <v>42643</v>
      </c>
      <c r="O95" s="24">
        <v>43008</v>
      </c>
      <c r="P95" s="24">
        <v>43373</v>
      </c>
      <c r="Q95" s="24">
        <v>43738</v>
      </c>
      <c r="R95" s="24">
        <v>44104</v>
      </c>
    </row>
    <row r="96" spans="1:18" x14ac:dyDescent="0.25">
      <c r="A96" s="1" t="s">
        <v>74</v>
      </c>
      <c r="B96" s="60" t="s">
        <v>48</v>
      </c>
      <c r="C96" s="1" t="s">
        <v>49</v>
      </c>
      <c r="D96" s="29"/>
      <c r="E96" s="29"/>
      <c r="F96" s="29"/>
      <c r="G96" s="29"/>
      <c r="H96" s="29">
        <v>0</v>
      </c>
      <c r="I96" s="29">
        <f>H100</f>
        <v>0</v>
      </c>
      <c r="J96" s="29">
        <f t="shared" ref="J96:R96" si="16">I100</f>
        <v>1425.0110502692996</v>
      </c>
      <c r="K96" s="29">
        <f t="shared" si="16"/>
        <v>2791.8583842010771</v>
      </c>
      <c r="L96" s="29">
        <f t="shared" si="16"/>
        <v>2675.5309515260324</v>
      </c>
      <c r="M96" s="29">
        <f t="shared" si="16"/>
        <v>2559.2035188509876</v>
      </c>
      <c r="N96" s="29">
        <f t="shared" si="16"/>
        <v>2442.8760861759429</v>
      </c>
      <c r="O96" s="29">
        <f t="shared" si="16"/>
        <v>2384.6551778164162</v>
      </c>
      <c r="P96" s="29">
        <f t="shared" si="16"/>
        <v>2277.7388861545323</v>
      </c>
      <c r="Q96" s="29">
        <f>P100</f>
        <v>2183.9972311188571</v>
      </c>
      <c r="R96" s="29">
        <f t="shared" si="16"/>
        <v>2089.5376912004604</v>
      </c>
    </row>
    <row r="97" spans="1:18" x14ac:dyDescent="0.25">
      <c r="A97" s="134" t="s">
        <v>237</v>
      </c>
      <c r="B97" s="60" t="s">
        <v>48</v>
      </c>
      <c r="C97" s="1" t="s">
        <v>49</v>
      </c>
      <c r="D97" s="29"/>
      <c r="E97" s="29"/>
      <c r="F97" s="29"/>
      <c r="G97" s="29"/>
      <c r="H97" s="29">
        <f t="shared" ref="H97:M97" si="17">H33</f>
        <v>0</v>
      </c>
      <c r="I97" s="29">
        <f t="shared" si="17"/>
        <v>1454.0929084380609</v>
      </c>
      <c r="J97" s="29">
        <f t="shared" si="17"/>
        <v>1454.0929084380609</v>
      </c>
      <c r="K97" s="29">
        <f t="shared" si="17"/>
        <v>0</v>
      </c>
      <c r="L97" s="29">
        <f t="shared" si="17"/>
        <v>0</v>
      </c>
      <c r="M97" s="29">
        <f t="shared" si="17"/>
        <v>0</v>
      </c>
      <c r="N97" s="29"/>
      <c r="O97" s="29"/>
      <c r="P97" s="29"/>
      <c r="Q97" s="29"/>
      <c r="R97" s="29"/>
    </row>
    <row r="98" spans="1:18" x14ac:dyDescent="0.25">
      <c r="A98" s="134" t="s">
        <v>238</v>
      </c>
      <c r="B98" s="60" t="s">
        <v>48</v>
      </c>
      <c r="C98" s="1" t="s">
        <v>49</v>
      </c>
      <c r="D98" s="29"/>
      <c r="E98" s="29"/>
      <c r="F98" s="29"/>
      <c r="G98" s="29"/>
      <c r="H98" s="29"/>
      <c r="I98" s="29"/>
      <c r="J98" s="29"/>
      <c r="K98" s="29"/>
      <c r="L98" s="29"/>
      <c r="M98" s="29"/>
      <c r="N98" s="29">
        <f>D27</f>
        <v>97.938034990436108</v>
      </c>
      <c r="O98" s="29">
        <f>E27</f>
        <v>12.852865388026608</v>
      </c>
      <c r="P98" s="29">
        <f>F27</f>
        <v>8.2593659742581327</v>
      </c>
      <c r="Q98" s="29">
        <f>G27</f>
        <v>30.122480315752949</v>
      </c>
      <c r="R98" s="29">
        <f>H27</f>
        <v>-0.2255595591250841</v>
      </c>
    </row>
    <row r="99" spans="1:18" x14ac:dyDescent="0.25">
      <c r="A99" s="134" t="s">
        <v>100</v>
      </c>
      <c r="B99" s="60" t="s">
        <v>48</v>
      </c>
      <c r="C99" s="1" t="s">
        <v>49</v>
      </c>
      <c r="D99" s="29">
        <f t="shared" ref="D99:M99" si="18">D67</f>
        <v>0</v>
      </c>
      <c r="E99" s="29">
        <f t="shared" si="18"/>
        <v>0</v>
      </c>
      <c r="F99" s="29">
        <f t="shared" si="18"/>
        <v>0</v>
      </c>
      <c r="G99" s="29">
        <f t="shared" si="18"/>
        <v>0</v>
      </c>
      <c r="H99" s="29">
        <f t="shared" si="18"/>
        <v>0</v>
      </c>
      <c r="I99" s="29">
        <f t="shared" si="18"/>
        <v>29.081858168761219</v>
      </c>
      <c r="J99" s="29">
        <f t="shared" si="18"/>
        <v>87.24557450628366</v>
      </c>
      <c r="K99" s="29">
        <f t="shared" si="18"/>
        <v>116.32743267504488</v>
      </c>
      <c r="L99" s="29">
        <f t="shared" si="18"/>
        <v>116.32743267504488</v>
      </c>
      <c r="M99" s="29">
        <f t="shared" si="18"/>
        <v>116.32743267504488</v>
      </c>
      <c r="N99" s="29">
        <f>D91</f>
        <v>156.15894334996273</v>
      </c>
      <c r="O99" s="29">
        <f>E91</f>
        <v>119.76915704991052</v>
      </c>
      <c r="P99" s="29">
        <f>F91</f>
        <v>102.00102100993359</v>
      </c>
      <c r="Q99" s="29">
        <f>G91</f>
        <v>124.58202023414968</v>
      </c>
      <c r="R99" s="29">
        <f>H91</f>
        <v>131.02342359591407</v>
      </c>
    </row>
    <row r="100" spans="1:18" x14ac:dyDescent="0.25">
      <c r="A100" s="1" t="s">
        <v>76</v>
      </c>
      <c r="B100" s="60" t="s">
        <v>48</v>
      </c>
      <c r="C100" s="1" t="s">
        <v>49</v>
      </c>
      <c r="D100" s="29"/>
      <c r="E100" s="29"/>
      <c r="F100" s="29"/>
      <c r="G100" s="29"/>
      <c r="H100" s="29">
        <f>H96+H97+H98-H99</f>
        <v>0</v>
      </c>
      <c r="I100" s="29">
        <f t="shared" ref="I100:R100" si="19">I96+I97+I98-I99</f>
        <v>1425.0110502692996</v>
      </c>
      <c r="J100" s="29">
        <f t="shared" si="19"/>
        <v>2791.8583842010771</v>
      </c>
      <c r="K100" s="29">
        <f t="shared" si="19"/>
        <v>2675.5309515260324</v>
      </c>
      <c r="L100" s="29">
        <f t="shared" si="19"/>
        <v>2559.2035188509876</v>
      </c>
      <c r="M100" s="29">
        <f t="shared" si="19"/>
        <v>2442.8760861759429</v>
      </c>
      <c r="N100" s="29">
        <f t="shared" si="19"/>
        <v>2384.6551778164162</v>
      </c>
      <c r="O100" s="29">
        <f t="shared" si="19"/>
        <v>2277.7388861545323</v>
      </c>
      <c r="P100" s="29">
        <f t="shared" si="19"/>
        <v>2183.9972311188571</v>
      </c>
      <c r="Q100" s="29">
        <f t="shared" si="19"/>
        <v>2089.5376912004604</v>
      </c>
      <c r="R100" s="29">
        <f t="shared" si="19"/>
        <v>1958.2887080454213</v>
      </c>
    </row>
    <row r="101" spans="1:18" x14ac:dyDescent="0.25">
      <c r="A101" s="1" t="s">
        <v>77</v>
      </c>
      <c r="B101" s="60" t="s">
        <v>48</v>
      </c>
      <c r="C101" s="1" t="s">
        <v>49</v>
      </c>
      <c r="D101" s="29"/>
      <c r="E101" s="29"/>
      <c r="F101" s="29"/>
      <c r="G101" s="29"/>
      <c r="H101" s="29">
        <f t="shared" ref="H101:R101" si="20">(H96+H100)/2</f>
        <v>0</v>
      </c>
      <c r="I101" s="29">
        <f t="shared" si="20"/>
        <v>712.50552513464982</v>
      </c>
      <c r="J101" s="29">
        <f t="shared" si="20"/>
        <v>2108.4347172351881</v>
      </c>
      <c r="K101" s="29">
        <f t="shared" si="20"/>
        <v>2733.694667863555</v>
      </c>
      <c r="L101" s="29">
        <f t="shared" si="20"/>
        <v>2617.3672351885098</v>
      </c>
      <c r="M101" s="29">
        <f t="shared" si="20"/>
        <v>2501.0398025134655</v>
      </c>
      <c r="N101" s="29">
        <f t="shared" si="20"/>
        <v>2413.7656319961798</v>
      </c>
      <c r="O101" s="29">
        <f t="shared" si="20"/>
        <v>2331.1970319854745</v>
      </c>
      <c r="P101" s="29">
        <f t="shared" si="20"/>
        <v>2230.8680586366945</v>
      </c>
      <c r="Q101" s="29">
        <f t="shared" si="20"/>
        <v>2136.7674611596585</v>
      </c>
      <c r="R101" s="29">
        <f t="shared" si="20"/>
        <v>2023.9131996229407</v>
      </c>
    </row>
    <row r="103" spans="1:18" x14ac:dyDescent="0.25">
      <c r="A103" s="7" t="s">
        <v>222</v>
      </c>
      <c r="B103" s="18"/>
    </row>
    <row r="104" spans="1:18" ht="39.6" x14ac:dyDescent="0.25">
      <c r="A104" s="16" t="s">
        <v>108</v>
      </c>
      <c r="B104" s="20" t="s">
        <v>35</v>
      </c>
      <c r="C104" s="20" t="s">
        <v>46</v>
      </c>
      <c r="D104" s="65" t="s">
        <v>109</v>
      </c>
      <c r="E104" s="65" t="s">
        <v>223</v>
      </c>
      <c r="F104" s="65" t="s">
        <v>110</v>
      </c>
      <c r="G104" s="3"/>
      <c r="H104" s="3"/>
      <c r="I104" s="90"/>
      <c r="J104" s="90"/>
      <c r="K104" s="90"/>
      <c r="L104" s="90"/>
      <c r="M104" s="90"/>
      <c r="N104" s="90"/>
      <c r="O104" s="90"/>
      <c r="P104" s="90"/>
      <c r="Q104" s="90"/>
      <c r="R104" s="90"/>
    </row>
    <row r="105" spans="1:18" x14ac:dyDescent="0.25">
      <c r="A105" s="1" t="s">
        <v>84</v>
      </c>
      <c r="B105" s="60" t="s">
        <v>48</v>
      </c>
      <c r="C105" s="1" t="s">
        <v>49</v>
      </c>
      <c r="D105" s="29">
        <f>SUM(N83:R83)</f>
        <v>603.69418505301496</v>
      </c>
      <c r="E105" s="29">
        <f>SUM(I91)</f>
        <v>633.53456523987063</v>
      </c>
      <c r="F105" s="29">
        <f>D105-E105</f>
        <v>-29.840380186855668</v>
      </c>
      <c r="G105" s="3"/>
      <c r="H105" s="3"/>
      <c r="I105" s="29"/>
    </row>
    <row r="107" spans="1:18" x14ac:dyDescent="0.25">
      <c r="A107" s="16" t="s">
        <v>112</v>
      </c>
      <c r="B107" s="20" t="s">
        <v>35</v>
      </c>
      <c r="C107" s="20" t="s">
        <v>46</v>
      </c>
      <c r="D107" s="20"/>
      <c r="E107" s="20"/>
      <c r="F107" s="65" t="s">
        <v>110</v>
      </c>
    </row>
    <row r="108" spans="1:18" x14ac:dyDescent="0.25">
      <c r="A108" s="1" t="s">
        <v>84</v>
      </c>
      <c r="B108" s="60" t="s">
        <v>48</v>
      </c>
      <c r="C108" s="1" t="s">
        <v>62</v>
      </c>
      <c r="F108" s="29">
        <f>F105*J14</f>
        <v>-33.832211871780828</v>
      </c>
    </row>
    <row r="110" spans="1:18" x14ac:dyDescent="0.25">
      <c r="A110" s="7" t="s">
        <v>113</v>
      </c>
      <c r="B110" s="18"/>
    </row>
    <row r="111" spans="1:18" x14ac:dyDescent="0.25">
      <c r="B111" s="26"/>
      <c r="C111" s="26"/>
      <c r="D111" s="21" t="s">
        <v>27</v>
      </c>
      <c r="E111" s="21" t="s">
        <v>28</v>
      </c>
      <c r="F111" s="21" t="s">
        <v>29</v>
      </c>
      <c r="G111" s="21" t="s">
        <v>30</v>
      </c>
      <c r="H111" s="21" t="s">
        <v>36</v>
      </c>
    </row>
    <row r="112" spans="1:18" x14ac:dyDescent="0.25">
      <c r="A112" s="1" t="s">
        <v>114</v>
      </c>
      <c r="D112" s="22">
        <v>0.2</v>
      </c>
      <c r="E112" s="22">
        <v>0.2</v>
      </c>
      <c r="F112" s="22">
        <v>0.2</v>
      </c>
      <c r="G112" s="22">
        <v>0.2</v>
      </c>
      <c r="H112" s="22">
        <v>0.2</v>
      </c>
    </row>
    <row r="113" spans="1:8" x14ac:dyDescent="0.25">
      <c r="A113" s="115" t="s">
        <v>214</v>
      </c>
      <c r="B113" s="20" t="s">
        <v>35</v>
      </c>
      <c r="C113" s="20" t="s">
        <v>46</v>
      </c>
      <c r="D113" s="29"/>
      <c r="E113" s="29"/>
      <c r="F113" s="29"/>
      <c r="G113" s="29"/>
      <c r="H113" s="29"/>
    </row>
    <row r="114" spans="1:8" x14ac:dyDescent="0.25">
      <c r="A114" s="1" t="s">
        <v>84</v>
      </c>
      <c r="B114" s="60" t="s">
        <v>48</v>
      </c>
      <c r="C114" s="1" t="s">
        <v>62</v>
      </c>
      <c r="D114" s="29">
        <f>$F108*D$112</f>
        <v>-6.7664423743561661</v>
      </c>
      <c r="E114" s="29">
        <f>$F108*E$112</f>
        <v>-6.7664423743561661</v>
      </c>
      <c r="F114" s="29">
        <f>$F108*F$112</f>
        <v>-6.7664423743561661</v>
      </c>
      <c r="G114" s="29">
        <f>$F108*G$112</f>
        <v>-6.7664423743561661</v>
      </c>
      <c r="H114" s="29">
        <f>$F108*H$112</f>
        <v>-6.7664423743561661</v>
      </c>
    </row>
    <row r="116" spans="1:8" x14ac:dyDescent="0.25">
      <c r="A116" s="7" t="s">
        <v>178</v>
      </c>
      <c r="B116" s="18"/>
    </row>
    <row r="118" spans="1:8" x14ac:dyDescent="0.25">
      <c r="A118" s="16" t="s">
        <v>73</v>
      </c>
      <c r="B118" s="20" t="s">
        <v>35</v>
      </c>
      <c r="C118" s="20" t="s">
        <v>46</v>
      </c>
      <c r="D118" s="21" t="s">
        <v>27</v>
      </c>
      <c r="E118" s="21" t="s">
        <v>28</v>
      </c>
      <c r="F118" s="21" t="s">
        <v>29</v>
      </c>
      <c r="G118" s="21" t="s">
        <v>30</v>
      </c>
      <c r="H118" s="21" t="s">
        <v>36</v>
      </c>
    </row>
    <row r="119" spans="1:8" x14ac:dyDescent="0.25">
      <c r="A119" s="1" t="s">
        <v>74</v>
      </c>
      <c r="B119" s="60" t="s">
        <v>48</v>
      </c>
      <c r="C119" s="1" t="s">
        <v>62</v>
      </c>
      <c r="D119" s="29">
        <f>R100*J14</f>
        <v>2220.2545028528962</v>
      </c>
      <c r="E119" s="29">
        <f>D123</f>
        <v>2134.9220587817526</v>
      </c>
      <c r="F119" s="29">
        <f t="shared" ref="F119:H119" si="21">E123</f>
        <v>2047.689614710609</v>
      </c>
      <c r="G119" s="29">
        <f t="shared" si="21"/>
        <v>1921.8071706394655</v>
      </c>
      <c r="H119" s="29">
        <f t="shared" si="21"/>
        <v>1795.524726568322</v>
      </c>
    </row>
    <row r="120" spans="1:8" x14ac:dyDescent="0.25">
      <c r="A120" s="1" t="s">
        <v>85</v>
      </c>
      <c r="B120" s="60" t="s">
        <v>48</v>
      </c>
      <c r="C120" s="1" t="s">
        <v>62</v>
      </c>
      <c r="D120" s="29">
        <f>S39</f>
        <v>47.5</v>
      </c>
      <c r="E120" s="29">
        <f>T39</f>
        <v>47.5</v>
      </c>
      <c r="F120" s="29">
        <f>U39</f>
        <v>10</v>
      </c>
      <c r="G120" s="29">
        <f>V39</f>
        <v>10</v>
      </c>
      <c r="H120" s="29">
        <f>W39</f>
        <v>10</v>
      </c>
    </row>
    <row r="121" spans="1:8" x14ac:dyDescent="0.25">
      <c r="A121" s="1" t="s">
        <v>86</v>
      </c>
      <c r="B121" s="60" t="s">
        <v>48</v>
      </c>
      <c r="C121" s="1" t="s">
        <v>62</v>
      </c>
      <c r="D121" s="29">
        <f>D74</f>
        <v>139.59888644549963</v>
      </c>
      <c r="E121" s="29">
        <f>E74</f>
        <v>141.49888644549964</v>
      </c>
      <c r="F121" s="29">
        <f>F74</f>
        <v>142.64888644549964</v>
      </c>
      <c r="G121" s="29">
        <f>G74</f>
        <v>143.04888644549965</v>
      </c>
      <c r="H121" s="29">
        <f>H74</f>
        <v>143.44888644549965</v>
      </c>
    </row>
    <row r="122" spans="1:8" x14ac:dyDescent="0.25">
      <c r="A122" s="134" t="s">
        <v>234</v>
      </c>
      <c r="B122" s="60" t="s">
        <v>48</v>
      </c>
      <c r="C122" s="1" t="s">
        <v>62</v>
      </c>
      <c r="D122" s="29">
        <f>D114</f>
        <v>-6.7664423743561661</v>
      </c>
      <c r="E122" s="29">
        <f>E114</f>
        <v>-6.7664423743561661</v>
      </c>
      <c r="F122" s="29">
        <f>F114</f>
        <v>-6.7664423743561661</v>
      </c>
      <c r="G122" s="29">
        <f>G114</f>
        <v>-6.7664423743561661</v>
      </c>
      <c r="H122" s="29">
        <f>H114</f>
        <v>-6.7664423743561661</v>
      </c>
    </row>
    <row r="123" spans="1:8" x14ac:dyDescent="0.25">
      <c r="A123" s="1" t="s">
        <v>76</v>
      </c>
      <c r="B123" s="60" t="s">
        <v>48</v>
      </c>
      <c r="C123" s="1" t="s">
        <v>62</v>
      </c>
      <c r="D123" s="29">
        <f>D119+D120-D121-D122</f>
        <v>2134.9220587817526</v>
      </c>
      <c r="E123" s="29">
        <f t="shared" ref="E123:H123" si="22">E119+E120-E121-E122</f>
        <v>2047.689614710609</v>
      </c>
      <c r="F123" s="29">
        <f t="shared" si="22"/>
        <v>1921.8071706394655</v>
      </c>
      <c r="G123" s="29">
        <f t="shared" si="22"/>
        <v>1795.524726568322</v>
      </c>
      <c r="H123" s="29">
        <f t="shared" si="22"/>
        <v>1668.8422824971783</v>
      </c>
    </row>
    <row r="124" spans="1:8" x14ac:dyDescent="0.25">
      <c r="A124" s="1" t="s">
        <v>77</v>
      </c>
      <c r="B124" s="60" t="s">
        <v>48</v>
      </c>
      <c r="C124" s="1" t="s">
        <v>62</v>
      </c>
      <c r="D124" s="29">
        <f>AVERAGE(D119,D123)</f>
        <v>2177.5882808173246</v>
      </c>
      <c r="E124" s="29">
        <f t="shared" ref="E124:H124" si="23">AVERAGE(E119,E123)</f>
        <v>2091.3058367461808</v>
      </c>
      <c r="F124" s="29">
        <f t="shared" si="23"/>
        <v>1984.7483926750374</v>
      </c>
      <c r="G124" s="29">
        <f t="shared" si="23"/>
        <v>1858.6659486038939</v>
      </c>
      <c r="H124" s="29">
        <f t="shared" si="23"/>
        <v>1732.1835045327502</v>
      </c>
    </row>
    <row r="126" spans="1:8" x14ac:dyDescent="0.25">
      <c r="A126" s="7" t="s">
        <v>178</v>
      </c>
      <c r="B126" s="18"/>
    </row>
    <row r="128" spans="1:8" x14ac:dyDescent="0.25">
      <c r="A128" s="16" t="s">
        <v>54</v>
      </c>
      <c r="B128" s="20" t="s">
        <v>35</v>
      </c>
      <c r="C128" s="20" t="s">
        <v>46</v>
      </c>
      <c r="D128" s="21" t="s">
        <v>27</v>
      </c>
      <c r="E128" s="21" t="s">
        <v>28</v>
      </c>
      <c r="F128" s="21" t="s">
        <v>29</v>
      </c>
      <c r="G128" s="21" t="s">
        <v>30</v>
      </c>
      <c r="H128" s="21" t="s">
        <v>36</v>
      </c>
    </row>
    <row r="129" spans="1:8" x14ac:dyDescent="0.25">
      <c r="A129" s="1" t="s">
        <v>179</v>
      </c>
      <c r="B129" s="60" t="s">
        <v>48</v>
      </c>
      <c r="C129" s="1" t="s">
        <v>87</v>
      </c>
      <c r="D129" s="29">
        <f>(R100*$J$14)*K7</f>
        <v>2278.03064233234</v>
      </c>
      <c r="E129" s="29">
        <f>D132*(L5/K5)</f>
        <v>2234.2872044172459</v>
      </c>
      <c r="F129" s="29">
        <f>E132*(M5/L5)</f>
        <v>2185.8546168773141</v>
      </c>
      <c r="G129" s="29">
        <f>F132*(N5/M5)</f>
        <v>2092.5079989867318</v>
      </c>
      <c r="H129" s="29">
        <f>G132*(O5/N5)</f>
        <v>1994.1089347179241</v>
      </c>
    </row>
    <row r="130" spans="1:8" x14ac:dyDescent="0.25">
      <c r="A130" s="1" t="s">
        <v>180</v>
      </c>
      <c r="B130" s="60" t="s">
        <v>48</v>
      </c>
      <c r="C130" s="1" t="s">
        <v>87</v>
      </c>
      <c r="D130" s="29">
        <f>S39*K7</f>
        <v>48.736059479553916</v>
      </c>
      <c r="E130" s="29">
        <f>T39*L7</f>
        <v>49.710780669144988</v>
      </c>
      <c r="F130" s="29">
        <f>U39*M7</f>
        <v>10.674736059479555</v>
      </c>
      <c r="G130" s="29">
        <f>V39*N7</f>
        <v>10.888230780669145</v>
      </c>
      <c r="H130" s="29">
        <f>W39*O7</f>
        <v>11.105995396282529</v>
      </c>
    </row>
    <row r="131" spans="1:8" x14ac:dyDescent="0.25">
      <c r="A131" s="134" t="s">
        <v>199</v>
      </c>
      <c r="B131" s="60" t="s">
        <v>48</v>
      </c>
      <c r="C131" s="1" t="s">
        <v>87</v>
      </c>
      <c r="D131" s="29">
        <f>(D121+D122)*K7</f>
        <v>136.28905042243719</v>
      </c>
      <c r="E131" s="29">
        <f>(E121+E122)*L7</f>
        <v>141.00326265765173</v>
      </c>
      <c r="F131" s="29">
        <f>(F121+F122)*M7</f>
        <v>145.05092255764492</v>
      </c>
      <c r="G131" s="29">
        <f>(G121+G122)*N7</f>
        <v>148.38747024002458</v>
      </c>
      <c r="H131" s="29">
        <f>(H121+H122)*O7</f>
        <v>151.79945946067639</v>
      </c>
    </row>
    <row r="132" spans="1:8" x14ac:dyDescent="0.25">
      <c r="A132" s="1" t="s">
        <v>181</v>
      </c>
      <c r="B132" s="60" t="s">
        <v>48</v>
      </c>
      <c r="C132" s="1" t="s">
        <v>87</v>
      </c>
      <c r="D132" s="29">
        <f>D129+D130-D131</f>
        <v>2190.4776513894567</v>
      </c>
      <c r="E132" s="29">
        <f t="shared" ref="E132:H132" si="24">E129+E130-E131</f>
        <v>2142.9947224287394</v>
      </c>
      <c r="F132" s="29">
        <f t="shared" si="24"/>
        <v>2051.4784303791489</v>
      </c>
      <c r="G132" s="29">
        <f t="shared" si="24"/>
        <v>1955.0087595273765</v>
      </c>
      <c r="H132" s="29">
        <f t="shared" si="24"/>
        <v>1853.4154706535301</v>
      </c>
    </row>
    <row r="133" spans="1:8" x14ac:dyDescent="0.25">
      <c r="A133" s="1" t="s">
        <v>77</v>
      </c>
      <c r="B133" s="60" t="s">
        <v>48</v>
      </c>
      <c r="C133" s="1" t="s">
        <v>87</v>
      </c>
      <c r="D133" s="29">
        <f>AVERAGE(D129,D132)</f>
        <v>2234.2541468608983</v>
      </c>
      <c r="E133" s="29">
        <f>AVERAGE(E129,E132)</f>
        <v>2188.6409634229926</v>
      </c>
      <c r="F133" s="29">
        <f>AVERAGE(F129,F132)</f>
        <v>2118.6665236282315</v>
      </c>
      <c r="G133" s="29">
        <f>AVERAGE(G129,G132)</f>
        <v>2023.758379257054</v>
      </c>
      <c r="H133" s="29">
        <f>AVERAGE(H129,H132)</f>
        <v>1923.7622026857271</v>
      </c>
    </row>
    <row r="135" spans="1:8" x14ac:dyDescent="0.25">
      <c r="D135" s="3"/>
      <c r="E135" s="3"/>
      <c r="F135" s="3"/>
      <c r="G135" s="3"/>
      <c r="H135" s="3"/>
    </row>
    <row r="136" spans="1:8" x14ac:dyDescent="0.25">
      <c r="D136" s="3"/>
      <c r="E136" s="3"/>
      <c r="F136" s="3"/>
      <c r="G136" s="3"/>
      <c r="H136" s="3"/>
    </row>
    <row r="137" spans="1:8" x14ac:dyDescent="0.25">
      <c r="D137" s="3"/>
      <c r="E137" s="3"/>
      <c r="F137" s="3"/>
      <c r="G137" s="3"/>
      <c r="H137" s="3"/>
    </row>
    <row r="138" spans="1:8" x14ac:dyDescent="0.25">
      <c r="D138" s="3"/>
      <c r="E138" s="3"/>
      <c r="F138" s="3"/>
      <c r="G138" s="3"/>
      <c r="H138" s="3"/>
    </row>
    <row r="139" spans="1:8" x14ac:dyDescent="0.25">
      <c r="D139" s="3"/>
      <c r="E139" s="3"/>
      <c r="F139" s="3"/>
      <c r="G139" s="3"/>
      <c r="H139" s="3"/>
    </row>
  </sheetData>
  <pageMargins left="0.7" right="0.7" top="0.75" bottom="0.75" header="0.3" footer="0.3"/>
  <pageSetup orientation="portrait" horizontalDpi="90" verticalDpi="90" r:id="rId1"/>
  <ignoredErrors>
    <ignoredError sqref="E119:H124 D123:D124 D132:E133"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showGridLines="0"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T85"/>
  <sheetViews>
    <sheetView showGridLines="0" zoomScale="85" zoomScaleNormal="85" workbookViewId="0"/>
  </sheetViews>
  <sheetFormatPr defaultColWidth="8.6640625" defaultRowHeight="13.2" x14ac:dyDescent="0.25"/>
  <cols>
    <col min="1" max="1" width="44.21875" style="2" customWidth="1"/>
    <col min="2" max="2" width="15" style="2" customWidth="1"/>
    <col min="3" max="3" width="14" style="2" customWidth="1"/>
    <col min="4" max="13" width="9.6640625" style="2" customWidth="1"/>
    <col min="14" max="16384" width="8.6640625" style="2"/>
  </cols>
  <sheetData>
    <row r="1" spans="1:20" x14ac:dyDescent="0.25">
      <c r="A1" s="7" t="s">
        <v>132</v>
      </c>
      <c r="B1" s="7"/>
      <c r="D1" s="92"/>
      <c r="E1" s="92"/>
      <c r="F1" s="92"/>
      <c r="G1" s="92"/>
      <c r="H1" s="92"/>
    </row>
    <row r="3" spans="1:20" x14ac:dyDescent="0.25">
      <c r="A3" s="20" t="s">
        <v>54</v>
      </c>
      <c r="B3" s="20" t="s">
        <v>35</v>
      </c>
      <c r="C3" s="20" t="s">
        <v>46</v>
      </c>
      <c r="D3" s="21" t="s">
        <v>27</v>
      </c>
      <c r="E3" s="21" t="s">
        <v>28</v>
      </c>
      <c r="F3" s="21" t="s">
        <v>29</v>
      </c>
      <c r="G3" s="21" t="s">
        <v>30</v>
      </c>
      <c r="H3" s="21" t="s">
        <v>36</v>
      </c>
    </row>
    <row r="4" spans="1:20" x14ac:dyDescent="0.25">
      <c r="A4" s="134" t="s">
        <v>174</v>
      </c>
      <c r="B4" s="134" t="s">
        <v>48</v>
      </c>
      <c r="C4" s="134" t="s">
        <v>87</v>
      </c>
      <c r="D4" s="112">
        <f>'RAB - NB'!D165</f>
        <v>1603.633928639247</v>
      </c>
      <c r="E4" s="93">
        <f>D7*('RAB - NB'!L5/'RAB - NB'!K5)</f>
        <v>3304.5757094024898</v>
      </c>
      <c r="F4" s="93">
        <f>E7*('RAB - NB'!M5/'RAB - NB'!L5)</f>
        <v>4420.3747165729937</v>
      </c>
      <c r="G4" s="93">
        <f>F7*('RAB - NB'!N5/'RAB - NB'!M5)</f>
        <v>4819.3566476304313</v>
      </c>
      <c r="H4" s="93">
        <f>G7*('RAB - NB'!O5/'RAB - NB'!N5)</f>
        <v>4870.8273268962757</v>
      </c>
      <c r="P4" s="142"/>
      <c r="Q4" s="142"/>
      <c r="R4" s="142"/>
      <c r="S4" s="142"/>
      <c r="T4" s="142"/>
    </row>
    <row r="5" spans="1:20" x14ac:dyDescent="0.25">
      <c r="A5" s="134" t="s">
        <v>175</v>
      </c>
      <c r="B5" s="134" t="s">
        <v>48</v>
      </c>
      <c r="C5" s="134" t="s">
        <v>87</v>
      </c>
      <c r="D5" s="112">
        <f>'RAB - NB'!D166</f>
        <v>2660.3850591078071</v>
      </c>
      <c r="E5" s="92">
        <f>'RAB - NB'!E166</f>
        <v>2334.6455352959115</v>
      </c>
      <c r="F5" s="92">
        <f>'RAB - NB'!F166</f>
        <v>1860.9001945178588</v>
      </c>
      <c r="G5" s="92">
        <f>'RAB - NB'!G166</f>
        <v>1690.8271516385666</v>
      </c>
      <c r="H5" s="92">
        <f>'RAB - NB'!H166</f>
        <v>1643.7920481864012</v>
      </c>
      <c r="P5" s="142"/>
      <c r="Q5" s="142"/>
      <c r="R5" s="142"/>
      <c r="S5" s="142"/>
      <c r="T5" s="142"/>
    </row>
    <row r="6" spans="1:20" x14ac:dyDescent="0.25">
      <c r="A6" s="134" t="s">
        <v>200</v>
      </c>
      <c r="B6" s="134" t="s">
        <v>48</v>
      </c>
      <c r="C6" s="134" t="s">
        <v>87</v>
      </c>
      <c r="D6" s="112">
        <f>'RAB - NB'!D167</f>
        <v>1024.2388804897109</v>
      </c>
      <c r="E6" s="112">
        <f>'RAB - NB'!E167</f>
        <v>1305.5205421758583</v>
      </c>
      <c r="F6" s="112">
        <f>'RAB - NB'!F167</f>
        <v>1556.4154526296456</v>
      </c>
      <c r="G6" s="112">
        <f>'RAB - NB'!G167</f>
        <v>1734.8628905471589</v>
      </c>
      <c r="H6" s="112">
        <f>'RAB - NB'!H167</f>
        <v>1828.6836738945124</v>
      </c>
      <c r="P6" s="142"/>
      <c r="Q6" s="142"/>
      <c r="R6" s="142"/>
      <c r="S6" s="142"/>
      <c r="T6" s="142"/>
    </row>
    <row r="7" spans="1:20" x14ac:dyDescent="0.25">
      <c r="A7" s="134" t="s">
        <v>176</v>
      </c>
      <c r="B7" s="134" t="s">
        <v>48</v>
      </c>
      <c r="C7" s="134" t="s">
        <v>87</v>
      </c>
      <c r="D7" s="112">
        <f t="shared" ref="D7:H7" si="0">D4+D5-D6</f>
        <v>3239.7801072573429</v>
      </c>
      <c r="E7" s="112">
        <f t="shared" si="0"/>
        <v>4333.700702522543</v>
      </c>
      <c r="F7" s="112">
        <f t="shared" si="0"/>
        <v>4724.8594584612074</v>
      </c>
      <c r="G7" s="112">
        <f t="shared" si="0"/>
        <v>4775.3209087218393</v>
      </c>
      <c r="H7" s="112">
        <f t="shared" si="0"/>
        <v>4685.9357011881648</v>
      </c>
      <c r="P7" s="142"/>
      <c r="Q7" s="142"/>
      <c r="R7" s="142"/>
      <c r="S7" s="142"/>
      <c r="T7" s="142"/>
    </row>
    <row r="8" spans="1:20" x14ac:dyDescent="0.25">
      <c r="A8" s="134" t="s">
        <v>77</v>
      </c>
      <c r="B8" s="134" t="s">
        <v>48</v>
      </c>
      <c r="C8" s="134" t="s">
        <v>87</v>
      </c>
      <c r="D8" s="112">
        <f t="shared" ref="D8:H8" si="1">(D4+D7)/2</f>
        <v>2421.7070179482948</v>
      </c>
      <c r="E8" s="112">
        <f t="shared" si="1"/>
        <v>3819.1382059625166</v>
      </c>
      <c r="F8" s="112">
        <f t="shared" si="1"/>
        <v>4572.617087517101</v>
      </c>
      <c r="G8" s="112">
        <f t="shared" si="1"/>
        <v>4797.3387781761357</v>
      </c>
      <c r="H8" s="112">
        <f t="shared" si="1"/>
        <v>4778.3815140422203</v>
      </c>
      <c r="P8" s="142"/>
      <c r="Q8" s="142"/>
      <c r="R8" s="142"/>
      <c r="S8" s="142"/>
      <c r="T8" s="142"/>
    </row>
    <row r="9" spans="1:20" x14ac:dyDescent="0.25">
      <c r="A9" s="1"/>
      <c r="B9" s="1"/>
      <c r="C9" s="1"/>
      <c r="D9" s="43"/>
      <c r="E9" s="43"/>
      <c r="F9" s="43"/>
      <c r="G9" s="43"/>
      <c r="H9" s="43"/>
      <c r="P9" s="142"/>
      <c r="Q9" s="142"/>
      <c r="R9" s="142"/>
      <c r="S9" s="142"/>
      <c r="T9" s="142"/>
    </row>
    <row r="10" spans="1:20" x14ac:dyDescent="0.25">
      <c r="A10" s="20" t="s">
        <v>73</v>
      </c>
      <c r="B10" s="20" t="s">
        <v>35</v>
      </c>
      <c r="C10" s="20" t="s">
        <v>46</v>
      </c>
      <c r="D10" s="21" t="s">
        <v>27</v>
      </c>
      <c r="E10" s="21" t="s">
        <v>28</v>
      </c>
      <c r="F10" s="21" t="s">
        <v>29</v>
      </c>
      <c r="G10" s="21" t="s">
        <v>30</v>
      </c>
      <c r="H10" s="21" t="s">
        <v>36</v>
      </c>
      <c r="P10" s="142"/>
      <c r="Q10" s="142"/>
      <c r="R10" s="142"/>
      <c r="S10" s="142"/>
      <c r="T10" s="142"/>
    </row>
    <row r="11" spans="1:20" x14ac:dyDescent="0.25">
      <c r="A11" s="134" t="s">
        <v>179</v>
      </c>
      <c r="B11" s="134" t="s">
        <v>48</v>
      </c>
      <c r="C11" s="134" t="s">
        <v>87</v>
      </c>
      <c r="D11" s="125">
        <f>'RAB - Build'!D129</f>
        <v>2278.03064233234</v>
      </c>
      <c r="E11" s="29">
        <f>D14*('RAB - Build'!L5/'RAB - Build'!K5)</f>
        <v>2234.2872044172459</v>
      </c>
      <c r="F11" s="29">
        <f>E14*('RAB - Build'!M5/'RAB - Build'!L5)</f>
        <v>2185.8546168773141</v>
      </c>
      <c r="G11" s="29">
        <f>F14*('RAB - Build'!N5/'RAB - Build'!M5)</f>
        <v>2092.5079989867318</v>
      </c>
      <c r="H11" s="29">
        <f>G14*('RAB - Build'!O5/'RAB - Build'!N5)</f>
        <v>1994.1089347179241</v>
      </c>
      <c r="P11" s="142"/>
      <c r="Q11" s="142"/>
      <c r="R11" s="142"/>
      <c r="S11" s="142"/>
      <c r="T11" s="142"/>
    </row>
    <row r="12" spans="1:20" x14ac:dyDescent="0.25">
      <c r="A12" s="134" t="s">
        <v>180</v>
      </c>
      <c r="B12" s="134" t="s">
        <v>48</v>
      </c>
      <c r="C12" s="134" t="s">
        <v>87</v>
      </c>
      <c r="D12" s="125">
        <f>'RAB - Build'!D130</f>
        <v>48.736059479553916</v>
      </c>
      <c r="E12" s="29">
        <f>'RAB - Build'!E130</f>
        <v>49.710780669144988</v>
      </c>
      <c r="F12" s="29">
        <f>'RAB - Build'!F130</f>
        <v>10.674736059479555</v>
      </c>
      <c r="G12" s="29">
        <f>'RAB - Build'!G130</f>
        <v>10.888230780669145</v>
      </c>
      <c r="H12" s="29">
        <f>'RAB - Build'!H130</f>
        <v>11.105995396282529</v>
      </c>
      <c r="P12" s="142"/>
      <c r="Q12" s="142"/>
      <c r="R12" s="142"/>
      <c r="S12" s="142"/>
      <c r="T12" s="142"/>
    </row>
    <row r="13" spans="1:20" x14ac:dyDescent="0.25">
      <c r="A13" s="134" t="s">
        <v>239</v>
      </c>
      <c r="B13" s="134" t="s">
        <v>48</v>
      </c>
      <c r="C13" s="134" t="s">
        <v>87</v>
      </c>
      <c r="D13" s="125">
        <f>'RAB - Build'!D131</f>
        <v>136.28905042243719</v>
      </c>
      <c r="E13" s="125">
        <f>'RAB - Build'!E131</f>
        <v>141.00326265765173</v>
      </c>
      <c r="F13" s="125">
        <f>'RAB - Build'!F131</f>
        <v>145.05092255764492</v>
      </c>
      <c r="G13" s="125">
        <f>'RAB - Build'!G131</f>
        <v>148.38747024002458</v>
      </c>
      <c r="H13" s="125">
        <f>'RAB - Build'!H131</f>
        <v>151.79945946067639</v>
      </c>
      <c r="P13" s="142"/>
      <c r="Q13" s="142"/>
      <c r="R13" s="142"/>
      <c r="S13" s="142"/>
      <c r="T13" s="142"/>
    </row>
    <row r="14" spans="1:20" x14ac:dyDescent="0.25">
      <c r="A14" s="134" t="s">
        <v>181</v>
      </c>
      <c r="B14" s="134" t="s">
        <v>48</v>
      </c>
      <c r="C14" s="134" t="s">
        <v>87</v>
      </c>
      <c r="D14" s="125">
        <f t="shared" ref="D14:H14" si="2">D11+D12-D13</f>
        <v>2190.4776513894567</v>
      </c>
      <c r="E14" s="125">
        <f t="shared" si="2"/>
        <v>2142.9947224287394</v>
      </c>
      <c r="F14" s="125">
        <f t="shared" si="2"/>
        <v>2051.4784303791489</v>
      </c>
      <c r="G14" s="125">
        <f t="shared" si="2"/>
        <v>1955.0087595273765</v>
      </c>
      <c r="H14" s="125">
        <f t="shared" si="2"/>
        <v>1853.4154706535301</v>
      </c>
      <c r="P14" s="142"/>
      <c r="Q14" s="142"/>
      <c r="R14" s="142"/>
      <c r="S14" s="142"/>
      <c r="T14" s="142"/>
    </row>
    <row r="15" spans="1:20" x14ac:dyDescent="0.25">
      <c r="A15" s="134" t="s">
        <v>77</v>
      </c>
      <c r="B15" s="134" t="s">
        <v>48</v>
      </c>
      <c r="C15" s="134" t="s">
        <v>87</v>
      </c>
      <c r="D15" s="125">
        <f t="shared" ref="D15:H15" si="3">(D14+D11)/2</f>
        <v>2234.2541468608983</v>
      </c>
      <c r="E15" s="125">
        <f t="shared" si="3"/>
        <v>2188.6409634229926</v>
      </c>
      <c r="F15" s="125">
        <f t="shared" si="3"/>
        <v>2118.6665236282315</v>
      </c>
      <c r="G15" s="125">
        <f t="shared" si="3"/>
        <v>2023.758379257054</v>
      </c>
      <c r="H15" s="125">
        <f t="shared" si="3"/>
        <v>1923.7622026857271</v>
      </c>
      <c r="P15" s="142"/>
      <c r="Q15" s="142"/>
      <c r="R15" s="142"/>
      <c r="S15" s="142"/>
      <c r="T15" s="142"/>
    </row>
    <row r="16" spans="1:20" x14ac:dyDescent="0.25">
      <c r="A16" s="1"/>
      <c r="B16" s="1"/>
      <c r="C16" s="1"/>
      <c r="D16" s="43"/>
      <c r="E16" s="43"/>
      <c r="F16" s="43"/>
      <c r="G16" s="43"/>
      <c r="H16" s="43"/>
    </row>
    <row r="17" spans="1:8" x14ac:dyDescent="0.25">
      <c r="A17" s="20" t="s">
        <v>242</v>
      </c>
      <c r="B17" s="20" t="s">
        <v>35</v>
      </c>
      <c r="C17" s="20" t="s">
        <v>46</v>
      </c>
      <c r="D17" s="21" t="s">
        <v>27</v>
      </c>
      <c r="E17" s="21" t="s">
        <v>28</v>
      </c>
      <c r="F17" s="21" t="s">
        <v>29</v>
      </c>
      <c r="G17" s="21" t="s">
        <v>30</v>
      </c>
      <c r="H17" s="21" t="s">
        <v>36</v>
      </c>
    </row>
    <row r="18" spans="1:8" x14ac:dyDescent="0.25">
      <c r="A18" s="1" t="s">
        <v>74</v>
      </c>
      <c r="B18" s="1" t="s">
        <v>48</v>
      </c>
      <c r="C18" s="2" t="s">
        <v>87</v>
      </c>
      <c r="D18" s="29">
        <f t="shared" ref="D18:H18" si="4">D4+D11</f>
        <v>3881.6645709715867</v>
      </c>
      <c r="E18" s="29">
        <f t="shared" si="4"/>
        <v>5538.8629138197357</v>
      </c>
      <c r="F18" s="29">
        <f t="shared" si="4"/>
        <v>6606.2293334503083</v>
      </c>
      <c r="G18" s="29">
        <f t="shared" si="4"/>
        <v>6911.8646466171631</v>
      </c>
      <c r="H18" s="29">
        <f t="shared" si="4"/>
        <v>6864.9362616141998</v>
      </c>
    </row>
    <row r="19" spans="1:8" x14ac:dyDescent="0.25">
      <c r="A19" s="134" t="s">
        <v>85</v>
      </c>
      <c r="B19" s="1" t="s">
        <v>48</v>
      </c>
      <c r="C19" s="2" t="s">
        <v>87</v>
      </c>
      <c r="D19" s="29">
        <f t="shared" ref="D19:H19" si="5">D5+D12</f>
        <v>2709.1211185873613</v>
      </c>
      <c r="E19" s="29">
        <f t="shared" si="5"/>
        <v>2384.3563159650566</v>
      </c>
      <c r="F19" s="29">
        <f t="shared" si="5"/>
        <v>1871.5749305773384</v>
      </c>
      <c r="G19" s="29">
        <f t="shared" si="5"/>
        <v>1701.7153824192358</v>
      </c>
      <c r="H19" s="29">
        <f t="shared" si="5"/>
        <v>1654.8980435826836</v>
      </c>
    </row>
    <row r="20" spans="1:8" x14ac:dyDescent="0.25">
      <c r="A20" s="134" t="s">
        <v>241</v>
      </c>
      <c r="B20" s="1" t="s">
        <v>48</v>
      </c>
      <c r="C20" s="2" t="s">
        <v>87</v>
      </c>
      <c r="D20" s="125">
        <f t="shared" ref="D20:H20" si="6">D6+D13</f>
        <v>1160.5279309121481</v>
      </c>
      <c r="E20" s="125">
        <f t="shared" si="6"/>
        <v>1446.52380483351</v>
      </c>
      <c r="F20" s="125">
        <f t="shared" si="6"/>
        <v>1701.4663751872906</v>
      </c>
      <c r="G20" s="125">
        <f t="shared" si="6"/>
        <v>1883.2503607871836</v>
      </c>
      <c r="H20" s="125">
        <f t="shared" si="6"/>
        <v>1980.4831333551888</v>
      </c>
    </row>
    <row r="21" spans="1:8" x14ac:dyDescent="0.25">
      <c r="A21" s="1" t="s">
        <v>76</v>
      </c>
      <c r="B21" s="1" t="s">
        <v>48</v>
      </c>
      <c r="C21" s="2" t="s">
        <v>87</v>
      </c>
      <c r="D21" s="125">
        <f t="shared" ref="D21:H21" si="7">D7+D14</f>
        <v>5430.2577586467996</v>
      </c>
      <c r="E21" s="125">
        <f t="shared" si="7"/>
        <v>6476.6954249512819</v>
      </c>
      <c r="F21" s="125">
        <f t="shared" si="7"/>
        <v>6776.3378888403568</v>
      </c>
      <c r="G21" s="125">
        <f t="shared" si="7"/>
        <v>6730.3296682492155</v>
      </c>
      <c r="H21" s="125">
        <f t="shared" si="7"/>
        <v>6539.3511718416948</v>
      </c>
    </row>
    <row r="22" spans="1:8" x14ac:dyDescent="0.25">
      <c r="A22" s="1" t="s">
        <v>77</v>
      </c>
      <c r="B22" s="1" t="s">
        <v>48</v>
      </c>
      <c r="C22" s="2" t="s">
        <v>87</v>
      </c>
      <c r="D22" s="125">
        <f t="shared" ref="D22:H22" si="8">D8+D15</f>
        <v>4655.9611648091932</v>
      </c>
      <c r="E22" s="125">
        <f t="shared" si="8"/>
        <v>6007.7791693855088</v>
      </c>
      <c r="F22" s="125">
        <f t="shared" si="8"/>
        <v>6691.2836111453325</v>
      </c>
      <c r="G22" s="125">
        <f t="shared" si="8"/>
        <v>6821.0971574331898</v>
      </c>
      <c r="H22" s="125">
        <f t="shared" si="8"/>
        <v>6702.1437167279473</v>
      </c>
    </row>
    <row r="25" spans="1:8" x14ac:dyDescent="0.25">
      <c r="A25" s="7" t="s">
        <v>123</v>
      </c>
      <c r="B25" s="7"/>
      <c r="D25" s="92"/>
      <c r="E25" s="92"/>
      <c r="F25" s="92"/>
      <c r="G25" s="92"/>
      <c r="H25" s="92"/>
    </row>
    <row r="27" spans="1:8" x14ac:dyDescent="0.25">
      <c r="A27" s="20" t="s">
        <v>54</v>
      </c>
      <c r="B27" s="20" t="s">
        <v>35</v>
      </c>
      <c r="C27" s="20" t="s">
        <v>46</v>
      </c>
      <c r="D27" s="21" t="s">
        <v>27</v>
      </c>
      <c r="E27" s="21" t="s">
        <v>28</v>
      </c>
      <c r="F27" s="21" t="s">
        <v>29</v>
      </c>
      <c r="G27" s="21" t="s">
        <v>30</v>
      </c>
      <c r="H27" s="21" t="s">
        <v>36</v>
      </c>
    </row>
    <row r="28" spans="1:8" x14ac:dyDescent="0.25">
      <c r="A28" s="134" t="s">
        <v>201</v>
      </c>
      <c r="B28" s="134" t="s">
        <v>48</v>
      </c>
      <c r="C28" s="134" t="s">
        <v>62</v>
      </c>
      <c r="D28" s="112">
        <f>'RAB - NB'!D154</f>
        <v>1562.9620536375267</v>
      </c>
      <c r="E28" s="93">
        <f t="shared" ref="E28:H28" si="9">D31</f>
        <v>3157.6117712037139</v>
      </c>
      <c r="F28" s="93">
        <f t="shared" si="9"/>
        <v>4140.9686309269819</v>
      </c>
      <c r="G28" s="93">
        <f t="shared" si="9"/>
        <v>4426.2072918096737</v>
      </c>
      <c r="H28" s="93">
        <f t="shared" si="9"/>
        <v>4385.7638627571105</v>
      </c>
    </row>
    <row r="29" spans="1:8" x14ac:dyDescent="0.25">
      <c r="A29" s="134" t="s">
        <v>202</v>
      </c>
      <c r="B29" s="134" t="s">
        <v>48</v>
      </c>
      <c r="C29" s="134" t="s">
        <v>62</v>
      </c>
      <c r="D29" s="112">
        <f>'RAB - NB'!D155</f>
        <v>2592.911525</v>
      </c>
      <c r="E29" s="92">
        <f>'RAB - NB'!E155</f>
        <v>2230.8171675000003</v>
      </c>
      <c r="F29" s="92">
        <f>'RAB - NB'!F155</f>
        <v>1743.2751349999999</v>
      </c>
      <c r="G29" s="92">
        <f>'RAB - NB'!G155</f>
        <v>1552.8942999999999</v>
      </c>
      <c r="H29" s="92">
        <f>'RAB - NB'!H155</f>
        <v>1480.0943</v>
      </c>
    </row>
    <row r="30" spans="1:8" x14ac:dyDescent="0.25">
      <c r="A30" s="134" t="s">
        <v>240</v>
      </c>
      <c r="B30" s="134" t="s">
        <v>48</v>
      </c>
      <c r="C30" s="134" t="s">
        <v>62</v>
      </c>
      <c r="D30" s="112">
        <f>'RAB - NB'!D156+'RAB - NB'!D157</f>
        <v>998.26180743381235</v>
      </c>
      <c r="E30" s="112">
        <f>'RAB - NB'!E156+'RAB - NB'!E157</f>
        <v>1247.4603077767329</v>
      </c>
      <c r="F30" s="112">
        <f>'RAB - NB'!F156+'RAB - NB'!F157</f>
        <v>1458.036474117308</v>
      </c>
      <c r="G30" s="112">
        <f>'RAB - NB'!G156+'RAB - NB'!G157</f>
        <v>1593.3377290525627</v>
      </c>
      <c r="H30" s="112">
        <f>'RAB - NB'!H156+'RAB - NB'!H157</f>
        <v>1646.5734125071053</v>
      </c>
    </row>
    <row r="31" spans="1:8" x14ac:dyDescent="0.25">
      <c r="A31" s="134" t="s">
        <v>203</v>
      </c>
      <c r="B31" s="134" t="s">
        <v>48</v>
      </c>
      <c r="C31" s="134" t="s">
        <v>62</v>
      </c>
      <c r="D31" s="112">
        <f t="shared" ref="D31:H31" si="10">D28+D29-D30</f>
        <v>3157.6117712037139</v>
      </c>
      <c r="E31" s="112">
        <f t="shared" si="10"/>
        <v>4140.9686309269819</v>
      </c>
      <c r="F31" s="112">
        <f t="shared" si="10"/>
        <v>4426.2072918096737</v>
      </c>
      <c r="G31" s="112">
        <f t="shared" si="10"/>
        <v>4385.7638627571105</v>
      </c>
      <c r="H31" s="112">
        <f t="shared" si="10"/>
        <v>4219.2847502500044</v>
      </c>
    </row>
    <row r="32" spans="1:8" x14ac:dyDescent="0.25">
      <c r="A32" s="1" t="s">
        <v>77</v>
      </c>
      <c r="B32" s="1" t="s">
        <v>48</v>
      </c>
      <c r="C32" s="2" t="s">
        <v>62</v>
      </c>
      <c r="D32" s="112">
        <f t="shared" ref="D32:H32" si="11">(D28+D31)/2</f>
        <v>2360.2869124206204</v>
      </c>
      <c r="E32" s="112">
        <f t="shared" si="11"/>
        <v>3649.2902010653479</v>
      </c>
      <c r="F32" s="112">
        <f t="shared" si="11"/>
        <v>4283.5879613683283</v>
      </c>
      <c r="G32" s="112">
        <f t="shared" si="11"/>
        <v>4405.9855772833926</v>
      </c>
      <c r="H32" s="112">
        <f t="shared" si="11"/>
        <v>4302.5243065035575</v>
      </c>
    </row>
    <row r="33" spans="1:13" x14ac:dyDescent="0.25">
      <c r="A33" s="1"/>
      <c r="B33" s="1"/>
      <c r="C33" s="1"/>
      <c r="D33" s="43"/>
      <c r="E33" s="43"/>
      <c r="F33" s="43"/>
      <c r="G33" s="43"/>
      <c r="H33" s="43"/>
    </row>
    <row r="34" spans="1:13" x14ac:dyDescent="0.25">
      <c r="A34" s="20" t="s">
        <v>73</v>
      </c>
      <c r="B34" s="20" t="s">
        <v>35</v>
      </c>
      <c r="C34" s="20" t="s">
        <v>46</v>
      </c>
      <c r="D34" s="21" t="s">
        <v>27</v>
      </c>
      <c r="E34" s="21" t="s">
        <v>28</v>
      </c>
      <c r="F34" s="21" t="s">
        <v>29</v>
      </c>
      <c r="G34" s="21" t="s">
        <v>30</v>
      </c>
      <c r="H34" s="21" t="s">
        <v>36</v>
      </c>
    </row>
    <row r="35" spans="1:13" x14ac:dyDescent="0.25">
      <c r="A35" s="134" t="s">
        <v>201</v>
      </c>
      <c r="B35" s="134" t="s">
        <v>48</v>
      </c>
      <c r="C35" s="134" t="s">
        <v>62</v>
      </c>
      <c r="D35" s="125">
        <f>'RAB - Build'!D119</f>
        <v>2220.2545028528962</v>
      </c>
      <c r="E35" s="29">
        <f t="shared" ref="E35:H35" si="12">D38</f>
        <v>2134.9220587817526</v>
      </c>
      <c r="F35" s="29">
        <f t="shared" si="12"/>
        <v>2047.6896147106092</v>
      </c>
      <c r="G35" s="29">
        <f t="shared" si="12"/>
        <v>1921.8071706394655</v>
      </c>
      <c r="H35" s="29">
        <f t="shared" si="12"/>
        <v>1795.524726568322</v>
      </c>
    </row>
    <row r="36" spans="1:13" x14ac:dyDescent="0.25">
      <c r="A36" s="134" t="s">
        <v>202</v>
      </c>
      <c r="B36" s="134" t="s">
        <v>48</v>
      </c>
      <c r="C36" s="134" t="s">
        <v>62</v>
      </c>
      <c r="D36" s="125">
        <f>'RAB - Build'!D120</f>
        <v>47.5</v>
      </c>
      <c r="E36" s="29">
        <f>'RAB - Build'!E120</f>
        <v>47.5</v>
      </c>
      <c r="F36" s="29">
        <f>'RAB - Build'!F120</f>
        <v>10</v>
      </c>
      <c r="G36" s="29">
        <f>'RAB - Build'!G120</f>
        <v>10</v>
      </c>
      <c r="H36" s="29">
        <f>'RAB - Build'!H120</f>
        <v>10</v>
      </c>
    </row>
    <row r="37" spans="1:13" x14ac:dyDescent="0.25">
      <c r="A37" s="134" t="s">
        <v>240</v>
      </c>
      <c r="B37" s="134" t="s">
        <v>48</v>
      </c>
      <c r="C37" s="134" t="s">
        <v>62</v>
      </c>
      <c r="D37" s="113">
        <f>'RAB - Build'!D121+'RAB - Build'!D122</f>
        <v>132.83244407114347</v>
      </c>
      <c r="E37" s="113">
        <f>'RAB - Build'!E121+'RAB - Build'!E122</f>
        <v>134.73244407114348</v>
      </c>
      <c r="F37" s="113">
        <f>'RAB - Build'!F121+'RAB - Build'!F122</f>
        <v>135.88244407114348</v>
      </c>
      <c r="G37" s="113">
        <f>'RAB - Build'!G121+'RAB - Build'!G122</f>
        <v>136.28244407114349</v>
      </c>
      <c r="H37" s="113">
        <f>'RAB - Build'!H121+'RAB - Build'!H122</f>
        <v>136.68244407114349</v>
      </c>
    </row>
    <row r="38" spans="1:13" x14ac:dyDescent="0.25">
      <c r="A38" s="134" t="s">
        <v>203</v>
      </c>
      <c r="B38" s="134" t="s">
        <v>48</v>
      </c>
      <c r="C38" s="134" t="s">
        <v>62</v>
      </c>
      <c r="D38" s="125">
        <f t="shared" ref="D38:H38" si="13">D35+D36-D37</f>
        <v>2134.9220587817526</v>
      </c>
      <c r="E38" s="125">
        <f t="shared" si="13"/>
        <v>2047.6896147106092</v>
      </c>
      <c r="F38" s="125">
        <f t="shared" si="13"/>
        <v>1921.8071706394655</v>
      </c>
      <c r="G38" s="125">
        <f t="shared" si="13"/>
        <v>1795.524726568322</v>
      </c>
      <c r="H38" s="125">
        <f t="shared" si="13"/>
        <v>1668.8422824971785</v>
      </c>
    </row>
    <row r="39" spans="1:13" x14ac:dyDescent="0.25">
      <c r="A39" s="1" t="s">
        <v>77</v>
      </c>
      <c r="B39" s="1" t="s">
        <v>48</v>
      </c>
      <c r="C39" s="2" t="s">
        <v>62</v>
      </c>
      <c r="D39" s="125">
        <f t="shared" ref="D39:H39" si="14">(D38+D35)/2</f>
        <v>2177.5882808173246</v>
      </c>
      <c r="E39" s="125">
        <f t="shared" si="14"/>
        <v>2091.3058367461808</v>
      </c>
      <c r="F39" s="125">
        <f t="shared" si="14"/>
        <v>1984.7483926750374</v>
      </c>
      <c r="G39" s="125">
        <f t="shared" si="14"/>
        <v>1858.6659486038939</v>
      </c>
      <c r="H39" s="125">
        <f t="shared" si="14"/>
        <v>1732.1835045327502</v>
      </c>
    </row>
    <row r="40" spans="1:13" x14ac:dyDescent="0.25">
      <c r="A40" s="1"/>
      <c r="B40" s="1"/>
      <c r="C40" s="1"/>
      <c r="D40" s="43"/>
      <c r="E40" s="43"/>
      <c r="F40" s="43"/>
      <c r="G40" s="43"/>
      <c r="H40" s="43"/>
    </row>
    <row r="41" spans="1:13" x14ac:dyDescent="0.25">
      <c r="A41" s="20" t="s">
        <v>242</v>
      </c>
      <c r="B41" s="20" t="s">
        <v>35</v>
      </c>
      <c r="C41" s="20" t="s">
        <v>46</v>
      </c>
      <c r="D41" s="21" t="s">
        <v>27</v>
      </c>
      <c r="E41" s="21" t="s">
        <v>28</v>
      </c>
      <c r="F41" s="21" t="s">
        <v>29</v>
      </c>
      <c r="G41" s="21" t="s">
        <v>30</v>
      </c>
      <c r="H41" s="21" t="s">
        <v>36</v>
      </c>
    </row>
    <row r="42" spans="1:13" x14ac:dyDescent="0.25">
      <c r="A42" s="134" t="s">
        <v>201</v>
      </c>
      <c r="B42" s="1" t="s">
        <v>48</v>
      </c>
      <c r="C42" s="2" t="s">
        <v>62</v>
      </c>
      <c r="D42" s="29">
        <f t="shared" ref="D42:H42" si="15">D28+D35</f>
        <v>3783.2165564904226</v>
      </c>
      <c r="E42" s="29">
        <f t="shared" si="15"/>
        <v>5292.5338299854666</v>
      </c>
      <c r="F42" s="29">
        <f t="shared" si="15"/>
        <v>6188.6582456375909</v>
      </c>
      <c r="G42" s="29">
        <f t="shared" si="15"/>
        <v>6348.0144624491395</v>
      </c>
      <c r="H42" s="29">
        <f t="shared" si="15"/>
        <v>6181.2885893254324</v>
      </c>
    </row>
    <row r="43" spans="1:13" x14ac:dyDescent="0.25">
      <c r="A43" s="134" t="s">
        <v>202</v>
      </c>
      <c r="B43" s="1" t="s">
        <v>48</v>
      </c>
      <c r="C43" s="2" t="s">
        <v>62</v>
      </c>
      <c r="D43" s="29">
        <f t="shared" ref="D43:H46" si="16">D29+D36</f>
        <v>2640.411525</v>
      </c>
      <c r="E43" s="29">
        <f t="shared" si="16"/>
        <v>2278.3171675000003</v>
      </c>
      <c r="F43" s="29">
        <f t="shared" si="16"/>
        <v>1753.2751349999999</v>
      </c>
      <c r="G43" s="29">
        <f t="shared" si="16"/>
        <v>1562.8942999999999</v>
      </c>
      <c r="H43" s="29">
        <f t="shared" si="16"/>
        <v>1490.0943</v>
      </c>
    </row>
    <row r="44" spans="1:13" x14ac:dyDescent="0.25">
      <c r="A44" s="134" t="s">
        <v>240</v>
      </c>
      <c r="B44" s="1" t="s">
        <v>48</v>
      </c>
      <c r="C44" s="2" t="s">
        <v>62</v>
      </c>
      <c r="D44" s="125">
        <f t="shared" si="16"/>
        <v>1131.0942515049558</v>
      </c>
      <c r="E44" s="125">
        <f t="shared" si="16"/>
        <v>1382.1927518478763</v>
      </c>
      <c r="F44" s="125">
        <f t="shared" si="16"/>
        <v>1593.9189181884515</v>
      </c>
      <c r="G44" s="125">
        <f t="shared" si="16"/>
        <v>1729.6201731237063</v>
      </c>
      <c r="H44" s="125">
        <f t="shared" si="16"/>
        <v>1783.2558565782488</v>
      </c>
    </row>
    <row r="45" spans="1:13" x14ac:dyDescent="0.25">
      <c r="A45" s="134" t="s">
        <v>203</v>
      </c>
      <c r="B45" s="1" t="s">
        <v>48</v>
      </c>
      <c r="C45" s="2" t="s">
        <v>62</v>
      </c>
      <c r="D45" s="125">
        <f t="shared" si="16"/>
        <v>5292.5338299854666</v>
      </c>
      <c r="E45" s="125">
        <f t="shared" si="16"/>
        <v>6188.6582456375909</v>
      </c>
      <c r="F45" s="125">
        <f t="shared" si="16"/>
        <v>6348.0144624491395</v>
      </c>
      <c r="G45" s="125">
        <f t="shared" si="16"/>
        <v>6181.2885893254324</v>
      </c>
      <c r="H45" s="125">
        <f t="shared" si="16"/>
        <v>5888.127032747183</v>
      </c>
    </row>
    <row r="46" spans="1:13" x14ac:dyDescent="0.25">
      <c r="A46" s="1" t="s">
        <v>77</v>
      </c>
      <c r="B46" s="1" t="s">
        <v>48</v>
      </c>
      <c r="C46" s="2" t="s">
        <v>62</v>
      </c>
      <c r="D46" s="125">
        <f t="shared" si="16"/>
        <v>4537.8751932379455</v>
      </c>
      <c r="E46" s="125">
        <f t="shared" si="16"/>
        <v>5740.5960378115287</v>
      </c>
      <c r="F46" s="125">
        <f t="shared" si="16"/>
        <v>6268.3363540433656</v>
      </c>
      <c r="G46" s="125">
        <f t="shared" si="16"/>
        <v>6264.651525887286</v>
      </c>
      <c r="H46" s="125">
        <f t="shared" si="16"/>
        <v>6034.7078110363072</v>
      </c>
    </row>
    <row r="47" spans="1:13" x14ac:dyDescent="0.25">
      <c r="A47" s="1"/>
      <c r="B47" s="1"/>
      <c r="D47" s="29"/>
      <c r="E47" s="29"/>
      <c r="F47" s="29"/>
      <c r="G47" s="29"/>
      <c r="H47" s="29"/>
      <c r="I47" s="29"/>
      <c r="J47" s="29"/>
      <c r="K47" s="29"/>
      <c r="L47" s="29"/>
      <c r="M47" s="29"/>
    </row>
    <row r="48" spans="1:13" x14ac:dyDescent="0.25">
      <c r="A48" s="1"/>
      <c r="B48" s="1"/>
      <c r="D48" s="29"/>
      <c r="E48" s="29"/>
      <c r="F48" s="29"/>
      <c r="G48" s="29"/>
      <c r="H48" s="29"/>
      <c r="I48" s="29"/>
      <c r="J48" s="29"/>
      <c r="K48" s="29"/>
      <c r="L48" s="29"/>
      <c r="M48" s="29"/>
    </row>
    <row r="49" spans="5:9" s="134" customFormat="1" x14ac:dyDescent="0.25"/>
    <row r="50" spans="5:9" s="134" customFormat="1" x14ac:dyDescent="0.25">
      <c r="E50" s="137"/>
      <c r="F50" s="137"/>
      <c r="G50" s="137"/>
      <c r="H50" s="137"/>
      <c r="I50" s="137"/>
    </row>
    <row r="51" spans="5:9" s="134" customFormat="1" x14ac:dyDescent="0.25">
      <c r="E51" s="137"/>
      <c r="F51" s="137"/>
      <c r="G51" s="137"/>
      <c r="H51" s="137"/>
      <c r="I51" s="137"/>
    </row>
    <row r="52" spans="5:9" s="134" customFormat="1" x14ac:dyDescent="0.25"/>
    <row r="53" spans="5:9" s="134" customFormat="1" x14ac:dyDescent="0.25"/>
    <row r="54" spans="5:9" s="134" customFormat="1" x14ac:dyDescent="0.25"/>
    <row r="55" spans="5:9" s="134" customFormat="1" x14ac:dyDescent="0.25"/>
    <row r="56" spans="5:9" s="134" customFormat="1" x14ac:dyDescent="0.25"/>
    <row r="57" spans="5:9" s="134" customFormat="1" x14ac:dyDescent="0.25"/>
    <row r="58" spans="5:9" s="134" customFormat="1" x14ac:dyDescent="0.25"/>
    <row r="59" spans="5:9" s="134" customFormat="1" x14ac:dyDescent="0.25"/>
    <row r="60" spans="5:9" s="134" customFormat="1" x14ac:dyDescent="0.25"/>
    <row r="61" spans="5:9" s="134" customFormat="1" x14ac:dyDescent="0.25"/>
    <row r="69" spans="4:13" x14ac:dyDescent="0.25">
      <c r="D69" s="92"/>
      <c r="E69" s="92"/>
      <c r="F69" s="92"/>
      <c r="G69" s="92"/>
      <c r="H69" s="92"/>
      <c r="I69" s="92"/>
      <c r="J69" s="92"/>
      <c r="K69" s="92"/>
      <c r="L69" s="92"/>
      <c r="M69" s="92"/>
    </row>
    <row r="70" spans="4:13" x14ac:dyDescent="0.25">
      <c r="D70" s="92"/>
      <c r="E70" s="92"/>
      <c r="F70" s="92"/>
      <c r="G70" s="92"/>
      <c r="H70" s="92"/>
      <c r="I70" s="92"/>
      <c r="J70" s="92"/>
      <c r="K70" s="92"/>
      <c r="L70" s="92"/>
      <c r="M70" s="92"/>
    </row>
    <row r="71" spans="4:13" x14ac:dyDescent="0.25">
      <c r="D71" s="92"/>
      <c r="E71" s="92"/>
      <c r="F71" s="92"/>
      <c r="G71" s="92"/>
      <c r="H71" s="92"/>
      <c r="I71" s="92"/>
      <c r="J71" s="92"/>
      <c r="K71" s="92"/>
      <c r="L71" s="92"/>
      <c r="M71" s="92"/>
    </row>
    <row r="72" spans="4:13" x14ac:dyDescent="0.25">
      <c r="D72" s="92"/>
      <c r="E72" s="92"/>
      <c r="F72" s="92"/>
      <c r="G72" s="92"/>
      <c r="H72" s="92"/>
      <c r="I72" s="92"/>
      <c r="J72" s="92"/>
      <c r="K72" s="92"/>
      <c r="L72" s="92"/>
      <c r="M72" s="92"/>
    </row>
    <row r="73" spans="4:13" x14ac:dyDescent="0.25">
      <c r="D73" s="92"/>
      <c r="E73" s="92"/>
      <c r="F73" s="92"/>
      <c r="G73" s="92"/>
      <c r="H73" s="92"/>
      <c r="I73" s="92"/>
      <c r="J73" s="92"/>
      <c r="K73" s="92"/>
      <c r="L73" s="92"/>
      <c r="M73" s="92"/>
    </row>
    <row r="74" spans="4:13" x14ac:dyDescent="0.25">
      <c r="D74" s="92"/>
      <c r="E74" s="92"/>
      <c r="F74" s="92"/>
      <c r="G74" s="92"/>
      <c r="H74" s="92"/>
      <c r="I74" s="92"/>
      <c r="J74" s="92"/>
      <c r="K74" s="92"/>
      <c r="L74" s="92"/>
      <c r="M74" s="92"/>
    </row>
    <row r="75" spans="4:13" x14ac:dyDescent="0.25">
      <c r="D75" s="92"/>
      <c r="E75" s="92"/>
      <c r="F75" s="92"/>
      <c r="G75" s="92"/>
      <c r="H75" s="92"/>
      <c r="I75" s="92"/>
      <c r="J75" s="92"/>
      <c r="K75" s="92"/>
      <c r="L75" s="92"/>
      <c r="M75" s="92"/>
    </row>
    <row r="76" spans="4:13" x14ac:dyDescent="0.25">
      <c r="D76" s="92"/>
      <c r="E76" s="92"/>
      <c r="F76" s="92"/>
      <c r="G76" s="92"/>
      <c r="H76" s="92"/>
      <c r="I76" s="92"/>
      <c r="J76" s="92"/>
      <c r="K76" s="92"/>
      <c r="L76" s="92"/>
      <c r="M76" s="92"/>
    </row>
    <row r="77" spans="4:13" x14ac:dyDescent="0.25">
      <c r="D77" s="92"/>
      <c r="E77" s="92"/>
      <c r="F77" s="92"/>
      <c r="G77" s="92"/>
      <c r="H77" s="92"/>
      <c r="I77" s="92"/>
      <c r="J77" s="92"/>
      <c r="K77" s="92"/>
      <c r="L77" s="92"/>
      <c r="M77" s="92"/>
    </row>
    <row r="78" spans="4:13" x14ac:dyDescent="0.25">
      <c r="D78" s="92"/>
      <c r="E78" s="92"/>
      <c r="F78" s="92"/>
      <c r="G78" s="92"/>
      <c r="H78" s="92"/>
      <c r="I78" s="92"/>
      <c r="J78" s="92"/>
      <c r="K78" s="92"/>
      <c r="L78" s="92"/>
      <c r="M78" s="92"/>
    </row>
    <row r="79" spans="4:13" x14ac:dyDescent="0.25">
      <c r="D79" s="92"/>
      <c r="E79" s="92"/>
      <c r="F79" s="92"/>
      <c r="G79" s="92"/>
      <c r="H79" s="92"/>
      <c r="I79" s="92"/>
      <c r="J79" s="92"/>
      <c r="K79" s="92"/>
      <c r="L79" s="92"/>
      <c r="M79" s="92"/>
    </row>
    <row r="80" spans="4:13" x14ac:dyDescent="0.25">
      <c r="D80" s="92"/>
      <c r="E80" s="92"/>
      <c r="F80" s="92"/>
      <c r="G80" s="92"/>
      <c r="H80" s="92"/>
      <c r="I80" s="92"/>
      <c r="J80" s="92"/>
      <c r="K80" s="92"/>
      <c r="L80" s="92"/>
      <c r="M80" s="92"/>
    </row>
    <row r="81" spans="4:13" x14ac:dyDescent="0.25">
      <c r="D81" s="92"/>
      <c r="E81" s="92"/>
      <c r="F81" s="92"/>
      <c r="G81" s="92"/>
      <c r="H81" s="92"/>
      <c r="I81" s="92"/>
      <c r="J81" s="92"/>
      <c r="K81" s="92"/>
      <c r="L81" s="92"/>
      <c r="M81" s="92"/>
    </row>
    <row r="82" spans="4:13" x14ac:dyDescent="0.25">
      <c r="D82" s="92"/>
      <c r="E82" s="92"/>
      <c r="F82" s="92"/>
      <c r="G82" s="92"/>
      <c r="H82" s="92"/>
      <c r="I82" s="92"/>
      <c r="J82" s="92"/>
      <c r="K82" s="92"/>
      <c r="L82" s="92"/>
      <c r="M82" s="92"/>
    </row>
    <row r="83" spans="4:13" x14ac:dyDescent="0.25">
      <c r="D83" s="92"/>
      <c r="E83" s="92"/>
      <c r="F83" s="92"/>
      <c r="G83" s="92"/>
      <c r="H83" s="92"/>
      <c r="I83" s="92"/>
      <c r="J83" s="92"/>
      <c r="K83" s="92"/>
      <c r="L83" s="92"/>
      <c r="M83" s="92"/>
    </row>
    <row r="84" spans="4:13" x14ac:dyDescent="0.25">
      <c r="D84" s="92"/>
      <c r="E84" s="92"/>
      <c r="F84" s="92"/>
      <c r="G84" s="92"/>
      <c r="H84" s="92"/>
      <c r="I84" s="92"/>
      <c r="J84" s="92"/>
      <c r="K84" s="92"/>
      <c r="L84" s="92"/>
      <c r="M84" s="92"/>
    </row>
    <row r="85" spans="4:13" x14ac:dyDescent="0.25">
      <c r="D85" s="92"/>
      <c r="E85" s="92"/>
      <c r="F85" s="92"/>
      <c r="G85" s="92"/>
      <c r="H85" s="92"/>
      <c r="I85" s="92"/>
      <c r="J85" s="92"/>
      <c r="K85" s="92"/>
      <c r="L85" s="92"/>
      <c r="M85" s="92"/>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22"/>
  <sheetViews>
    <sheetView showGridLines="0" zoomScale="85" zoomScaleNormal="85" workbookViewId="0"/>
  </sheetViews>
  <sheetFormatPr defaultColWidth="8.6640625" defaultRowHeight="13.2" x14ac:dyDescent="0.25"/>
  <cols>
    <col min="1" max="1" width="44.21875" style="2" customWidth="1"/>
    <col min="2" max="2" width="15" style="2" customWidth="1"/>
    <col min="3" max="3" width="14" style="2" customWidth="1"/>
    <col min="4" max="18" width="11.6640625" style="2" customWidth="1"/>
    <col min="19" max="23" width="9.6640625" style="2" customWidth="1"/>
    <col min="24" max="16384" width="8.6640625" style="2"/>
  </cols>
  <sheetData>
    <row r="1" spans="1:18" x14ac:dyDescent="0.25">
      <c r="A1" s="7" t="s">
        <v>132</v>
      </c>
      <c r="B1" s="7"/>
    </row>
    <row r="3" spans="1:18" x14ac:dyDescent="0.25">
      <c r="A3" s="20" t="s">
        <v>54</v>
      </c>
      <c r="B3" s="20" t="s">
        <v>35</v>
      </c>
      <c r="C3" s="20" t="s">
        <v>46</v>
      </c>
      <c r="D3" s="28" t="s">
        <v>15</v>
      </c>
      <c r="E3" s="28" t="s">
        <v>16</v>
      </c>
      <c r="F3" s="28" t="s">
        <v>17</v>
      </c>
      <c r="G3" s="28" t="s">
        <v>18</v>
      </c>
      <c r="H3" s="28" t="s">
        <v>19</v>
      </c>
      <c r="I3" s="28" t="s">
        <v>20</v>
      </c>
      <c r="J3" s="28" t="s">
        <v>21</v>
      </c>
      <c r="K3" s="28" t="s">
        <v>22</v>
      </c>
      <c r="L3" s="28" t="s">
        <v>23</v>
      </c>
      <c r="M3" s="28" t="s">
        <v>24</v>
      </c>
      <c r="N3" s="28" t="s">
        <v>27</v>
      </c>
      <c r="O3" s="28" t="s">
        <v>28</v>
      </c>
      <c r="P3" s="28" t="s">
        <v>29</v>
      </c>
      <c r="Q3" s="28" t="s">
        <v>30</v>
      </c>
      <c r="R3" s="28" t="s">
        <v>36</v>
      </c>
    </row>
    <row r="4" spans="1:18" x14ac:dyDescent="0.25">
      <c r="A4" s="1" t="s">
        <v>74</v>
      </c>
      <c r="B4" s="1" t="s">
        <v>48</v>
      </c>
      <c r="C4" s="2" t="s">
        <v>87</v>
      </c>
      <c r="D4" s="93">
        <f>'RAB - NB'!I130*Inflation!D8</f>
        <v>18916.576112074305</v>
      </c>
      <c r="E4" s="93">
        <f>'RAB - NB'!J130*Inflation!E8</f>
        <v>17191.074126635736</v>
      </c>
      <c r="F4" s="93">
        <f>'RAB - NB'!K130*Inflation!F8</f>
        <v>15438.145893995457</v>
      </c>
      <c r="G4" s="93">
        <f>'RAB - NB'!L130*Inflation!G8</f>
        <v>12329.246935164629</v>
      </c>
      <c r="H4" s="93">
        <f>'RAB - NB'!M130*Inflation!H8</f>
        <v>10118.337764552385</v>
      </c>
      <c r="I4" s="93">
        <f>'RAB - NB'!N130*Inflation!I8</f>
        <v>6574.2342859411483</v>
      </c>
      <c r="J4" s="93">
        <f>'RAB - NB'!O130*Inflation!J8</f>
        <v>4285.3723691228261</v>
      </c>
      <c r="K4" s="93">
        <f>'RAB - NB'!P130*Inflation!K8</f>
        <v>3515.7641819930764</v>
      </c>
      <c r="L4" s="93">
        <f>'RAB - NB'!Q130*Inflation!L8</f>
        <v>2877.9037337286027</v>
      </c>
      <c r="M4" s="93">
        <f>'RAB - NB'!R130*Inflation!M8</f>
        <v>2216.5248736536564</v>
      </c>
      <c r="N4" s="93">
        <f>M7*('RAB - NB'!K5/'RAB - NB'!J5)</f>
        <v>1603.6339286392467</v>
      </c>
      <c r="O4" s="93">
        <f>N7*('RAB - NB'!L5/'RAB - NB'!K5)</f>
        <v>3304.5757094024898</v>
      </c>
      <c r="P4" s="93">
        <f>O7*('RAB - NB'!M5/'RAB - NB'!L5)</f>
        <v>4420.3747165729937</v>
      </c>
      <c r="Q4" s="93">
        <f>P7*('RAB - NB'!N5/'RAB - NB'!M5)</f>
        <v>4819.3566476304313</v>
      </c>
      <c r="R4" s="93">
        <f>Q7*('RAB - NB'!O5/'RAB - NB'!N5)</f>
        <v>4870.8273268962757</v>
      </c>
    </row>
    <row r="5" spans="1:18" x14ac:dyDescent="0.25">
      <c r="A5" s="1" t="s">
        <v>99</v>
      </c>
      <c r="B5" s="1" t="s">
        <v>48</v>
      </c>
      <c r="C5" s="2" t="s">
        <v>87</v>
      </c>
      <c r="D5" s="93">
        <f>SUM('RAB - NB'!I131,'RAB - NB'!I132)*Inflation!D8</f>
        <v>928.97307001795321</v>
      </c>
      <c r="E5" s="93">
        <f>SUM('RAB - NB'!J131,'RAB - NB'!J132)*Inflation!E8</f>
        <v>1295.2199281867145</v>
      </c>
      <c r="F5" s="93">
        <f>SUM('RAB - NB'!K131,'RAB - NB'!K132)*Inflation!F8</f>
        <v>274.36041292639135</v>
      </c>
      <c r="G5" s="93">
        <f>SUM('RAB - NB'!L131,'RAB - NB'!L132)*Inflation!G8</f>
        <v>1589.5175044883301</v>
      </c>
      <c r="H5" s="93">
        <f>SUM('RAB - NB'!M131,'RAB - NB'!M132)*Inflation!H8</f>
        <v>422.66606822262116</v>
      </c>
      <c r="I5" s="93">
        <f>SUM('RAB - NB'!N131,'RAB - NB'!N132)*Inflation!I8</f>
        <v>1111.2671736292527</v>
      </c>
      <c r="J5" s="93">
        <f>SUM('RAB - NB'!O131,'RAB - NB'!O132)*Inflation!J8</f>
        <v>1026.0873990711771</v>
      </c>
      <c r="K5" s="93">
        <f>SUM('RAB - NB'!P131,'RAB - NB'!P132)*Inflation!K8</f>
        <v>741.96511095228823</v>
      </c>
      <c r="L5" s="93">
        <f>SUM('RAB - NB'!Q131,'RAB - NB'!Q132)*Inflation!L8</f>
        <v>1167.2107846206493</v>
      </c>
      <c r="M5" s="93">
        <f>SUM('RAB - NB'!R131,'RAB - NB'!R132)*Inflation!M8</f>
        <v>1338.8410410246383</v>
      </c>
      <c r="N5" s="92">
        <f>'RAB - NB'!D166</f>
        <v>2660.3850591078071</v>
      </c>
      <c r="O5" s="92">
        <f>'RAB - NB'!E166</f>
        <v>2334.6455352959115</v>
      </c>
      <c r="P5" s="92">
        <f>'RAB - NB'!F166</f>
        <v>1860.9001945178588</v>
      </c>
      <c r="Q5" s="92">
        <f>'RAB - NB'!G166</f>
        <v>1690.8271516385666</v>
      </c>
      <c r="R5" s="92">
        <f>'RAB - NB'!H166</f>
        <v>1643.7920481864012</v>
      </c>
    </row>
    <row r="6" spans="1:18" x14ac:dyDescent="0.25">
      <c r="A6" s="1" t="s">
        <v>258</v>
      </c>
      <c r="B6" s="1" t="s">
        <v>48</v>
      </c>
      <c r="C6" s="2" t="s">
        <v>87</v>
      </c>
      <c r="D6" s="93">
        <f>'RAB - NB'!I133*Inflation!D8</f>
        <v>3228.6923767998187</v>
      </c>
      <c r="E6" s="93">
        <f>'RAB - NB'!J133*Inflation!E8</f>
        <v>3481.2825145663446</v>
      </c>
      <c r="F6" s="93">
        <f>'RAB - NB'!K133*Inflation!F8</f>
        <v>3682.2086521562064</v>
      </c>
      <c r="G6" s="93">
        <f>'RAB - NB'!L133*Inflation!G8</f>
        <v>3890.6289109861195</v>
      </c>
      <c r="H6" s="93">
        <f>'RAB - NB'!M133*Inflation!H8</f>
        <v>4052.2798627183256</v>
      </c>
      <c r="I6" s="93">
        <f>'RAB - NB'!N133*Inflation!I8</f>
        <v>3545.8254163748843</v>
      </c>
      <c r="J6" s="93">
        <f>'RAB - NB'!O133*Inflation!J8</f>
        <v>1910.0804773562256</v>
      </c>
      <c r="K6" s="93">
        <f>'RAB - NB'!P133*Inflation!K8</f>
        <v>1464.7047463669803</v>
      </c>
      <c r="L6" s="93">
        <f>'RAB - NB'!Q133*Inflation!L8</f>
        <v>1861.9208458031699</v>
      </c>
      <c r="M6" s="93">
        <f>'RAB - NB'!R133*Inflation!M8</f>
        <v>1977.8781913972966</v>
      </c>
      <c r="N6" s="112">
        <f>'RAB - NB'!D167</f>
        <v>1024.2388804897109</v>
      </c>
      <c r="O6" s="112">
        <f>'RAB - NB'!E167</f>
        <v>1305.5205421758583</v>
      </c>
      <c r="P6" s="112">
        <f>'RAB - NB'!F167</f>
        <v>1556.4154526296456</v>
      </c>
      <c r="Q6" s="112">
        <f>'RAB - NB'!G167</f>
        <v>1734.8628905471589</v>
      </c>
      <c r="R6" s="112">
        <f>'RAB - NB'!H167</f>
        <v>1828.6836738945124</v>
      </c>
    </row>
    <row r="7" spans="1:18" x14ac:dyDescent="0.25">
      <c r="A7" s="1" t="s">
        <v>76</v>
      </c>
      <c r="B7" s="1" t="s">
        <v>48</v>
      </c>
      <c r="C7" s="2" t="s">
        <v>87</v>
      </c>
      <c r="D7" s="93">
        <f>D4+D5-D6</f>
        <v>16616.856805292438</v>
      </c>
      <c r="E7" s="93">
        <f t="shared" ref="E7:G7" si="0">E4+E5-E6</f>
        <v>15005.011540256106</v>
      </c>
      <c r="F7" s="93">
        <f t="shared" si="0"/>
        <v>12030.297654765642</v>
      </c>
      <c r="G7" s="93">
        <f t="shared" si="0"/>
        <v>10028.13552866684</v>
      </c>
      <c r="H7" s="93">
        <f t="shared" ref="H7" si="1">H4+H5-H6</f>
        <v>6488.7239700566806</v>
      </c>
      <c r="I7" s="93">
        <f t="shared" ref="I7:J7" si="2">I4+I5-I6</f>
        <v>4139.6760431955172</v>
      </c>
      <c r="J7" s="93">
        <f t="shared" si="2"/>
        <v>3401.3792908377773</v>
      </c>
      <c r="K7" s="93">
        <f t="shared" ref="K7" si="3">K4+K5-K6</f>
        <v>2793.0245465783837</v>
      </c>
      <c r="L7" s="93">
        <f t="shared" ref="L7" si="4">L4+L5-L6</f>
        <v>2183.1936725460819</v>
      </c>
      <c r="M7" s="93">
        <f>M4+M5-M6</f>
        <v>1577.4877232809981</v>
      </c>
      <c r="N7" s="112">
        <f t="shared" ref="N7:R7" si="5">N4+N5-N6</f>
        <v>3239.7801072573429</v>
      </c>
      <c r="O7" s="112">
        <f t="shared" si="5"/>
        <v>4333.700702522543</v>
      </c>
      <c r="P7" s="112">
        <f t="shared" si="5"/>
        <v>4724.8594584612074</v>
      </c>
      <c r="Q7" s="112">
        <f t="shared" si="5"/>
        <v>4775.3209087218393</v>
      </c>
      <c r="R7" s="112">
        <f t="shared" si="5"/>
        <v>4685.9357011881648</v>
      </c>
    </row>
    <row r="8" spans="1:18" x14ac:dyDescent="0.25">
      <c r="A8" s="1" t="s">
        <v>77</v>
      </c>
      <c r="B8" s="1" t="s">
        <v>48</v>
      </c>
      <c r="C8" s="2" t="s">
        <v>87</v>
      </c>
      <c r="D8" s="93">
        <f>AVERAGE(D4,D7)</f>
        <v>17766.716458683371</v>
      </c>
      <c r="E8" s="93">
        <f t="shared" ref="E8:G8" si="6">AVERAGE(E4,E7)</f>
        <v>16098.042833445921</v>
      </c>
      <c r="F8" s="93">
        <f t="shared" si="6"/>
        <v>13734.221774380549</v>
      </c>
      <c r="G8" s="93">
        <f t="shared" si="6"/>
        <v>11178.691231915735</v>
      </c>
      <c r="H8" s="93">
        <f t="shared" ref="H8" si="7">AVERAGE(H4,H7)</f>
        <v>8303.5308673045329</v>
      </c>
      <c r="I8" s="93">
        <f t="shared" ref="I8:J8" si="8">AVERAGE(I4,I7)</f>
        <v>5356.9551645683332</v>
      </c>
      <c r="J8" s="93">
        <f t="shared" si="8"/>
        <v>3843.3758299803017</v>
      </c>
      <c r="K8" s="93">
        <f t="shared" ref="K8" si="9">AVERAGE(K4,K7)</f>
        <v>3154.3943642857303</v>
      </c>
      <c r="L8" s="93">
        <f t="shared" ref="L8" si="10">AVERAGE(L4,L7)</f>
        <v>2530.5487031373423</v>
      </c>
      <c r="M8" s="93">
        <f t="shared" ref="M8" si="11">AVERAGE(M4,M7)</f>
        <v>1897.0062984673273</v>
      </c>
      <c r="N8" s="93">
        <f t="shared" ref="N8" si="12">AVERAGE(N4,N7)</f>
        <v>2421.7070179482948</v>
      </c>
      <c r="O8" s="93">
        <f t="shared" ref="O8" si="13">AVERAGE(O4,O7)</f>
        <v>3819.1382059625166</v>
      </c>
      <c r="P8" s="93">
        <f t="shared" ref="P8" si="14">AVERAGE(P4,P7)</f>
        <v>4572.617087517101</v>
      </c>
      <c r="Q8" s="93">
        <f t="shared" ref="Q8" si="15">AVERAGE(Q4,Q7)</f>
        <v>4797.3387781761357</v>
      </c>
      <c r="R8" s="93">
        <f t="shared" ref="R8" si="16">AVERAGE(R4,R7)</f>
        <v>4778.3815140422203</v>
      </c>
    </row>
    <row r="9" spans="1:18" x14ac:dyDescent="0.25">
      <c r="A9" s="1"/>
      <c r="B9" s="1"/>
      <c r="C9" s="1"/>
      <c r="D9" s="1"/>
      <c r="E9" s="1"/>
      <c r="F9" s="1"/>
      <c r="G9" s="1"/>
      <c r="H9" s="1"/>
      <c r="I9" s="3"/>
      <c r="J9" s="3"/>
      <c r="K9" s="3"/>
      <c r="L9" s="3"/>
      <c r="M9" s="3"/>
      <c r="N9" s="43"/>
      <c r="O9" s="43"/>
      <c r="P9" s="43"/>
      <c r="Q9" s="43"/>
      <c r="R9" s="43"/>
    </row>
    <row r="10" spans="1:18" x14ac:dyDescent="0.25">
      <c r="A10" s="20" t="s">
        <v>73</v>
      </c>
      <c r="B10" s="20" t="s">
        <v>35</v>
      </c>
      <c r="C10" s="20" t="s">
        <v>46</v>
      </c>
      <c r="D10" s="28" t="s">
        <v>15</v>
      </c>
      <c r="E10" s="28" t="s">
        <v>16</v>
      </c>
      <c r="F10" s="28" t="s">
        <v>17</v>
      </c>
      <c r="G10" s="28" t="s">
        <v>18</v>
      </c>
      <c r="H10" s="28" t="s">
        <v>19</v>
      </c>
      <c r="I10" s="28" t="s">
        <v>20</v>
      </c>
      <c r="J10" s="28" t="s">
        <v>21</v>
      </c>
      <c r="K10" s="28" t="s">
        <v>22</v>
      </c>
      <c r="L10" s="28" t="s">
        <v>23</v>
      </c>
      <c r="M10" s="28" t="s">
        <v>24</v>
      </c>
      <c r="N10" s="28" t="s">
        <v>27</v>
      </c>
      <c r="O10" s="28" t="s">
        <v>28</v>
      </c>
      <c r="P10" s="28" t="s">
        <v>29</v>
      </c>
      <c r="Q10" s="28" t="s">
        <v>30</v>
      </c>
      <c r="R10" s="28" t="s">
        <v>36</v>
      </c>
    </row>
    <row r="11" spans="1:18" x14ac:dyDescent="0.25">
      <c r="A11" s="1" t="s">
        <v>74</v>
      </c>
      <c r="B11" s="1" t="s">
        <v>48</v>
      </c>
      <c r="C11" s="2" t="s">
        <v>87</v>
      </c>
      <c r="D11" s="93">
        <f>'RAB - Build'!I96*Inflation!D8</f>
        <v>0</v>
      </c>
      <c r="E11" s="93">
        <f>D14*(Inflation!E7/Inflation!D7)</f>
        <v>1351.4477109515258</v>
      </c>
      <c r="F11" s="93">
        <f>E14*(Inflation!F7/Inflation!E7)</f>
        <v>2724.1637342908434</v>
      </c>
      <c r="G11" s="93">
        <f>'RAB - Build'!L96*Inflation!G8</f>
        <v>2675.5309515260324</v>
      </c>
      <c r="H11" s="93">
        <f>'RAB - Build'!M96*Inflation!H8</f>
        <v>2582.2233393177739</v>
      </c>
      <c r="I11" s="93">
        <f>'RAB - Build'!N96*Inflation!I8</f>
        <v>2497.3320646319571</v>
      </c>
      <c r="J11" s="93">
        <f>'RAB - Build'!O96*Inflation!J8</f>
        <v>2523.6124017095121</v>
      </c>
      <c r="K11" s="93">
        <f>'RAB - Build'!P96*Inflation!K8</f>
        <v>2491.5274401932843</v>
      </c>
      <c r="L11" s="93">
        <f>'RAB - Build'!Q96*Inflation!L8</f>
        <v>2461.5878060557475</v>
      </c>
      <c r="M11" s="93">
        <f>'RAB - Build'!R96*Inflation!M8</f>
        <v>2391.0783279047901</v>
      </c>
      <c r="N11" s="29">
        <f>M14*('RAB - Build'!K5/'RAB - Build'!J5)</f>
        <v>2278.0306423323391</v>
      </c>
      <c r="O11" s="29">
        <f>N14*('RAB - Build'!L5/'RAB - Build'!K5)</f>
        <v>2234.287204417245</v>
      </c>
      <c r="P11" s="29">
        <f>O14*('RAB - Build'!M5/'RAB - Build'!L5)</f>
        <v>2185.8546168773132</v>
      </c>
      <c r="Q11" s="29">
        <f>P14*('RAB - Build'!N5/'RAB - Build'!M5)</f>
        <v>2092.5079989867309</v>
      </c>
      <c r="R11" s="29">
        <f>Q14*('RAB - Build'!O5/'RAB - Build'!N5)</f>
        <v>1994.1089347179231</v>
      </c>
    </row>
    <row r="12" spans="1:18" x14ac:dyDescent="0.25">
      <c r="A12" s="1" t="s">
        <v>99</v>
      </c>
      <c r="B12" s="1" t="s">
        <v>48</v>
      </c>
      <c r="C12" s="2" t="s">
        <v>87</v>
      </c>
      <c r="D12" s="93">
        <f>SUM('RAB - Build'!I97:I98)*Inflation!D8</f>
        <v>1332.9658886894074</v>
      </c>
      <c r="E12" s="93">
        <f>SUM('RAB - Build'!J97:J98)*Inflation!E8</f>
        <v>1379.0282764811491</v>
      </c>
      <c r="F12" s="93">
        <f>SUM('RAB - Build'!K97:K98)*Inflation!F8</f>
        <v>0</v>
      </c>
      <c r="G12" s="93">
        <f>SUM('RAB - Build'!L97:L98)*Inflation!G8</f>
        <v>0</v>
      </c>
      <c r="H12" s="93">
        <f>SUM('RAB - Build'!M97:M98)*Inflation!H8</f>
        <v>0</v>
      </c>
      <c r="I12" s="93">
        <f>SUM('RAB - Build'!N97:N98)*Inflation!I8</f>
        <v>100.121245</v>
      </c>
      <c r="J12" s="93">
        <f>SUM('RAB - Build'!O97:O98)*Inflation!J8</f>
        <v>13.60182</v>
      </c>
      <c r="K12" s="93">
        <f>SUM('RAB - Build'!P97:P98)*Inflation!K8</f>
        <v>9.0345899999999997</v>
      </c>
      <c r="L12" s="93">
        <f>SUM('RAB - Build'!Q97:Q98)*Inflation!L8</f>
        <v>33.95111</v>
      </c>
      <c r="M12" s="93">
        <f>SUM('RAB - Build'!R97:R98)*Inflation!M8</f>
        <v>-0.25810999999999851</v>
      </c>
      <c r="N12" s="29">
        <f>'RAB - Build'!D130</f>
        <v>48.736059479553916</v>
      </c>
      <c r="O12" s="29">
        <f>'RAB - Build'!E130</f>
        <v>49.710780669144988</v>
      </c>
      <c r="P12" s="29">
        <f>'RAB - Build'!F130</f>
        <v>10.674736059479555</v>
      </c>
      <c r="Q12" s="29">
        <f>'RAB - Build'!G130</f>
        <v>10.888230780669145</v>
      </c>
      <c r="R12" s="29">
        <f>'RAB - Build'!H130</f>
        <v>11.105995396282529</v>
      </c>
    </row>
    <row r="13" spans="1:18" x14ac:dyDescent="0.25">
      <c r="A13" s="1" t="s">
        <v>258</v>
      </c>
      <c r="B13" s="1" t="s">
        <v>48</v>
      </c>
      <c r="C13" s="2" t="s">
        <v>87</v>
      </c>
      <c r="D13" s="93">
        <f>'RAB - Build'!I99*Inflation!D8</f>
        <v>26.65931777378815</v>
      </c>
      <c r="E13" s="93">
        <f>'RAB - Build'!J99*Inflation!E8</f>
        <v>82.741696588868948</v>
      </c>
      <c r="F13" s="93">
        <f>'RAB - Build'!K99*Inflation!F8</f>
        <v>113.50682226211849</v>
      </c>
      <c r="G13" s="93">
        <f>'RAB - Build'!L99*Inflation!G8</f>
        <v>116.32743267504488</v>
      </c>
      <c r="H13" s="93">
        <f>'RAB - Build'!M99*Inflation!H8</f>
        <v>117.3737881508079</v>
      </c>
      <c r="I13" s="93">
        <f>'RAB - Build'!N99*Inflation!I8</f>
        <v>159.63999918529629</v>
      </c>
      <c r="J13" s="93">
        <f>'RAB - Build'!O99*Inflation!J8</f>
        <v>126.74827492258814</v>
      </c>
      <c r="K13" s="93">
        <f>'RAB - Build'!P99*Inflation!K8</f>
        <v>111.57483604410805</v>
      </c>
      <c r="L13" s="93">
        <f>'RAB - Build'!Q99*Inflation!L8</f>
        <v>140.41665323223285</v>
      </c>
      <c r="M13" s="93">
        <f>'RAB - Build'!R99*Inflation!M8</f>
        <v>149.93137952352154</v>
      </c>
      <c r="N13" s="125">
        <f>'RAB - Build'!D131</f>
        <v>136.28905042243719</v>
      </c>
      <c r="O13" s="125">
        <f>'RAB - Build'!E131</f>
        <v>141.00326265765173</v>
      </c>
      <c r="P13" s="125">
        <f>'RAB - Build'!F131</f>
        <v>145.05092255764492</v>
      </c>
      <c r="Q13" s="125">
        <f>'RAB - Build'!G131</f>
        <v>148.38747024002458</v>
      </c>
      <c r="R13" s="125">
        <f>'RAB - Build'!H131</f>
        <v>151.79945946067639</v>
      </c>
    </row>
    <row r="14" spans="1:18" x14ac:dyDescent="0.25">
      <c r="A14" s="1" t="s">
        <v>76</v>
      </c>
      <c r="B14" s="1" t="s">
        <v>48</v>
      </c>
      <c r="C14" s="2" t="s">
        <v>87</v>
      </c>
      <c r="D14" s="93">
        <f>D11+D12-D13</f>
        <v>1306.3065709156192</v>
      </c>
      <c r="E14" s="93">
        <f t="shared" ref="E14:L14" si="17">E11+E12-E13</f>
        <v>2647.7342908438059</v>
      </c>
      <c r="F14" s="93">
        <f t="shared" si="17"/>
        <v>2610.6569120287249</v>
      </c>
      <c r="G14" s="93">
        <f t="shared" si="17"/>
        <v>2559.2035188509876</v>
      </c>
      <c r="H14" s="93">
        <f t="shared" si="17"/>
        <v>2464.8495511669662</v>
      </c>
      <c r="I14" s="93">
        <f t="shared" si="17"/>
        <v>2437.8133104466606</v>
      </c>
      <c r="J14" s="93">
        <f t="shared" si="17"/>
        <v>2410.4659467869237</v>
      </c>
      <c r="K14" s="93">
        <f t="shared" si="17"/>
        <v>2388.9871941491765</v>
      </c>
      <c r="L14" s="93">
        <f t="shared" si="17"/>
        <v>2355.1222628235146</v>
      </c>
      <c r="M14" s="93">
        <f>M11+M12-M13</f>
        <v>2240.8888383812682</v>
      </c>
      <c r="N14" s="125">
        <f t="shared" ref="N14:R14" si="18">N11+N12-N13</f>
        <v>2190.4776513894558</v>
      </c>
      <c r="O14" s="125">
        <f t="shared" si="18"/>
        <v>2142.9947224287384</v>
      </c>
      <c r="P14" s="125">
        <f t="shared" si="18"/>
        <v>2051.478430379148</v>
      </c>
      <c r="Q14" s="125">
        <f t="shared" si="18"/>
        <v>1955.0087595273756</v>
      </c>
      <c r="R14" s="125">
        <f t="shared" si="18"/>
        <v>1853.4154706535292</v>
      </c>
    </row>
    <row r="15" spans="1:18" x14ac:dyDescent="0.25">
      <c r="A15" s="1" t="s">
        <v>77</v>
      </c>
      <c r="B15" s="1" t="s">
        <v>48</v>
      </c>
      <c r="C15" s="2" t="s">
        <v>87</v>
      </c>
      <c r="D15" s="93">
        <f>AVERAGE(D11,D14)</f>
        <v>653.1532854578096</v>
      </c>
      <c r="E15" s="93">
        <f t="shared" ref="E15:L15" si="19">AVERAGE(E11,E14)</f>
        <v>1999.5910008976657</v>
      </c>
      <c r="F15" s="93">
        <f t="shared" si="19"/>
        <v>2667.4103231597842</v>
      </c>
      <c r="G15" s="93">
        <f t="shared" si="19"/>
        <v>2617.3672351885098</v>
      </c>
      <c r="H15" s="93">
        <f t="shared" si="19"/>
        <v>2523.5364452423701</v>
      </c>
      <c r="I15" s="93">
        <f t="shared" si="19"/>
        <v>2467.5726875393088</v>
      </c>
      <c r="J15" s="93">
        <f t="shared" si="19"/>
        <v>2467.0391742482179</v>
      </c>
      <c r="K15" s="93">
        <f t="shared" si="19"/>
        <v>2440.2573171712302</v>
      </c>
      <c r="L15" s="93">
        <f t="shared" si="19"/>
        <v>2408.3550344396308</v>
      </c>
      <c r="M15" s="93">
        <f>AVERAGE(M11,M14)</f>
        <v>2315.9835831430291</v>
      </c>
      <c r="N15" s="125">
        <f t="shared" ref="N15:R15" si="20">(N14+N11)/2</f>
        <v>2234.2541468608974</v>
      </c>
      <c r="O15" s="125">
        <f t="shared" si="20"/>
        <v>2188.6409634229917</v>
      </c>
      <c r="P15" s="125">
        <f t="shared" si="20"/>
        <v>2118.6665236282306</v>
      </c>
      <c r="Q15" s="125">
        <f t="shared" si="20"/>
        <v>2023.7583792570531</v>
      </c>
      <c r="R15" s="125">
        <f t="shared" si="20"/>
        <v>1923.7622026857262</v>
      </c>
    </row>
    <row r="16" spans="1:18" x14ac:dyDescent="0.25">
      <c r="A16" s="1"/>
      <c r="B16" s="1"/>
      <c r="C16" s="1"/>
      <c r="D16" s="1"/>
      <c r="E16" s="1"/>
      <c r="F16" s="1"/>
      <c r="G16" s="1"/>
      <c r="H16" s="1"/>
      <c r="I16" s="3"/>
      <c r="J16" s="3"/>
      <c r="K16" s="3"/>
      <c r="L16" s="3"/>
      <c r="M16" s="3"/>
      <c r="N16" s="43"/>
      <c r="O16" s="43"/>
      <c r="P16" s="43"/>
      <c r="Q16" s="43"/>
      <c r="R16" s="43"/>
    </row>
    <row r="17" spans="1:18" x14ac:dyDescent="0.25">
      <c r="A17" s="20" t="s">
        <v>261</v>
      </c>
      <c r="B17" s="20" t="s">
        <v>35</v>
      </c>
      <c r="C17" s="20" t="s">
        <v>46</v>
      </c>
      <c r="D17" s="28" t="s">
        <v>15</v>
      </c>
      <c r="E17" s="28" t="s">
        <v>16</v>
      </c>
      <c r="F17" s="28" t="s">
        <v>17</v>
      </c>
      <c r="G17" s="28" t="s">
        <v>18</v>
      </c>
      <c r="H17" s="28" t="s">
        <v>19</v>
      </c>
      <c r="I17" s="28" t="s">
        <v>20</v>
      </c>
      <c r="J17" s="28" t="s">
        <v>21</v>
      </c>
      <c r="K17" s="28" t="s">
        <v>22</v>
      </c>
      <c r="L17" s="28" t="s">
        <v>23</v>
      </c>
      <c r="M17" s="28" t="s">
        <v>24</v>
      </c>
      <c r="N17" s="28" t="s">
        <v>27</v>
      </c>
      <c r="O17" s="28" t="s">
        <v>28</v>
      </c>
      <c r="P17" s="28" t="s">
        <v>29</v>
      </c>
      <c r="Q17" s="28" t="s">
        <v>30</v>
      </c>
      <c r="R17" s="28" t="s">
        <v>36</v>
      </c>
    </row>
    <row r="18" spans="1:18" x14ac:dyDescent="0.25">
      <c r="A18" s="1" t="s">
        <v>74</v>
      </c>
      <c r="B18" s="1" t="s">
        <v>48</v>
      </c>
      <c r="C18" s="2" t="s">
        <v>87</v>
      </c>
      <c r="L18" s="93">
        <f>'RAB Inputs'!Q55*Inflation!L8</f>
        <v>1916.0735236605399</v>
      </c>
      <c r="M18" s="93">
        <f>L21*(Inflation!M7/Inflation!L7)</f>
        <v>972.66327727806038</v>
      </c>
    </row>
    <row r="19" spans="1:18" x14ac:dyDescent="0.25">
      <c r="A19" s="1" t="s">
        <v>99</v>
      </c>
      <c r="B19" s="1" t="s">
        <v>48</v>
      </c>
      <c r="C19" s="2" t="s">
        <v>87</v>
      </c>
      <c r="L19" s="93">
        <v>0</v>
      </c>
      <c r="M19" s="93">
        <v>0</v>
      </c>
    </row>
    <row r="20" spans="1:18" x14ac:dyDescent="0.25">
      <c r="A20" s="1" t="s">
        <v>240</v>
      </c>
      <c r="B20" s="1" t="s">
        <v>48</v>
      </c>
      <c r="C20" s="2" t="s">
        <v>87</v>
      </c>
      <c r="L20" s="93">
        <f>'RAB Inputs'!Q56*Inflation!L8</f>
        <v>958.03676183026994</v>
      </c>
      <c r="M20" s="93">
        <f>'RAB Inputs'!R56*Inflation!M8</f>
        <v>972.66327727806038</v>
      </c>
    </row>
    <row r="21" spans="1:18" x14ac:dyDescent="0.25">
      <c r="A21" s="1" t="s">
        <v>76</v>
      </c>
      <c r="B21" s="1" t="s">
        <v>48</v>
      </c>
      <c r="C21" s="2" t="s">
        <v>87</v>
      </c>
      <c r="L21" s="93">
        <f>L18+L19-L20</f>
        <v>958.03676183026994</v>
      </c>
      <c r="M21" s="93">
        <f t="shared" ref="M21" si="21">M18+M19-M20</f>
        <v>0</v>
      </c>
    </row>
    <row r="22" spans="1:18" x14ac:dyDescent="0.25">
      <c r="A22" s="1" t="s">
        <v>77</v>
      </c>
      <c r="B22" s="1" t="s">
        <v>48</v>
      </c>
      <c r="C22" s="2" t="s">
        <v>87</v>
      </c>
      <c r="L22" s="93">
        <f>AVERAGE(L18,L21)</f>
        <v>1437.055142745405</v>
      </c>
      <c r="M22" s="93">
        <f t="shared" ref="M22" si="22">AVERAGE(M18,M21)</f>
        <v>486.33163863903019</v>
      </c>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T35"/>
  <sheetViews>
    <sheetView showGridLines="0" zoomScale="85" zoomScaleNormal="85" workbookViewId="0"/>
  </sheetViews>
  <sheetFormatPr defaultColWidth="8.6640625" defaultRowHeight="13.2" x14ac:dyDescent="0.25"/>
  <cols>
    <col min="1" max="1" width="58.88671875" style="2" bestFit="1" customWidth="1"/>
    <col min="2" max="2" width="15" style="6" customWidth="1"/>
    <col min="3" max="3" width="16" style="2" customWidth="1"/>
    <col min="4" max="7" width="8.6640625" style="2"/>
    <col min="8" max="8" width="9.109375" style="2" bestFit="1" customWidth="1"/>
    <col min="9" max="16384" width="8.6640625" style="2"/>
  </cols>
  <sheetData>
    <row r="1" spans="1:9" x14ac:dyDescent="0.25">
      <c r="A1" s="7" t="s">
        <v>124</v>
      </c>
      <c r="B1" s="8"/>
    </row>
    <row r="3" spans="1:9" x14ac:dyDescent="0.25">
      <c r="A3" s="16" t="s">
        <v>250</v>
      </c>
      <c r="B3" s="17" t="s">
        <v>35</v>
      </c>
      <c r="C3" s="20" t="s">
        <v>46</v>
      </c>
      <c r="D3" s="21" t="s">
        <v>27</v>
      </c>
      <c r="E3" s="21" t="s">
        <v>28</v>
      </c>
      <c r="F3" s="21" t="s">
        <v>29</v>
      </c>
      <c r="G3" s="21" t="s">
        <v>30</v>
      </c>
      <c r="H3" s="21" t="s">
        <v>36</v>
      </c>
      <c r="I3" s="94"/>
    </row>
    <row r="4" spans="1:9" x14ac:dyDescent="0.25">
      <c r="A4" s="134" t="s">
        <v>243</v>
      </c>
      <c r="B4" s="5" t="s">
        <v>48</v>
      </c>
      <c r="C4" s="2" t="s">
        <v>87</v>
      </c>
      <c r="D4" s="29">
        <f>'RAB Summary (2020-25)'!D8</f>
        <v>2421.7070179482948</v>
      </c>
      <c r="E4" s="29">
        <f>'RAB Summary (2020-25)'!E8</f>
        <v>3819.1382059625166</v>
      </c>
      <c r="F4" s="29">
        <f>'RAB Summary (2020-25)'!F8</f>
        <v>4572.617087517101</v>
      </c>
      <c r="G4" s="29">
        <f>'RAB Summary (2020-25)'!G8</f>
        <v>4797.3387781761357</v>
      </c>
      <c r="H4" s="29">
        <f>'RAB Summary (2020-25)'!H8</f>
        <v>4778.3815140422203</v>
      </c>
      <c r="I4" s="29"/>
    </row>
    <row r="5" spans="1:9" x14ac:dyDescent="0.25">
      <c r="A5" s="134" t="s">
        <v>244</v>
      </c>
      <c r="B5" s="5" t="s">
        <v>48</v>
      </c>
      <c r="C5" s="2" t="s">
        <v>87</v>
      </c>
      <c r="D5" s="29">
        <f>'RAB Summary (2020-25)'!D15</f>
        <v>2234.2541468608983</v>
      </c>
      <c r="E5" s="29">
        <f>'RAB Summary (2020-25)'!E15</f>
        <v>2188.6409634229926</v>
      </c>
      <c r="F5" s="29">
        <f>'RAB Summary (2020-25)'!F15</f>
        <v>2118.6665236282315</v>
      </c>
      <c r="G5" s="29">
        <f>'RAB Summary (2020-25)'!G15</f>
        <v>2023.758379257054</v>
      </c>
      <c r="H5" s="29">
        <f>'RAB Summary (2020-25)'!H15</f>
        <v>1923.7622026857271</v>
      </c>
      <c r="I5" s="29"/>
    </row>
    <row r="6" spans="1:9" x14ac:dyDescent="0.25">
      <c r="A6" s="115" t="s">
        <v>245</v>
      </c>
      <c r="B6" s="94" t="s">
        <v>48</v>
      </c>
      <c r="C6" s="10" t="s">
        <v>87</v>
      </c>
      <c r="D6" s="96">
        <f>SUM(D4:D5)</f>
        <v>4655.9611648091932</v>
      </c>
      <c r="E6" s="96">
        <f>SUM(E4:E5)</f>
        <v>6007.7791693855088</v>
      </c>
      <c r="F6" s="96">
        <f>SUM(F4:F5)</f>
        <v>6691.2836111453325</v>
      </c>
      <c r="G6" s="96">
        <f>SUM(G4:G5)</f>
        <v>6821.0971574331898</v>
      </c>
      <c r="H6" s="96">
        <f>SUM(H4:H5)</f>
        <v>6702.1437167279473</v>
      </c>
      <c r="I6" s="29"/>
    </row>
    <row r="7" spans="1:9" x14ac:dyDescent="0.25">
      <c r="A7" s="16"/>
      <c r="B7" s="94"/>
      <c r="C7" s="10"/>
      <c r="D7" s="96"/>
      <c r="E7" s="96"/>
      <c r="F7" s="96"/>
      <c r="G7" s="96"/>
      <c r="H7" s="96"/>
      <c r="I7" s="29"/>
    </row>
    <row r="8" spans="1:9" x14ac:dyDescent="0.25">
      <c r="A8" s="7" t="s">
        <v>126</v>
      </c>
      <c r="B8" s="5"/>
      <c r="C8" s="1"/>
      <c r="D8" s="1"/>
      <c r="E8" s="1"/>
      <c r="F8" s="1"/>
      <c r="G8" s="16"/>
      <c r="H8" s="29"/>
      <c r="I8" s="1"/>
    </row>
    <row r="9" spans="1:9" x14ac:dyDescent="0.25">
      <c r="A9" s="1" t="s">
        <v>182</v>
      </c>
      <c r="B9" s="5" t="s">
        <v>26</v>
      </c>
      <c r="C9" s="1"/>
      <c r="D9" s="14">
        <v>0.4</v>
      </c>
      <c r="E9" s="14">
        <v>0.4</v>
      </c>
      <c r="F9" s="14">
        <v>0.4</v>
      </c>
      <c r="G9" s="14">
        <v>0.4</v>
      </c>
      <c r="H9" s="14">
        <v>0.4</v>
      </c>
      <c r="I9" s="1"/>
    </row>
    <row r="10" spans="1:9" x14ac:dyDescent="0.25">
      <c r="A10" s="1" t="s">
        <v>183</v>
      </c>
      <c r="B10" s="5" t="s">
        <v>26</v>
      </c>
      <c r="C10" s="1"/>
      <c r="D10" s="97">
        <v>7.4999999999999997E-3</v>
      </c>
      <c r="E10" s="97">
        <v>7.4999999999999997E-3</v>
      </c>
      <c r="F10" s="97">
        <v>7.4999999999999997E-3</v>
      </c>
      <c r="G10" s="97">
        <v>7.4999999999999997E-3</v>
      </c>
      <c r="H10" s="97">
        <v>7.4999999999999997E-3</v>
      </c>
      <c r="I10" s="1"/>
    </row>
    <row r="11" spans="1:9" x14ac:dyDescent="0.25">
      <c r="A11" s="1" t="s">
        <v>187</v>
      </c>
      <c r="B11" s="5" t="s">
        <v>26</v>
      </c>
      <c r="C11" s="1"/>
      <c r="D11" s="97">
        <v>5.0299999999999997E-2</v>
      </c>
      <c r="E11" s="97">
        <v>5.0299999999999997E-2</v>
      </c>
      <c r="F11" s="97">
        <v>5.0299999999999997E-2</v>
      </c>
      <c r="G11" s="97">
        <v>5.0299999999999997E-2</v>
      </c>
      <c r="H11" s="97">
        <v>5.0299999999999997E-2</v>
      </c>
      <c r="I11" s="1"/>
    </row>
    <row r="12" spans="1:9" x14ac:dyDescent="0.25">
      <c r="A12" s="1" t="s">
        <v>184</v>
      </c>
      <c r="B12" s="5" t="s">
        <v>26</v>
      </c>
      <c r="C12" s="1"/>
      <c r="D12" s="123">
        <f>'Post FD Inputs'!D31</f>
        <v>0.19</v>
      </c>
      <c r="E12" s="123">
        <f>'Post FD Inputs'!E31</f>
        <v>0.19</v>
      </c>
      <c r="F12" s="123">
        <f>'Post FD Inputs'!F31</f>
        <v>0.19</v>
      </c>
      <c r="G12" s="123">
        <f>'Post FD Inputs'!G31</f>
        <v>0.19</v>
      </c>
      <c r="H12" s="123">
        <f>'Post FD Inputs'!H31</f>
        <v>0.19</v>
      </c>
      <c r="I12" s="1"/>
    </row>
    <row r="13" spans="1:9" x14ac:dyDescent="0.25">
      <c r="A13" s="16" t="s">
        <v>127</v>
      </c>
      <c r="B13" s="94" t="s">
        <v>26</v>
      </c>
      <c r="C13" s="16"/>
      <c r="D13" s="98">
        <f>(D9*D10)+((1-D9)*(D11/(1-D12)))</f>
        <v>4.0259259259259259E-2</v>
      </c>
      <c r="E13" s="98">
        <f t="shared" ref="E13:H13" si="0">(E9*E10)+((1-E9)*(E11/(1-E12)))</f>
        <v>4.0259259259259259E-2</v>
      </c>
      <c r="F13" s="98">
        <f t="shared" si="0"/>
        <v>4.0259259259259259E-2</v>
      </c>
      <c r="G13" s="98">
        <f t="shared" si="0"/>
        <v>4.0259259259259259E-2</v>
      </c>
      <c r="H13" s="98">
        <f t="shared" si="0"/>
        <v>4.0259259259259259E-2</v>
      </c>
      <c r="I13" s="1"/>
    </row>
    <row r="14" spans="1:9" x14ac:dyDescent="0.25">
      <c r="A14" s="1"/>
      <c r="B14" s="5"/>
      <c r="C14" s="1"/>
      <c r="D14" s="1"/>
      <c r="E14" s="1"/>
      <c r="F14" s="1"/>
      <c r="G14" s="16"/>
      <c r="H14" s="29"/>
      <c r="I14" s="1"/>
    </row>
    <row r="15" spans="1:9" x14ac:dyDescent="0.25">
      <c r="A15" s="7" t="s">
        <v>133</v>
      </c>
      <c r="B15" s="8"/>
    </row>
    <row r="16" spans="1:9" x14ac:dyDescent="0.25">
      <c r="I16" s="95"/>
    </row>
    <row r="17" spans="1:20" x14ac:dyDescent="0.25">
      <c r="A17" s="10" t="s">
        <v>249</v>
      </c>
      <c r="B17" s="17" t="s">
        <v>35</v>
      </c>
      <c r="C17" s="20" t="s">
        <v>46</v>
      </c>
      <c r="D17" s="21" t="s">
        <v>27</v>
      </c>
      <c r="E17" s="21" t="s">
        <v>28</v>
      </c>
      <c r="F17" s="21" t="s">
        <v>29</v>
      </c>
      <c r="G17" s="21" t="s">
        <v>30</v>
      </c>
      <c r="H17" s="21" t="s">
        <v>36</v>
      </c>
    </row>
    <row r="18" spans="1:20" x14ac:dyDescent="0.25">
      <c r="A18" s="134" t="s">
        <v>247</v>
      </c>
      <c r="B18" s="138" t="s">
        <v>48</v>
      </c>
      <c r="C18" s="134" t="s">
        <v>87</v>
      </c>
      <c r="D18" s="139">
        <f>D4*D$13</f>
        <v>97.49613068554801</v>
      </c>
      <c r="E18" s="139">
        <f t="shared" ref="E18:H18" si="1">E4*E$13</f>
        <v>153.75567518078725</v>
      </c>
      <c r="F18" s="139">
        <f t="shared" si="1"/>
        <v>184.09017681966995</v>
      </c>
      <c r="G18" s="139">
        <f t="shared" si="1"/>
        <v>193.1373056250911</v>
      </c>
      <c r="H18" s="139">
        <f t="shared" si="1"/>
        <v>192.37410021347753</v>
      </c>
    </row>
    <row r="19" spans="1:20" x14ac:dyDescent="0.25">
      <c r="A19" s="134" t="s">
        <v>248</v>
      </c>
      <c r="B19" s="138" t="s">
        <v>48</v>
      </c>
      <c r="C19" s="134" t="s">
        <v>87</v>
      </c>
      <c r="D19" s="139">
        <f>D5*D$13</f>
        <v>89.949416949548024</v>
      </c>
      <c r="E19" s="139">
        <f t="shared" ref="E19:H19" si="2">E5*E$13</f>
        <v>88.113063971881218</v>
      </c>
      <c r="F19" s="139">
        <f t="shared" si="2"/>
        <v>85.295944858662509</v>
      </c>
      <c r="G19" s="139">
        <f t="shared" si="2"/>
        <v>81.475013268608066</v>
      </c>
      <c r="H19" s="139">
        <f t="shared" si="2"/>
        <v>77.44924127108834</v>
      </c>
    </row>
    <row r="20" spans="1:20" x14ac:dyDescent="0.25">
      <c r="A20" s="115" t="s">
        <v>246</v>
      </c>
      <c r="B20" s="118" t="s">
        <v>48</v>
      </c>
      <c r="C20" s="115" t="s">
        <v>87</v>
      </c>
      <c r="D20" s="140">
        <f>SUM(D18:D19)</f>
        <v>187.44554763509603</v>
      </c>
      <c r="E20" s="140">
        <f>SUM(E18:E19)</f>
        <v>241.86873915266847</v>
      </c>
      <c r="F20" s="140">
        <f>SUM(F18:F19)</f>
        <v>269.38612167833247</v>
      </c>
      <c r="G20" s="140">
        <f>SUM(G18:G19)</f>
        <v>274.61231889369918</v>
      </c>
      <c r="H20" s="140">
        <f>SUM(H18:H19)</f>
        <v>269.82334148456584</v>
      </c>
    </row>
    <row r="23" spans="1:20" x14ac:dyDescent="0.25">
      <c r="A23" s="7" t="s">
        <v>188</v>
      </c>
      <c r="B23" s="8"/>
      <c r="D23" s="48"/>
      <c r="E23" s="48"/>
      <c r="F23" s="48"/>
      <c r="G23" s="48"/>
      <c r="H23" s="48"/>
    </row>
    <row r="25" spans="1:20" x14ac:dyDescent="0.25">
      <c r="A25" s="10" t="s">
        <v>125</v>
      </c>
      <c r="B25" s="17" t="s">
        <v>35</v>
      </c>
      <c r="C25" s="20" t="s">
        <v>46</v>
      </c>
      <c r="D25" s="21" t="s">
        <v>27</v>
      </c>
      <c r="E25" s="21" t="s">
        <v>28</v>
      </c>
      <c r="F25" s="21" t="s">
        <v>29</v>
      </c>
      <c r="G25" s="21" t="s">
        <v>30</v>
      </c>
      <c r="H25" s="21" t="s">
        <v>36</v>
      </c>
      <c r="P25" s="48"/>
      <c r="Q25" s="48"/>
      <c r="R25" s="48"/>
      <c r="S25" s="48"/>
      <c r="T25" s="48"/>
    </row>
    <row r="26" spans="1:20" x14ac:dyDescent="0.25">
      <c r="A26" s="134" t="s">
        <v>252</v>
      </c>
      <c r="B26" s="138" t="s">
        <v>48</v>
      </c>
      <c r="C26" s="134" t="s">
        <v>62</v>
      </c>
      <c r="D26" s="139">
        <f>D18/Inflation!N$4</f>
        <v>95.02340273337829</v>
      </c>
      <c r="E26" s="139">
        <f>E18/Inflation!O$4</f>
        <v>146.91772031696422</v>
      </c>
      <c r="F26" s="139">
        <f>F18/Inflation!P$4</f>
        <v>172.45407829656938</v>
      </c>
      <c r="G26" s="139">
        <f>G18/Inflation!Q$4</f>
        <v>177.3817156484092</v>
      </c>
      <c r="H26" s="139">
        <f>H18/Inflation!R$4</f>
        <v>173.21644152479141</v>
      </c>
      <c r="P26" s="48"/>
      <c r="Q26" s="48"/>
      <c r="R26" s="48"/>
      <c r="S26" s="48"/>
      <c r="T26" s="48"/>
    </row>
    <row r="27" spans="1:20" x14ac:dyDescent="0.25">
      <c r="A27" s="134" t="s">
        <v>253</v>
      </c>
      <c r="B27" s="138" t="s">
        <v>48</v>
      </c>
      <c r="C27" s="134" t="s">
        <v>62</v>
      </c>
      <c r="D27" s="139">
        <f>D19/Inflation!N$4</f>
        <v>87.668091157349323</v>
      </c>
      <c r="E27" s="139">
        <f>E19/Inflation!O$4</f>
        <v>84.194423871966634</v>
      </c>
      <c r="F27" s="139">
        <f>F19/Inflation!P$4</f>
        <v>79.904500105102457</v>
      </c>
      <c r="G27" s="139">
        <f>G19/Inflation!Q$4</f>
        <v>74.828514301201238</v>
      </c>
      <c r="H27" s="139">
        <f>H19/Inflation!R$4</f>
        <v>69.736424793596314</v>
      </c>
      <c r="P27" s="48"/>
      <c r="Q27" s="48"/>
      <c r="R27" s="48"/>
      <c r="S27" s="48"/>
      <c r="T27" s="48"/>
    </row>
    <row r="28" spans="1:20" x14ac:dyDescent="0.25">
      <c r="A28" s="115" t="s">
        <v>251</v>
      </c>
      <c r="B28" s="118" t="s">
        <v>48</v>
      </c>
      <c r="C28" s="115" t="s">
        <v>62</v>
      </c>
      <c r="D28" s="140">
        <f>SUM(D26:D27)</f>
        <v>182.6914938907276</v>
      </c>
      <c r="E28" s="140">
        <f>SUM(E26:E27)</f>
        <v>231.11214418893087</v>
      </c>
      <c r="F28" s="140">
        <f>SUM(F26:F27)</f>
        <v>252.35857840167182</v>
      </c>
      <c r="G28" s="140">
        <f>SUM(G26:G27)</f>
        <v>252.21022994961044</v>
      </c>
      <c r="H28" s="140">
        <f>SUM(H26:H27)</f>
        <v>242.95286631838772</v>
      </c>
      <c r="P28" s="48"/>
      <c r="Q28" s="48"/>
      <c r="R28" s="48"/>
      <c r="S28" s="48"/>
      <c r="T28" s="48"/>
    </row>
    <row r="35" spans="4:8" x14ac:dyDescent="0.25">
      <c r="D35" s="48"/>
      <c r="E35" s="48"/>
      <c r="F35" s="48"/>
      <c r="G35" s="48"/>
      <c r="H35" s="4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Guidance</vt:lpstr>
      <vt:lpstr>Index</vt:lpstr>
      <vt:lpstr>Main Inputs&gt;&gt;</vt:lpstr>
      <vt:lpstr>Inflation</vt:lpstr>
      <vt:lpstr>FD Allowances</vt:lpstr>
      <vt:lpstr>Post FD Inputs</vt:lpstr>
      <vt:lpstr>RAB Inputs</vt:lpstr>
      <vt:lpstr>Calcs &gt;&gt;</vt:lpstr>
      <vt:lpstr>Cost Sharing</vt:lpstr>
      <vt:lpstr>RAB - NB</vt:lpstr>
      <vt:lpstr>RAB - Build</vt:lpstr>
      <vt:lpstr>Results</vt:lpstr>
      <vt:lpstr>RAB Summary (2020-25)</vt:lpstr>
      <vt:lpstr>RAB Summary (from 2010)</vt:lpstr>
      <vt:lpstr>Return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2021-11-02T17:38:50Z</dcterms:modified>
</cp:coreProperties>
</file>