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r-ureg-docs\ofreg ni\NETWORK GROUP\Price Controls\GDNs GD23\40 = Draft Determinations\Draft Determinations WIP\Annex J - Pi Model FE\"/>
    </mc:Choice>
  </mc:AlternateContent>
  <bookViews>
    <workbookView xWindow="0" yWindow="0" windowWidth="19155" windowHeight="5448" tabRatio="674"/>
  </bookViews>
  <sheets>
    <sheet name="Title" sheetId="61" r:id="rId1"/>
    <sheet name="Inputs" sheetId="55" r:id="rId2"/>
    <sheet name="DAV Inputs" sheetId="59" r:id="rId3"/>
    <sheet name="CRI GD14" sheetId="63" r:id="rId4"/>
    <sheet name="CRI GD17" sheetId="62" r:id="rId5"/>
    <sheet name="DAV Pi" sheetId="38" r:id="rId6"/>
    <sheet name="Pi's Calc" sheetId="41" r:id="rId7"/>
    <sheet name="UR Tax Calculation" sheetId="57" r:id="rId8"/>
    <sheet name="Financeability" sheetId="56" r:id="rId9"/>
    <sheet name="DP &amp; DV" sheetId="6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hom1" localSheetId="3" hidden="1">{#N/A,#N/A,FALSE,"Assessment";#N/A,#N/A,FALSE,"Staffing";#N/A,#N/A,FALSE,"Hires";#N/A,#N/A,FALSE,"Assumptions"}</definedName>
    <definedName name="________hom1" hidden="1">{#N/A,#N/A,FALSE,"Assessment";#N/A,#N/A,FALSE,"Staffing";#N/A,#N/A,FALSE,"Hires";#N/A,#N/A,FALSE,"Assumptions"}</definedName>
    <definedName name="________k1" localSheetId="3" hidden="1">{#N/A,#N/A,FALSE,"Assessment";#N/A,#N/A,FALSE,"Staffing";#N/A,#N/A,FALSE,"Hires";#N/A,#N/A,FALSE,"Assumptions"}</definedName>
    <definedName name="________k1" hidden="1">{#N/A,#N/A,FALSE,"Assessment";#N/A,#N/A,FALSE,"Staffing";#N/A,#N/A,FALSE,"Hires";#N/A,#N/A,FALSE,"Assumptions"}</definedName>
    <definedName name="________kk1" localSheetId="3" hidden="1">{#N/A,#N/A,FALSE,"Assessment";#N/A,#N/A,FALSE,"Staffing";#N/A,#N/A,FALSE,"Hires";#N/A,#N/A,FALSE,"Assumptions"}</definedName>
    <definedName name="________kk1" hidden="1">{#N/A,#N/A,FALSE,"Assessment";#N/A,#N/A,FALSE,"Staffing";#N/A,#N/A,FALSE,"Hires";#N/A,#N/A,FALSE,"Assumptions"}</definedName>
    <definedName name="________KKK1" localSheetId="3" hidden="1">{#N/A,#N/A,FALSE,"Assessment";#N/A,#N/A,FALSE,"Staffing";#N/A,#N/A,FALSE,"Hires";#N/A,#N/A,FALSE,"Assumptions"}</definedName>
    <definedName name="________KKK1" hidden="1">{#N/A,#N/A,FALSE,"Assessment";#N/A,#N/A,FALSE,"Staffing";#N/A,#N/A,FALSE,"Hires";#N/A,#N/A,FALSE,"Assumptions"}</definedName>
    <definedName name="________w2" localSheetId="3" hidden="1">{"Model Summary",#N/A,FALSE,"Print Chart";"Holdco",#N/A,FALSE,"Print Chart";"Genco",#N/A,FALSE,"Print Chart";"Servco",#N/A,FALSE,"Print Chart";"Genco_Detail",#N/A,FALSE,"Summary Financials";"Servco_Detail",#N/A,FALSE,"Summary Financials"}</definedName>
    <definedName name="________w2" hidden="1">{"Model Summary",#N/A,FALSE,"Print Chart";"Holdco",#N/A,FALSE,"Print Chart";"Genco",#N/A,FALSE,"Print Chart";"Servco",#N/A,FALSE,"Print Chart";"Genco_Detail",#N/A,FALSE,"Summary Financials";"Servco_Detail",#N/A,FALSE,"Summary Financials"}</definedName>
    <definedName name="________wr6" localSheetId="3"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localSheetId="3" hidden="1">{"holdco",#N/A,FALSE,"Summary Financials";"holdco",#N/A,FALSE,"Summary Financials"}</definedName>
    <definedName name="________wr9" hidden="1">{"holdco",#N/A,FALSE,"Summary Financials";"holdco",#N/A,FALSE,"Summary Financials"}</definedName>
    <definedName name="________wrn1" localSheetId="3" hidden="1">{"holdco",#N/A,FALSE,"Summary Financials";"holdco",#N/A,FALSE,"Summary Financials"}</definedName>
    <definedName name="________wrn1" hidden="1">{"holdco",#N/A,FALSE,"Summary Financials";"holdco",#N/A,FALSE,"Summary Financials"}</definedName>
    <definedName name="________wrn2" localSheetId="3" hidden="1">{"holdco",#N/A,FALSE,"Summary Financials";"holdco",#N/A,FALSE,"Summary Financials"}</definedName>
    <definedName name="________wrn2" hidden="1">{"holdco",#N/A,FALSE,"Summary Financials";"holdco",#N/A,FALSE,"Summary Financials"}</definedName>
    <definedName name="________wrn3" localSheetId="3" hidden="1">{"holdco",#N/A,FALSE,"Summary Financials";"holdco",#N/A,FALSE,"Summary Financials"}</definedName>
    <definedName name="________wrn3" hidden="1">{"holdco",#N/A,FALSE,"Summary Financials";"holdco",#N/A,FALSE,"Summary Financials"}</definedName>
    <definedName name="________wrn7" localSheetId="3" hidden="1">{"Model Summary",#N/A,FALSE,"Print Chart";"Holdco",#N/A,FALSE,"Print Chart";"Genco",#N/A,FALSE,"Print Chart";"Servco",#N/A,FALSE,"Print Chart";"Genco_Detail",#N/A,FALSE,"Summary Financials";"Servco_Detail",#N/A,FALSE,"Summary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localSheetId="3" hidden="1">{"holdco",#N/A,FALSE,"Summary Financials";"holdco",#N/A,FALSE,"Summary Financials"}</definedName>
    <definedName name="________wrn8" hidden="1">{"holdco",#N/A,FALSE,"Summary Financials";"holdco",#N/A,FALSE,"Summary Financials"}</definedName>
    <definedName name="_______bb2" localSheetId="3" hidden="1">{#N/A,#N/A,FALSE,"PRJCTED MNTHLY QTY's"}</definedName>
    <definedName name="_______bb2" hidden="1">{#N/A,#N/A,FALSE,"PRJCTED MNTHLY QTY's"}</definedName>
    <definedName name="_______Lee5" localSheetId="3" hidden="1">{#VALUE!,#N/A,FALSE,0}</definedName>
    <definedName name="_______Lee5" hidden="1">{#VALUE!,#N/A,FALSE,0}</definedName>
    <definedName name="______hom1" localSheetId="3" hidden="1">{#N/A,#N/A,FALSE,"Assessment";#N/A,#N/A,FALSE,"Staffing";#N/A,#N/A,FALSE,"Hires";#N/A,#N/A,FALSE,"Assumptions"}</definedName>
    <definedName name="______hom1" hidden="1">{#N/A,#N/A,FALSE,"Assessment";#N/A,#N/A,FALSE,"Staffing";#N/A,#N/A,FALSE,"Hires";#N/A,#N/A,FALSE,"Assumptions"}</definedName>
    <definedName name="______k1" localSheetId="3" hidden="1">{#N/A,#N/A,FALSE,"Assessment";#N/A,#N/A,FALSE,"Staffing";#N/A,#N/A,FALSE,"Hires";#N/A,#N/A,FALSE,"Assumptions"}</definedName>
    <definedName name="______k1" hidden="1">{#N/A,#N/A,FALSE,"Assessment";#N/A,#N/A,FALSE,"Staffing";#N/A,#N/A,FALSE,"Hires";#N/A,#N/A,FALSE,"Assumptions"}</definedName>
    <definedName name="______kk1" localSheetId="3" hidden="1">{#N/A,#N/A,FALSE,"Assessment";#N/A,#N/A,FALSE,"Staffing";#N/A,#N/A,FALSE,"Hires";#N/A,#N/A,FALSE,"Assumptions"}</definedName>
    <definedName name="______kk1" hidden="1">{#N/A,#N/A,FALSE,"Assessment";#N/A,#N/A,FALSE,"Staffing";#N/A,#N/A,FALSE,"Hires";#N/A,#N/A,FALSE,"Assumptions"}</definedName>
    <definedName name="______KKK1" localSheetId="3" hidden="1">{#N/A,#N/A,FALSE,"Assessment";#N/A,#N/A,FALSE,"Staffing";#N/A,#N/A,FALSE,"Hires";#N/A,#N/A,FALSE,"Assumptions"}</definedName>
    <definedName name="______KKK1" hidden="1">{#N/A,#N/A,FALSE,"Assessment";#N/A,#N/A,FALSE,"Staffing";#N/A,#N/A,FALSE,"Hires";#N/A,#N/A,FALSE,"Assumptions"}</definedName>
    <definedName name="______New1" hidden="1">{#N/A,#N/A,FALSE,"Aging Summary";#N/A,#N/A,FALSE,"Ratio Analysis";#N/A,#N/A,FALSE,"Test 120 Day Accts";#N/A,#N/A,FALSE,"Tickmarks"}</definedName>
    <definedName name="______w2" localSheetId="3" hidden="1">{"Model Summary",#N/A,FALSE,"Print Chart";"Holdco",#N/A,FALSE,"Print Chart";"Genco",#N/A,FALSE,"Print Chart";"Servco",#N/A,FALSE,"Print Chart";"Genco_Detail",#N/A,FALSE,"Summary Financials";"Servco_Detail",#N/A,FALSE,"Summary Financials"}</definedName>
    <definedName name="______w2" hidden="1">{"Model Summary",#N/A,FALSE,"Print Chart";"Holdco",#N/A,FALSE,"Print Chart";"Genco",#N/A,FALSE,"Print Chart";"Servco",#N/A,FALSE,"Print Chart";"Genco_Detail",#N/A,FALSE,"Summary Financials";"Servco_Detail",#N/A,FALSE,"Summary Financials"}</definedName>
    <definedName name="______wr6" localSheetId="3"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localSheetId="3" hidden="1">{"holdco",#N/A,FALSE,"Summary Financials";"holdco",#N/A,FALSE,"Summary Financials"}</definedName>
    <definedName name="______wr9" hidden="1">{"holdco",#N/A,FALSE,"Summary Financials";"holdco",#N/A,FALSE,"Summary Financials"}</definedName>
    <definedName name="______wrn1" localSheetId="3" hidden="1">{"holdco",#N/A,FALSE,"Summary Financials";"holdco",#N/A,FALSE,"Summary Financials"}</definedName>
    <definedName name="______wrn1" hidden="1">{"holdco",#N/A,FALSE,"Summary Financials";"holdco",#N/A,FALSE,"Summary Financials"}</definedName>
    <definedName name="______wrn2" localSheetId="3" hidden="1">{"holdco",#N/A,FALSE,"Summary Financials";"holdco",#N/A,FALSE,"Summary Financials"}</definedName>
    <definedName name="______wrn2" hidden="1">{"holdco",#N/A,FALSE,"Summary Financials";"holdco",#N/A,FALSE,"Summary Financials"}</definedName>
    <definedName name="______wrn3" localSheetId="3" hidden="1">{"holdco",#N/A,FALSE,"Summary Financials";"holdco",#N/A,FALSE,"Summary Financials"}</definedName>
    <definedName name="______wrn3" hidden="1">{"holdco",#N/A,FALSE,"Summary Financials";"holdco",#N/A,FALSE,"Summary Financials"}</definedName>
    <definedName name="______wrn7" localSheetId="3" hidden="1">{"Model Summary",#N/A,FALSE,"Print Chart";"Holdco",#N/A,FALSE,"Print Chart";"Genco",#N/A,FALSE,"Print Chart";"Servco",#N/A,FALSE,"Print Chart";"Genco_Detail",#N/A,FALSE,"Summary Financials";"Servco_Detail",#N/A,FALSE,"Summary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localSheetId="3" hidden="1">{"holdco",#N/A,FALSE,"Summary Financials";"holdco",#N/A,FALSE,"Summary Financials"}</definedName>
    <definedName name="______wrn8" hidden="1">{"holdco",#N/A,FALSE,"Summary Financials";"holdco",#N/A,FALSE,"Summary Financials"}</definedName>
    <definedName name="_____KKK1" localSheetId="3" hidden="1">{#N/A,#N/A,FALSE,"Assessment";#N/A,#N/A,FALSE,"Staffing";#N/A,#N/A,FALSE,"Hires";#N/A,#N/A,FALSE,"Assumptions"}</definedName>
    <definedName name="_____KKK1" hidden="1">{#N/A,#N/A,FALSE,"Assessment";#N/A,#N/A,FALSE,"Staffing";#N/A,#N/A,FALSE,"Hires";#N/A,#N/A,FALSE,"Assumptions"}</definedName>
    <definedName name="_____New1" hidden="1">{#N/A,#N/A,FALSE,"Aging Summary";#N/A,#N/A,FALSE,"Ratio Analysis";#N/A,#N/A,FALSE,"Test 120 Day Accts";#N/A,#N/A,FALSE,"Tickmarks"}</definedName>
    <definedName name="_____wrn1" localSheetId="3" hidden="1">{"holdco",#N/A,FALSE,"Summary Financials";"holdco",#N/A,FALSE,"Summary Financials"}</definedName>
    <definedName name="_____wrn1" hidden="1">{"holdco",#N/A,FALSE,"Summary Financials";"holdco",#N/A,FALSE,"Summary Financials"}</definedName>
    <definedName name="_____wrn2" localSheetId="3" hidden="1">{"holdco",#N/A,FALSE,"Summary Financials";"holdco",#N/A,FALSE,"Summary Financials"}</definedName>
    <definedName name="_____wrn2" hidden="1">{"holdco",#N/A,FALSE,"Summary Financials";"holdco",#N/A,FALSE,"Summary Financials"}</definedName>
    <definedName name="_____wrn3" localSheetId="3" hidden="1">{"holdco",#N/A,FALSE,"Summary Financials";"holdco",#N/A,FALSE,"Summary Financials"}</definedName>
    <definedName name="_____wrn3" hidden="1">{"holdco",#N/A,FALSE,"Summary Financials";"holdco",#N/A,FALSE,"Summary Financials"}</definedName>
    <definedName name="_____wrn7" localSheetId="3" hidden="1">{"Model Summary",#N/A,FALSE,"Print Chart";"Holdco",#N/A,FALSE,"Print Chart";"Genco",#N/A,FALSE,"Print Chart";"Servco",#N/A,FALSE,"Print Chart";"Genco_Detail",#N/A,FALSE,"Summary Financials";"Servco_Detail",#N/A,FALSE,"Summary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localSheetId="3" hidden="1">{"holdco",#N/A,FALSE,"Summary Financials";"holdco",#N/A,FALSE,"Summary Financials"}</definedName>
    <definedName name="_____wrn8" hidden="1">{"holdco",#N/A,FALSE,"Summary Financials";"holdco",#N/A,FALSE,"Summary Financials"}</definedName>
    <definedName name="____New1" hidden="1">{#N/A,#N/A,FALSE,"Aging Summary";#N/A,#N/A,FALSE,"Ratio Analysis";#N/A,#N/A,FALSE,"Test 120 Day Accts";#N/A,#N/A,FALSE,"Tickmarks"}</definedName>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 hidden="1">'[5]Universal data'!#REF!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 hidden="1">'[5]Universal data'!#REF!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 hidden="1">'[5]Universal data'!#REF!</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_FDS_HYPERLINK_TOGGLE_STATE__" hidden="1">"ON"</definedName>
    <definedName name="__hom1" localSheetId="3" hidden="1">{#N/A,#N/A,FALSE,"Assessment";#N/A,#N/A,FALSE,"Staffing";#N/A,#N/A,FALSE,"Hires";#N/A,#N/A,FALSE,"Assumptions"}</definedName>
    <definedName name="__hom1" hidden="1">{#N/A,#N/A,FALSE,"Assessment";#N/A,#N/A,FALSE,"Staffing";#N/A,#N/A,FALSE,"Hires";#N/A,#N/A,FALSE,"Assumptions"}</definedName>
    <definedName name="__IntlFixup" hidden="1">TRUE</definedName>
    <definedName name="__kk1" localSheetId="3" hidden="1">{#N/A,#N/A,FALSE,"Assessment";#N/A,#N/A,FALSE,"Staffing";#N/A,#N/A,FALSE,"Hires";#N/A,#N/A,FALSE,"Assumptions"}</definedName>
    <definedName name="__kk1" hidden="1">{#N/A,#N/A,FALSE,"Assessment";#N/A,#N/A,FALSE,"Staffing";#N/A,#N/A,FALSE,"Hires";#N/A,#N/A,FALSE,"Assumptions"}</definedName>
    <definedName name="__KKK1" localSheetId="3" hidden="1">{#N/A,#N/A,FALSE,"Assessment";#N/A,#N/A,FALSE,"Staffing";#N/A,#N/A,FALSE,"Hires";#N/A,#N/A,FALSE,"Assumptions"}</definedName>
    <definedName name="__KKK1" hidden="1">{#N/A,#N/A,FALSE,"Assessment";#N/A,#N/A,FALSE,"Staffing";#N/A,#N/A,FALSE,"Hires";#N/A,#N/A,FALSE,"Assumptions"}</definedName>
    <definedName name="__New1" hidden="1">{#N/A,#N/A,FALSE,"Aging Summary";#N/A,#N/A,FALSE,"Ratio Analysis";#N/A,#N/A,FALSE,"Test 120 Day Accts";#N/A,#N/A,FALSE,"Tickmarks"}</definedName>
    <definedName name="__wrn1" localSheetId="3" hidden="1">{"holdco",#N/A,FALSE,"Summary Financials";"holdco",#N/A,FALSE,"Summary Financials"}</definedName>
    <definedName name="__wrn1" hidden="1">{"holdco",#N/A,FALSE,"Summary Financials";"holdco",#N/A,FALSE,"Summary Financials"}</definedName>
    <definedName name="__wrn2" localSheetId="3" hidden="1">{"holdco",#N/A,FALSE,"Summary Financials";"holdco",#N/A,FALSE,"Summary Financials"}</definedName>
    <definedName name="__wrn2" hidden="1">{"holdco",#N/A,FALSE,"Summary Financials";"holdco",#N/A,FALSE,"Summary Financials"}</definedName>
    <definedName name="__wrn3" localSheetId="3" hidden="1">{"holdco",#N/A,FALSE,"Summary Financials";"holdco",#N/A,FALSE,"Summary Financials"}</definedName>
    <definedName name="__wrn3" hidden="1">{"holdco",#N/A,FALSE,"Summary Financials";"holdco",#N/A,FALSE,"Summary Financials"}</definedName>
    <definedName name="__wrn7" localSheetId="3" hidden="1">{"Model Summary",#N/A,FALSE,"Print Chart";"Holdco",#N/A,FALSE,"Print Chart";"Genco",#N/A,FALSE,"Print Chart";"Servco",#N/A,FALSE,"Print Chart";"Genco_Detail",#N/A,FALSE,"Summary Financials";"Servco_Detail",#N/A,FALSE,"Summary Financials"}</definedName>
    <definedName name="__wrn7" hidden="1">{"Model Summary",#N/A,FALSE,"Print Chart";"Holdco",#N/A,FALSE,"Print Chart";"Genco",#N/A,FALSE,"Print Chart";"Servco",#N/A,FALSE,"Print Chart";"Genco_Detail",#N/A,FALSE,"Summary Financials";"Servco_Detail",#N/A,FALSE,"Summary Financials"}</definedName>
    <definedName name="__wrn8" localSheetId="3" hidden="1">{"holdco",#N/A,FALSE,"Summary Financials";"holdco",#N/A,FALSE,"Summary Financials"}</definedName>
    <definedName name="__wrn8" hidden="1">{"holdco",#N/A,FALSE,"Summary Financials";"holdco",#N/A,FALSE,"Summary Financials"}</definedName>
    <definedName name="_139__123Graph_LBL_DCHART_3" hidden="1">[6]Graphs!$D$59:$D$59</definedName>
    <definedName name="_142__123Graph_LBL_FCHART_1" hidden="1">[6]Graphs!$G$59:$G$59</definedName>
    <definedName name="_143__123Graph_LBL_FCHART_3" hidden="1">[6]Graphs!$G$59:$G$59</definedName>
    <definedName name="_2012_to_2014">'[7]Standing data'!$B$11</definedName>
    <definedName name="_33__123Graph_LBL_ECHART_3" hidden="1">[6]Graphs!$F$59:$F$59</definedName>
    <definedName name="_34__123Graph_LBL_FCHART_1" hidden="1">[6]Graphs!$G$59:$G$59</definedName>
    <definedName name="_35__123Graph_LBL_FCHART_3" hidden="1">[6]Graphs!$G$59:$G$59</definedName>
    <definedName name="_49__123Graph_LBL_FCHART_1" hidden="1">[6]Graphs!$G$59:$G$59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274c272ed8194bd9bec2d224f63a3bb8.edm" hidden="1">#REF!</definedName>
    <definedName name="_Fill" localSheetId="3" hidden="1">#REF!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New1" hidden="1">{#N/A,#N/A,FALSE,"Aging Summary";#N/A,#N/A,FALSE,"Ratio Analysis";#N/A,#N/A,FALSE,"Test 120 Day Accts";#N/A,#N/A,FALSE,"Tickmarks"}</definedName>
    <definedName name="_Order1" hidden="1">255</definedName>
    <definedName name="_Order2" hidden="1">0</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a" hidden="1">{#N/A,#N/A,FALSE,"Aging Summary";#N/A,#N/A,FALSE,"Ratio Analysis";#N/A,#N/A,FALSE,"Test 120 Day Accts";#N/A,#N/A,FALSE,"Tickmarks"}</definedName>
    <definedName name="aaa" hidden="1">{#N/A,#N/A,FALSE,"Aging Summary";#N/A,#N/A,FALSE,"Ratio Analysis";#N/A,#N/A,FALSE,"Test 120 Day Accts";#N/A,#N/A,FALSE,"Tickmarks"}</definedName>
    <definedName name="AAA_duser" hidden="1">"OFF"</definedName>
    <definedName name="AAB_GSPPG" hidden="1">"AAB_Goldman Sachs PPG Chart Utilities 1.0g"</definedName>
    <definedName name="AB" hidden="1">{#N/A,#N/A,FALSE,"Aging Summary";#N/A,#N/A,FALSE,"Ratio Analysis";#N/A,#N/A,FALSE,"Test 120 Day Accts";#N/A,#N/A,FALSE,"Tickmarks"}</definedName>
    <definedName name="abc" hidden="1">{"key inputs",#N/A,TRUE,"Key Inputs";"key outputs",#N/A,TRUE,"Outputs";"Other inputs",#N/A,TRUE,"Other Inputs";"Revenue",#N/A,TRUE,"Rev"}</definedName>
    <definedName name="abcd" hidden="1">{#N/A,#N/A,FALSE,"Aging Summary";#N/A,#N/A,FALSE,"Ratio Analysis";#N/A,#N/A,FALSE,"Test 120 Day Accts";#N/A,#N/A,FALSE,"Tickmarks"}</definedName>
    <definedName name="AccessDatabase" hidden="1">"C:\DATA\KEVIN\MODELS\Model 0218.mdb"</definedName>
    <definedName name="ACwvu.CapersView." hidden="1">[8]Sheet1!#REF!</definedName>
    <definedName name="ACwvu.Japan_Capers_Ed_Pub." localSheetId="3" hidden="1">#REF!</definedName>
    <definedName name="ACwvu.Japan_Capers_Ed_Pub." hidden="1">#REF!</definedName>
    <definedName name="ACwvu.KJP_CC." localSheetId="3" hidden="1">#REF!</definedName>
    <definedName name="ACwvu.KJP_CC." hidden="1">#REF!</definedName>
    <definedName name="anscount" hidden="1">1</definedName>
    <definedName name="AS2DocOpenMode" hidden="1">"AS2DocumentEdit"</definedName>
    <definedName name="asd" hidden="1">{"key inputs",#N/A,FALSE,"Key Inputs";"key outputs",#N/A,FALSE,"Outputs";"Other inputs",#N/A,FALSE,"Other Inputs";"cashflow",#N/A,FALSE,"Statemnts"}</definedName>
    <definedName name="asdas" localSheetId="3"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ExEZ4HBCC06708765M8A06KCR7P" hidden="1">#N/A</definedName>
    <definedName name="BLPH1" hidden="1">'[9]4.6 ten year bonds'!$A$4</definedName>
    <definedName name="BLPH10" localSheetId="3" hidden="1">#REF!</definedName>
    <definedName name="BLPH10" hidden="1">#REF!</definedName>
    <definedName name="BLPH100" localSheetId="3" hidden="1">#REF!</definedName>
    <definedName name="BLPH100" hidden="1">#REF!</definedName>
    <definedName name="BLPH101" localSheetId="3" hidden="1">#REF!</definedName>
    <definedName name="BLPH101" hidden="1">#REF!</definedName>
    <definedName name="BLPH102" localSheetId="3" hidden="1">#REF!</definedName>
    <definedName name="BLPH102" hidden="1">#REF!</definedName>
    <definedName name="BLPH103" localSheetId="3" hidden="1">#REF!</definedName>
    <definedName name="BLPH103" hidden="1">#REF!</definedName>
    <definedName name="BLPH104" localSheetId="3" hidden="1">#REF!</definedName>
    <definedName name="BLPH104" hidden="1">#REF!</definedName>
    <definedName name="BLPH105" localSheetId="3" hidden="1">#REF!</definedName>
    <definedName name="BLPH105" hidden="1">#REF!</definedName>
    <definedName name="BLPH106" localSheetId="3" hidden="1">#REF!</definedName>
    <definedName name="BLPH106" hidden="1">#REF!</definedName>
    <definedName name="BLPH107" localSheetId="3" hidden="1">#REF!</definedName>
    <definedName name="BLPH107" hidden="1">#REF!</definedName>
    <definedName name="BLPH108" localSheetId="3" hidden="1">#REF!</definedName>
    <definedName name="BLPH108" hidden="1">#REF!</definedName>
    <definedName name="BLPH109" localSheetId="3" hidden="1">#REF!</definedName>
    <definedName name="BLPH109" hidden="1">#REF!</definedName>
    <definedName name="BLPH11" localSheetId="3" hidden="1">#REF!</definedName>
    <definedName name="BLPH11" hidden="1">#REF!</definedName>
    <definedName name="BLPH110" localSheetId="3" hidden="1">#REF!</definedName>
    <definedName name="BLPH110" hidden="1">#REF!</definedName>
    <definedName name="BLPH111" localSheetId="3" hidden="1">#REF!</definedName>
    <definedName name="BLPH111" hidden="1">#REF!</definedName>
    <definedName name="BLPH112" localSheetId="3" hidden="1">#REF!</definedName>
    <definedName name="BLPH112" hidden="1">#REF!</definedName>
    <definedName name="BLPH113" localSheetId="3" hidden="1">#REF!</definedName>
    <definedName name="BLPH113" hidden="1">#REF!</definedName>
    <definedName name="BLPH114" localSheetId="3" hidden="1">#REF!</definedName>
    <definedName name="BLPH114" hidden="1">#REF!</definedName>
    <definedName name="BLPH115" localSheetId="3" hidden="1">#REF!</definedName>
    <definedName name="BLPH115" hidden="1">#REF!</definedName>
    <definedName name="BLPH116" localSheetId="3" hidden="1">#REF!</definedName>
    <definedName name="BLPH116" hidden="1">#REF!</definedName>
    <definedName name="BLPH117" localSheetId="3" hidden="1">#REF!</definedName>
    <definedName name="BLPH117" hidden="1">#REF!</definedName>
    <definedName name="BLPH118" localSheetId="3" hidden="1">#REF!</definedName>
    <definedName name="BLPH118" hidden="1">#REF!</definedName>
    <definedName name="BLPH119" localSheetId="3" hidden="1">#REF!</definedName>
    <definedName name="BLPH119" hidden="1">#REF!</definedName>
    <definedName name="BLPH12" localSheetId="3" hidden="1">#REF!</definedName>
    <definedName name="BLPH12" hidden="1">#REF!</definedName>
    <definedName name="BLPH120" localSheetId="3" hidden="1">#REF!</definedName>
    <definedName name="BLPH120" hidden="1">#REF!</definedName>
    <definedName name="BLPH121" localSheetId="3" hidden="1">#REF!</definedName>
    <definedName name="BLPH121" hidden="1">#REF!</definedName>
    <definedName name="BLPH122" localSheetId="3" hidden="1">#REF!</definedName>
    <definedName name="BLPH122" hidden="1">#REF!</definedName>
    <definedName name="BLPH123" localSheetId="3" hidden="1">#REF!</definedName>
    <definedName name="BLPH123" hidden="1">#REF!</definedName>
    <definedName name="BLPH124" localSheetId="3" hidden="1">#REF!</definedName>
    <definedName name="BLPH124" hidden="1">#REF!</definedName>
    <definedName name="BLPH125" localSheetId="3" hidden="1">#REF!</definedName>
    <definedName name="BLPH125" hidden="1">#REF!</definedName>
    <definedName name="BLPH126" localSheetId="3" hidden="1">#REF!</definedName>
    <definedName name="BLPH126" hidden="1">#REF!</definedName>
    <definedName name="BLPH127" localSheetId="3" hidden="1">#REF!</definedName>
    <definedName name="BLPH127" hidden="1">#REF!</definedName>
    <definedName name="BLPH128" localSheetId="3" hidden="1">#REF!</definedName>
    <definedName name="BLPH128" hidden="1">#REF!</definedName>
    <definedName name="BLPH129" localSheetId="3" hidden="1">#REF!</definedName>
    <definedName name="BLPH129" hidden="1">#REF!</definedName>
    <definedName name="BLPH13" localSheetId="3" hidden="1">#REF!</definedName>
    <definedName name="BLPH13" hidden="1">#REF!</definedName>
    <definedName name="BLPH130" localSheetId="3" hidden="1">#REF!</definedName>
    <definedName name="BLPH130" hidden="1">#REF!</definedName>
    <definedName name="BLPH131" localSheetId="3" hidden="1">#REF!</definedName>
    <definedName name="BLPH131" hidden="1">#REF!</definedName>
    <definedName name="BLPH132" localSheetId="3" hidden="1">#REF!</definedName>
    <definedName name="BLPH132" hidden="1">#REF!</definedName>
    <definedName name="BLPH133" localSheetId="3" hidden="1">#REF!</definedName>
    <definedName name="BLPH133" hidden="1">#REF!</definedName>
    <definedName name="BLPH134" localSheetId="3" hidden="1">#REF!</definedName>
    <definedName name="BLPH134" hidden="1">#REF!</definedName>
    <definedName name="BLPH135" localSheetId="3" hidden="1">#REF!</definedName>
    <definedName name="BLPH135" hidden="1">#REF!</definedName>
    <definedName name="BLPH136" localSheetId="3" hidden="1">#REF!</definedName>
    <definedName name="BLPH136" hidden="1">#REF!</definedName>
    <definedName name="BLPH137" localSheetId="3" hidden="1">#REF!</definedName>
    <definedName name="BLPH137" hidden="1">#REF!</definedName>
    <definedName name="BLPH138" localSheetId="3" hidden="1">#REF!</definedName>
    <definedName name="BLPH138" hidden="1">#REF!</definedName>
    <definedName name="BLPH139" localSheetId="3" hidden="1">#REF!</definedName>
    <definedName name="BLPH139" hidden="1">#REF!</definedName>
    <definedName name="BLPH14" localSheetId="3" hidden="1">#REF!</definedName>
    <definedName name="BLPH14" hidden="1">#REF!</definedName>
    <definedName name="BLPH140" localSheetId="3" hidden="1">#REF!</definedName>
    <definedName name="BLPH140" hidden="1">#REF!</definedName>
    <definedName name="BLPH141" localSheetId="3" hidden="1">#REF!</definedName>
    <definedName name="BLPH141" hidden="1">#REF!</definedName>
    <definedName name="BLPH142" localSheetId="3" hidden="1">#REF!</definedName>
    <definedName name="BLPH142" hidden="1">#REF!</definedName>
    <definedName name="BLPH143" localSheetId="3" hidden="1">#REF!</definedName>
    <definedName name="BLPH143" hidden="1">#REF!</definedName>
    <definedName name="BLPH144" localSheetId="3" hidden="1">#REF!</definedName>
    <definedName name="BLPH144" hidden="1">#REF!</definedName>
    <definedName name="BLPH145" localSheetId="3" hidden="1">#REF!</definedName>
    <definedName name="BLPH145" hidden="1">#REF!</definedName>
    <definedName name="BLPH146" localSheetId="3" hidden="1">#REF!</definedName>
    <definedName name="BLPH146" hidden="1">#REF!</definedName>
    <definedName name="BLPH147" localSheetId="3" hidden="1">#REF!</definedName>
    <definedName name="BLPH147" hidden="1">#REF!</definedName>
    <definedName name="BLPH148" localSheetId="3" hidden="1">#REF!</definedName>
    <definedName name="BLPH148" hidden="1">#REF!</definedName>
    <definedName name="BLPH149" localSheetId="3" hidden="1">#REF!</definedName>
    <definedName name="BLPH149" hidden="1">#REF!</definedName>
    <definedName name="BLPH15" localSheetId="3" hidden="1">#REF!</definedName>
    <definedName name="BLPH15" hidden="1">#REF!</definedName>
    <definedName name="BLPH150" localSheetId="3" hidden="1">#REF!</definedName>
    <definedName name="BLPH150" hidden="1">#REF!</definedName>
    <definedName name="BLPH151" localSheetId="3" hidden="1">#REF!</definedName>
    <definedName name="BLPH151" hidden="1">#REF!</definedName>
    <definedName name="BLPH152" localSheetId="3" hidden="1">#REF!</definedName>
    <definedName name="BLPH152" hidden="1">#REF!</definedName>
    <definedName name="BLPH153" localSheetId="3" hidden="1">#REF!</definedName>
    <definedName name="BLPH153" hidden="1">#REF!</definedName>
    <definedName name="BLPH154" localSheetId="3" hidden="1">#REF!</definedName>
    <definedName name="BLPH154" hidden="1">#REF!</definedName>
    <definedName name="BLPH155" localSheetId="3" hidden="1">#REF!</definedName>
    <definedName name="BLPH155" hidden="1">#REF!</definedName>
    <definedName name="BLPH156" localSheetId="3" hidden="1">#REF!</definedName>
    <definedName name="BLPH156" hidden="1">#REF!</definedName>
    <definedName name="BLPH157" localSheetId="3" hidden="1">#REF!</definedName>
    <definedName name="BLPH157" hidden="1">#REF!</definedName>
    <definedName name="BLPH158" localSheetId="3" hidden="1">#REF!</definedName>
    <definedName name="BLPH158" hidden="1">#REF!</definedName>
    <definedName name="BLPH159" localSheetId="3" hidden="1">#REF!</definedName>
    <definedName name="BLPH159" hidden="1">#REF!</definedName>
    <definedName name="BLPH16" localSheetId="3" hidden="1">#REF!</definedName>
    <definedName name="BLPH16" hidden="1">#REF!</definedName>
    <definedName name="BLPH160" localSheetId="3" hidden="1">#REF!</definedName>
    <definedName name="BLPH160" hidden="1">#REF!</definedName>
    <definedName name="BLPH161" localSheetId="3" hidden="1">#REF!</definedName>
    <definedName name="BLPH161" hidden="1">#REF!</definedName>
    <definedName name="BLPH162" localSheetId="3" hidden="1">#REF!</definedName>
    <definedName name="BLPH162" hidden="1">#REF!</definedName>
    <definedName name="BLPH163" localSheetId="3" hidden="1">#REF!</definedName>
    <definedName name="BLPH163" hidden="1">#REF!</definedName>
    <definedName name="BLPH164" localSheetId="3" hidden="1">#REF!</definedName>
    <definedName name="BLPH164" hidden="1">#REF!</definedName>
    <definedName name="BLPH165" localSheetId="3" hidden="1">#REF!</definedName>
    <definedName name="BLPH165" hidden="1">#REF!</definedName>
    <definedName name="BLPH166" localSheetId="3" hidden="1">#REF!</definedName>
    <definedName name="BLPH166" hidden="1">#REF!</definedName>
    <definedName name="BLPH167" localSheetId="3" hidden="1">#REF!</definedName>
    <definedName name="BLPH167" hidden="1">#REF!</definedName>
    <definedName name="BLPH168" localSheetId="3" hidden="1">#REF!</definedName>
    <definedName name="BLPH168" hidden="1">#REF!</definedName>
    <definedName name="BLPH169" localSheetId="3" hidden="1">#REF!</definedName>
    <definedName name="BLPH169" hidden="1">#REF!</definedName>
    <definedName name="BLPH17" localSheetId="3" hidden="1">#REF!</definedName>
    <definedName name="BLPH17" hidden="1">#REF!</definedName>
    <definedName name="BLPH170" localSheetId="3" hidden="1">#REF!</definedName>
    <definedName name="BLPH170" hidden="1">#REF!</definedName>
    <definedName name="BLPH171" localSheetId="3" hidden="1">#REF!</definedName>
    <definedName name="BLPH171" hidden="1">#REF!</definedName>
    <definedName name="BLPH172" localSheetId="3" hidden="1">#REF!</definedName>
    <definedName name="BLPH172" hidden="1">#REF!</definedName>
    <definedName name="BLPH173" localSheetId="3" hidden="1">#REF!</definedName>
    <definedName name="BLPH173" hidden="1">#REF!</definedName>
    <definedName name="BLPH174" localSheetId="3" hidden="1">#REF!</definedName>
    <definedName name="BLPH174" hidden="1">#REF!</definedName>
    <definedName name="BLPH175" localSheetId="3" hidden="1">#REF!</definedName>
    <definedName name="BLPH175" hidden="1">#REF!</definedName>
    <definedName name="BLPH176" localSheetId="3" hidden="1">#REF!</definedName>
    <definedName name="BLPH176" hidden="1">#REF!</definedName>
    <definedName name="BLPH177" localSheetId="3" hidden="1">#REF!</definedName>
    <definedName name="BLPH177" hidden="1">#REF!</definedName>
    <definedName name="BLPH178" localSheetId="3" hidden="1">#REF!</definedName>
    <definedName name="BLPH178" hidden="1">#REF!</definedName>
    <definedName name="BLPH179" localSheetId="3" hidden="1">#REF!</definedName>
    <definedName name="BLPH179" hidden="1">#REF!</definedName>
    <definedName name="BLPH18" localSheetId="3" hidden="1">#REF!</definedName>
    <definedName name="BLPH18" hidden="1">#REF!</definedName>
    <definedName name="BLPH180" localSheetId="3" hidden="1">#REF!</definedName>
    <definedName name="BLPH180" hidden="1">#REF!</definedName>
    <definedName name="BLPH181" localSheetId="3" hidden="1">#REF!</definedName>
    <definedName name="BLPH181" hidden="1">#REF!</definedName>
    <definedName name="BLPH182" localSheetId="3" hidden="1">#REF!</definedName>
    <definedName name="BLPH182" hidden="1">#REF!</definedName>
    <definedName name="BLPH183" localSheetId="3" hidden="1">#REF!</definedName>
    <definedName name="BLPH183" hidden="1">#REF!</definedName>
    <definedName name="BLPH184" localSheetId="3" hidden="1">#REF!</definedName>
    <definedName name="BLPH184" hidden="1">#REF!</definedName>
    <definedName name="BLPH185" localSheetId="3" hidden="1">#REF!</definedName>
    <definedName name="BLPH185" hidden="1">#REF!</definedName>
    <definedName name="BLPH186" localSheetId="3" hidden="1">#REF!</definedName>
    <definedName name="BLPH186" hidden="1">#REF!</definedName>
    <definedName name="BLPH187" localSheetId="3" hidden="1">#REF!</definedName>
    <definedName name="BLPH187" hidden="1">#REF!</definedName>
    <definedName name="BLPH188" localSheetId="3" hidden="1">#REF!</definedName>
    <definedName name="BLPH188" hidden="1">#REF!</definedName>
    <definedName name="BLPH189" localSheetId="3" hidden="1">#REF!</definedName>
    <definedName name="BLPH189" hidden="1">#REF!</definedName>
    <definedName name="BLPH19" localSheetId="3" hidden="1">#REF!</definedName>
    <definedName name="BLPH19" hidden="1">#REF!</definedName>
    <definedName name="BLPH190" localSheetId="3" hidden="1">#REF!</definedName>
    <definedName name="BLPH190" hidden="1">#REF!</definedName>
    <definedName name="BLPH191" localSheetId="3" hidden="1">#REF!</definedName>
    <definedName name="BLPH191" hidden="1">#REF!</definedName>
    <definedName name="BLPH192" localSheetId="3" hidden="1">#REF!</definedName>
    <definedName name="BLPH192" hidden="1">#REF!</definedName>
    <definedName name="BLPH193" localSheetId="3" hidden="1">#REF!</definedName>
    <definedName name="BLPH193" hidden="1">#REF!</definedName>
    <definedName name="BLPH194" localSheetId="3" hidden="1">#REF!</definedName>
    <definedName name="BLPH194" hidden="1">#REF!</definedName>
    <definedName name="BLPH195" localSheetId="3" hidden="1">#REF!</definedName>
    <definedName name="BLPH195" hidden="1">#REF!</definedName>
    <definedName name="BLPH196" localSheetId="3" hidden="1">#REF!</definedName>
    <definedName name="BLPH196" hidden="1">#REF!</definedName>
    <definedName name="BLPH197" localSheetId="3" hidden="1">#REF!</definedName>
    <definedName name="BLPH197" hidden="1">#REF!</definedName>
    <definedName name="BLPH198" localSheetId="3" hidden="1">#REF!</definedName>
    <definedName name="BLPH198" hidden="1">#REF!</definedName>
    <definedName name="BLPH199" localSheetId="3" hidden="1">#REF!</definedName>
    <definedName name="BLPH199" hidden="1">#REF!</definedName>
    <definedName name="BLPH2" hidden="1">'[9]4.6 ten year bonds'!$D$4</definedName>
    <definedName name="BLPH20" localSheetId="3" hidden="1">#REF!</definedName>
    <definedName name="BLPH20" hidden="1">#REF!</definedName>
    <definedName name="BLPH200" localSheetId="3" hidden="1">#REF!</definedName>
    <definedName name="BLPH200" hidden="1">#REF!</definedName>
    <definedName name="BLPH201" localSheetId="3" hidden="1">#REF!</definedName>
    <definedName name="BLPH201" hidden="1">#REF!</definedName>
    <definedName name="BLPH202" localSheetId="3" hidden="1">#REF!</definedName>
    <definedName name="BLPH202" hidden="1">#REF!</definedName>
    <definedName name="BLPH203" localSheetId="3" hidden="1">#REF!</definedName>
    <definedName name="BLPH203" hidden="1">#REF!</definedName>
    <definedName name="BLPH204" localSheetId="3" hidden="1">#REF!</definedName>
    <definedName name="BLPH204" hidden="1">#REF!</definedName>
    <definedName name="BLPH205" localSheetId="3" hidden="1">#REF!</definedName>
    <definedName name="BLPH205" hidden="1">#REF!</definedName>
    <definedName name="BLPH206" localSheetId="3" hidden="1">#REF!</definedName>
    <definedName name="BLPH206" hidden="1">#REF!</definedName>
    <definedName name="BLPH207" localSheetId="3" hidden="1">#REF!</definedName>
    <definedName name="BLPH207" hidden="1">#REF!</definedName>
    <definedName name="BLPH208" localSheetId="3" hidden="1">#REF!</definedName>
    <definedName name="BLPH208" hidden="1">#REF!</definedName>
    <definedName name="BLPH209" localSheetId="3" hidden="1">#REF!</definedName>
    <definedName name="BLPH209" hidden="1">#REF!</definedName>
    <definedName name="BLPH21" hidden="1">'[10]Risk-Free Rate'!$AQ$15</definedName>
    <definedName name="BLPH210" localSheetId="3" hidden="1">#REF!</definedName>
    <definedName name="BLPH210" hidden="1">#REF!</definedName>
    <definedName name="BLPH211" localSheetId="3" hidden="1">#REF!</definedName>
    <definedName name="BLPH211" hidden="1">#REF!</definedName>
    <definedName name="BLPH212" localSheetId="3" hidden="1">#REF!</definedName>
    <definedName name="BLPH212" hidden="1">#REF!</definedName>
    <definedName name="BLPH213" localSheetId="3" hidden="1">#REF!</definedName>
    <definedName name="BLPH213" hidden="1">#REF!</definedName>
    <definedName name="BLPH214" localSheetId="3" hidden="1">#REF!</definedName>
    <definedName name="BLPH214" hidden="1">#REF!</definedName>
    <definedName name="BLPH215" localSheetId="3" hidden="1">#REF!</definedName>
    <definedName name="BLPH215" hidden="1">#REF!</definedName>
    <definedName name="BLPH216" localSheetId="3" hidden="1">#REF!</definedName>
    <definedName name="BLPH216" hidden="1">#REF!</definedName>
    <definedName name="BLPH217" localSheetId="3" hidden="1">#REF!</definedName>
    <definedName name="BLPH217" hidden="1">#REF!</definedName>
    <definedName name="BLPH218" localSheetId="3" hidden="1">#REF!</definedName>
    <definedName name="BLPH218" hidden="1">#REF!</definedName>
    <definedName name="BLPH219" localSheetId="3" hidden="1">#REF!</definedName>
    <definedName name="BLPH219" hidden="1">#REF!</definedName>
    <definedName name="BLPH22" hidden="1">'[10]Risk-Free Rate'!$AN$15</definedName>
    <definedName name="BLPH220" localSheetId="3" hidden="1">#REF!</definedName>
    <definedName name="BLPH220" hidden="1">#REF!</definedName>
    <definedName name="BLPH221" localSheetId="3" hidden="1">#REF!</definedName>
    <definedName name="BLPH221" hidden="1">#REF!</definedName>
    <definedName name="BLPH222" localSheetId="3" hidden="1">#REF!</definedName>
    <definedName name="BLPH222" hidden="1">#REF!</definedName>
    <definedName name="BLPH223" localSheetId="3" hidden="1">#REF!</definedName>
    <definedName name="BLPH223" hidden="1">#REF!</definedName>
    <definedName name="BLPH224" localSheetId="3" hidden="1">#REF!</definedName>
    <definedName name="BLPH224" hidden="1">#REF!</definedName>
    <definedName name="BLPH225" localSheetId="3" hidden="1">#REF!</definedName>
    <definedName name="BLPH225" hidden="1">#REF!</definedName>
    <definedName name="BLPH226" localSheetId="3" hidden="1">#REF!</definedName>
    <definedName name="BLPH226" hidden="1">#REF!</definedName>
    <definedName name="BLPH227" localSheetId="3" hidden="1">#REF!</definedName>
    <definedName name="BLPH227" hidden="1">#REF!</definedName>
    <definedName name="BLPH228" localSheetId="3" hidden="1">#REF!</definedName>
    <definedName name="BLPH228" hidden="1">#REF!</definedName>
    <definedName name="BLPH229" localSheetId="3" hidden="1">#REF!</definedName>
    <definedName name="BLPH229" hidden="1">#REF!</definedName>
    <definedName name="BLPH23" hidden="1">'[10]Risk-Free Rate'!$AK$15</definedName>
    <definedName name="BLPH230" localSheetId="3" hidden="1">#REF!</definedName>
    <definedName name="BLPH230" hidden="1">#REF!</definedName>
    <definedName name="BLPH231" localSheetId="3" hidden="1">#REF!</definedName>
    <definedName name="BLPH231" hidden="1">#REF!</definedName>
    <definedName name="BLPH232" localSheetId="3" hidden="1">#REF!</definedName>
    <definedName name="BLPH232" hidden="1">#REF!</definedName>
    <definedName name="BLPH233" localSheetId="3" hidden="1">#REF!</definedName>
    <definedName name="BLPH233" hidden="1">#REF!</definedName>
    <definedName name="BLPH234" localSheetId="3" hidden="1">#REF!</definedName>
    <definedName name="BLPH234" hidden="1">#REF!</definedName>
    <definedName name="BLPH235" localSheetId="3" hidden="1">#REF!</definedName>
    <definedName name="BLPH235" hidden="1">#REF!</definedName>
    <definedName name="BLPH236" localSheetId="3" hidden="1">#REF!</definedName>
    <definedName name="BLPH236" hidden="1">#REF!</definedName>
    <definedName name="BLPH237" localSheetId="3" hidden="1">#REF!</definedName>
    <definedName name="BLPH237" hidden="1">#REF!</definedName>
    <definedName name="BLPH238" localSheetId="3" hidden="1">#REF!</definedName>
    <definedName name="BLPH238" hidden="1">#REF!</definedName>
    <definedName name="BLPH239" localSheetId="3" hidden="1">#REF!</definedName>
    <definedName name="BLPH239" hidden="1">#REF!</definedName>
    <definedName name="BLPH24" hidden="1">'[10]Risk-Free Rate'!$AH$15</definedName>
    <definedName name="BLPH240" localSheetId="3" hidden="1">#REF!</definedName>
    <definedName name="BLPH240" hidden="1">#REF!</definedName>
    <definedName name="BLPH241" localSheetId="3" hidden="1">#REF!</definedName>
    <definedName name="BLPH241" hidden="1">#REF!</definedName>
    <definedName name="BLPH242" localSheetId="3" hidden="1">#REF!</definedName>
    <definedName name="BLPH242" hidden="1">#REF!</definedName>
    <definedName name="BLPH243" localSheetId="3" hidden="1">#REF!</definedName>
    <definedName name="BLPH243" hidden="1">#REF!</definedName>
    <definedName name="BLPH244" localSheetId="3" hidden="1">#REF!</definedName>
    <definedName name="BLPH244" hidden="1">#REF!</definedName>
    <definedName name="BLPH245" localSheetId="3" hidden="1">#REF!</definedName>
    <definedName name="BLPH245" hidden="1">#REF!</definedName>
    <definedName name="BLPH246" localSheetId="3" hidden="1">#REF!</definedName>
    <definedName name="BLPH246" hidden="1">#REF!</definedName>
    <definedName name="BLPH247" localSheetId="3" hidden="1">#REF!</definedName>
    <definedName name="BLPH247" hidden="1">#REF!</definedName>
    <definedName name="BLPH248" localSheetId="3" hidden="1">#REF!</definedName>
    <definedName name="BLPH248" hidden="1">#REF!</definedName>
    <definedName name="BLPH249" localSheetId="3" hidden="1">#REF!</definedName>
    <definedName name="BLPH249" hidden="1">#REF!</definedName>
    <definedName name="BLPH25" hidden="1">'[10]Risk-Free Rate'!$AE$15</definedName>
    <definedName name="BLPH250" localSheetId="3" hidden="1">#REF!</definedName>
    <definedName name="BLPH250" hidden="1">#REF!</definedName>
    <definedName name="BLPH251" localSheetId="3" hidden="1">#REF!</definedName>
    <definedName name="BLPH251" hidden="1">#REF!</definedName>
    <definedName name="BLPH252" localSheetId="3" hidden="1">#REF!</definedName>
    <definedName name="BLPH252" hidden="1">#REF!</definedName>
    <definedName name="BLPH253" localSheetId="3" hidden="1">#REF!</definedName>
    <definedName name="BLPH253" hidden="1">#REF!</definedName>
    <definedName name="BLPH254" localSheetId="3" hidden="1">#REF!</definedName>
    <definedName name="BLPH254" hidden="1">#REF!</definedName>
    <definedName name="BLPH255" localSheetId="3" hidden="1">#REF!</definedName>
    <definedName name="BLPH255" hidden="1">#REF!</definedName>
    <definedName name="BLPH256" localSheetId="3" hidden="1">#REF!</definedName>
    <definedName name="BLPH256" hidden="1">#REF!</definedName>
    <definedName name="BLPH257" localSheetId="3" hidden="1">#REF!</definedName>
    <definedName name="BLPH257" hidden="1">#REF!</definedName>
    <definedName name="BLPH258" localSheetId="3" hidden="1">#REF!</definedName>
    <definedName name="BLPH258" hidden="1">#REF!</definedName>
    <definedName name="BLPH259" localSheetId="3" hidden="1">#REF!</definedName>
    <definedName name="BLPH259" hidden="1">#REF!</definedName>
    <definedName name="BLPH26" hidden="1">'[10]Risk-Free Rate'!$AB$15</definedName>
    <definedName name="BLPH260" localSheetId="3" hidden="1">#REF!</definedName>
    <definedName name="BLPH260" hidden="1">#REF!</definedName>
    <definedName name="BLPH261" localSheetId="3" hidden="1">#REF!</definedName>
    <definedName name="BLPH261" hidden="1">#REF!</definedName>
    <definedName name="BLPH262" localSheetId="3" hidden="1">#REF!</definedName>
    <definedName name="BLPH262" hidden="1">#REF!</definedName>
    <definedName name="BLPH263" localSheetId="3" hidden="1">#REF!</definedName>
    <definedName name="BLPH263" hidden="1">#REF!</definedName>
    <definedName name="BLPH264" localSheetId="3" hidden="1">#REF!</definedName>
    <definedName name="BLPH264" hidden="1">#REF!</definedName>
    <definedName name="BLPH265" localSheetId="3" hidden="1">#REF!</definedName>
    <definedName name="BLPH265" hidden="1">#REF!</definedName>
    <definedName name="BLPH266" localSheetId="3" hidden="1">#REF!</definedName>
    <definedName name="BLPH266" hidden="1">#REF!</definedName>
    <definedName name="BLPH267" localSheetId="3" hidden="1">#REF!</definedName>
    <definedName name="BLPH267" hidden="1">#REF!</definedName>
    <definedName name="BLPH268" localSheetId="3" hidden="1">#REF!</definedName>
    <definedName name="BLPH268" hidden="1">#REF!</definedName>
    <definedName name="BLPH269" localSheetId="3" hidden="1">#REF!</definedName>
    <definedName name="BLPH269" hidden="1">#REF!</definedName>
    <definedName name="BLPH27" hidden="1">'[10]Risk-Free Rate'!$Y$15</definedName>
    <definedName name="BLPH270" localSheetId="3" hidden="1">#REF!</definedName>
    <definedName name="BLPH270" hidden="1">#REF!</definedName>
    <definedName name="BLPH271" localSheetId="3" hidden="1">#REF!</definedName>
    <definedName name="BLPH271" hidden="1">#REF!</definedName>
    <definedName name="BLPH272" localSheetId="3" hidden="1">#REF!</definedName>
    <definedName name="BLPH272" hidden="1">#REF!</definedName>
    <definedName name="BLPH273" localSheetId="3" hidden="1">#REF!</definedName>
    <definedName name="BLPH273" hidden="1">#REF!</definedName>
    <definedName name="BLPH274" localSheetId="3" hidden="1">#REF!</definedName>
    <definedName name="BLPH274" hidden="1">#REF!</definedName>
    <definedName name="BLPH275" localSheetId="3" hidden="1">#REF!</definedName>
    <definedName name="BLPH275" hidden="1">#REF!</definedName>
    <definedName name="BLPH276" localSheetId="3" hidden="1">#REF!</definedName>
    <definedName name="BLPH276" hidden="1">#REF!</definedName>
    <definedName name="BLPH277" localSheetId="3" hidden="1">#REF!</definedName>
    <definedName name="BLPH277" hidden="1">#REF!</definedName>
    <definedName name="BLPH278" localSheetId="3" hidden="1">#REF!</definedName>
    <definedName name="BLPH278" hidden="1">#REF!</definedName>
    <definedName name="BLPH279" localSheetId="3" hidden="1">#REF!</definedName>
    <definedName name="BLPH279" hidden="1">#REF!</definedName>
    <definedName name="BLPH28" hidden="1">'[10]Risk-Free Rate'!$V$15</definedName>
    <definedName name="BLPH280" localSheetId="3" hidden="1">#REF!</definedName>
    <definedName name="BLPH280" hidden="1">#REF!</definedName>
    <definedName name="BLPH281" localSheetId="3" hidden="1">#REF!</definedName>
    <definedName name="BLPH281" hidden="1">#REF!</definedName>
    <definedName name="BLPH282" localSheetId="3" hidden="1">#REF!</definedName>
    <definedName name="BLPH282" hidden="1">#REF!</definedName>
    <definedName name="BLPH283" localSheetId="3" hidden="1">#REF!</definedName>
    <definedName name="BLPH283" hidden="1">#REF!</definedName>
    <definedName name="BLPH284" localSheetId="3" hidden="1">#REF!</definedName>
    <definedName name="BLPH284" hidden="1">#REF!</definedName>
    <definedName name="BLPH285" localSheetId="3" hidden="1">#REF!</definedName>
    <definedName name="BLPH285" hidden="1">#REF!</definedName>
    <definedName name="BLPH286" localSheetId="3" hidden="1">#REF!</definedName>
    <definedName name="BLPH286" hidden="1">#REF!</definedName>
    <definedName name="BLPH287" localSheetId="3" hidden="1">#REF!</definedName>
    <definedName name="BLPH287" hidden="1">#REF!</definedName>
    <definedName name="BLPH288" localSheetId="3" hidden="1">#REF!</definedName>
    <definedName name="BLPH288" hidden="1">#REF!</definedName>
    <definedName name="BLPH289" localSheetId="3" hidden="1">#REF!</definedName>
    <definedName name="BLPH289" hidden="1">#REF!</definedName>
    <definedName name="BLPH29" hidden="1">'[10]Risk-Free Rate'!$S$15</definedName>
    <definedName name="BLPH290" localSheetId="3" hidden="1">#REF!</definedName>
    <definedName name="BLPH290" hidden="1">#REF!</definedName>
    <definedName name="BLPH291" localSheetId="3" hidden="1">#REF!</definedName>
    <definedName name="BLPH291" hidden="1">#REF!</definedName>
    <definedName name="BLPH292" localSheetId="3" hidden="1">#REF!</definedName>
    <definedName name="BLPH292" hidden="1">#REF!</definedName>
    <definedName name="BLPH293" localSheetId="3" hidden="1">#REF!</definedName>
    <definedName name="BLPH293" hidden="1">#REF!</definedName>
    <definedName name="BLPH294" localSheetId="3" hidden="1">#REF!</definedName>
    <definedName name="BLPH294" hidden="1">#REF!</definedName>
    <definedName name="BLPH295" localSheetId="3" hidden="1">#REF!</definedName>
    <definedName name="BLPH295" hidden="1">#REF!</definedName>
    <definedName name="BLPH296" localSheetId="3" hidden="1">#REF!</definedName>
    <definedName name="BLPH296" hidden="1">#REF!</definedName>
    <definedName name="BLPH297" localSheetId="3" hidden="1">#REF!</definedName>
    <definedName name="BLPH297" hidden="1">#REF!</definedName>
    <definedName name="BLPH298" localSheetId="3" hidden="1">#REF!</definedName>
    <definedName name="BLPH298" hidden="1">#REF!</definedName>
    <definedName name="BLPH299" localSheetId="3" hidden="1">#REF!</definedName>
    <definedName name="BLPH299" hidden="1">#REF!</definedName>
    <definedName name="BLPH3" hidden="1">'[9]4.6 ten year bonds'!$G$4</definedName>
    <definedName name="BLPH30" hidden="1">'[10]Risk-Free Rate'!$P$15</definedName>
    <definedName name="BLPH300" localSheetId="3" hidden="1">#REF!</definedName>
    <definedName name="BLPH300" hidden="1">#REF!</definedName>
    <definedName name="BLPH301" localSheetId="3" hidden="1">#REF!</definedName>
    <definedName name="BLPH301" hidden="1">#REF!</definedName>
    <definedName name="BLPH302" localSheetId="3" hidden="1">#REF!</definedName>
    <definedName name="BLPH302" hidden="1">#REF!</definedName>
    <definedName name="BLPH303" localSheetId="3" hidden="1">#REF!</definedName>
    <definedName name="BLPH303" hidden="1">#REF!</definedName>
    <definedName name="BLPH304" localSheetId="3" hidden="1">#REF!</definedName>
    <definedName name="BLPH304" hidden="1">#REF!</definedName>
    <definedName name="BLPH305" localSheetId="3" hidden="1">#REF!</definedName>
    <definedName name="BLPH305" hidden="1">#REF!</definedName>
    <definedName name="BLPH306" localSheetId="3" hidden="1">#REF!</definedName>
    <definedName name="BLPH306" hidden="1">#REF!</definedName>
    <definedName name="BLPH307" localSheetId="3" hidden="1">#REF!</definedName>
    <definedName name="BLPH307" hidden="1">#REF!</definedName>
    <definedName name="BLPH308" localSheetId="3" hidden="1">#REF!</definedName>
    <definedName name="BLPH308" hidden="1">#REF!</definedName>
    <definedName name="BLPH309" localSheetId="3" hidden="1">#REF!</definedName>
    <definedName name="BLPH309" hidden="1">#REF!</definedName>
    <definedName name="BLPH31" hidden="1">'[10]Risk-Free Rate'!$M$15</definedName>
    <definedName name="BLPH310" localSheetId="3" hidden="1">#REF!</definedName>
    <definedName name="BLPH310" hidden="1">#REF!</definedName>
    <definedName name="BLPH311" localSheetId="3" hidden="1">#REF!</definedName>
    <definedName name="BLPH311" hidden="1">#REF!</definedName>
    <definedName name="BLPH312" localSheetId="3" hidden="1">#REF!</definedName>
    <definedName name="BLPH312" hidden="1">#REF!</definedName>
    <definedName name="BLPH313" localSheetId="3" hidden="1">#REF!</definedName>
    <definedName name="BLPH313" hidden="1">#REF!</definedName>
    <definedName name="BLPH314" localSheetId="3" hidden="1">#REF!</definedName>
    <definedName name="BLPH314" hidden="1">#REF!</definedName>
    <definedName name="BLPH315" localSheetId="3" hidden="1">#REF!</definedName>
    <definedName name="BLPH315" hidden="1">#REF!</definedName>
    <definedName name="BLPH316" localSheetId="3" hidden="1">#REF!</definedName>
    <definedName name="BLPH316" hidden="1">#REF!</definedName>
    <definedName name="BLPH317" localSheetId="3" hidden="1">#REF!</definedName>
    <definedName name="BLPH317" hidden="1">#REF!</definedName>
    <definedName name="BLPH318" localSheetId="3" hidden="1">#REF!</definedName>
    <definedName name="BLPH318" hidden="1">#REF!</definedName>
    <definedName name="BLPH319" localSheetId="3" hidden="1">#REF!</definedName>
    <definedName name="BLPH319" hidden="1">#REF!</definedName>
    <definedName name="BLPH32" hidden="1">'[10]Risk-Free Rate'!$J$15</definedName>
    <definedName name="BLPH320" localSheetId="3" hidden="1">#REF!</definedName>
    <definedName name="BLPH320" hidden="1">#REF!</definedName>
    <definedName name="BLPH321" localSheetId="3" hidden="1">#REF!</definedName>
    <definedName name="BLPH321" hidden="1">#REF!</definedName>
    <definedName name="BLPH322" localSheetId="3" hidden="1">#REF!</definedName>
    <definedName name="BLPH322" hidden="1">#REF!</definedName>
    <definedName name="BLPH323" localSheetId="3" hidden="1">#REF!</definedName>
    <definedName name="BLPH323" hidden="1">#REF!</definedName>
    <definedName name="BLPH324" localSheetId="3" hidden="1">#REF!</definedName>
    <definedName name="BLPH324" hidden="1">#REF!</definedName>
    <definedName name="BLPH325" localSheetId="3" hidden="1">#REF!</definedName>
    <definedName name="BLPH325" hidden="1">#REF!</definedName>
    <definedName name="BLPH326" localSheetId="3" hidden="1">#REF!</definedName>
    <definedName name="BLPH326" hidden="1">#REF!</definedName>
    <definedName name="BLPH327" localSheetId="3" hidden="1">#REF!</definedName>
    <definedName name="BLPH327" hidden="1">#REF!</definedName>
    <definedName name="BLPH328" localSheetId="3" hidden="1">#REF!</definedName>
    <definedName name="BLPH328" hidden="1">#REF!</definedName>
    <definedName name="BLPH329" localSheetId="3" hidden="1">#REF!</definedName>
    <definedName name="BLPH329" hidden="1">#REF!</definedName>
    <definedName name="BLPH33" hidden="1">'[10]Risk-Free Rate'!$G$15</definedName>
    <definedName name="BLPH330" localSheetId="3" hidden="1">#REF!</definedName>
    <definedName name="BLPH330" hidden="1">#REF!</definedName>
    <definedName name="BLPH331" localSheetId="3" hidden="1">#REF!</definedName>
    <definedName name="BLPH331" hidden="1">#REF!</definedName>
    <definedName name="BLPH332" localSheetId="3" hidden="1">#REF!</definedName>
    <definedName name="BLPH332" hidden="1">#REF!</definedName>
    <definedName name="BLPH333" localSheetId="3" hidden="1">#REF!</definedName>
    <definedName name="BLPH333" hidden="1">#REF!</definedName>
    <definedName name="BLPH334" localSheetId="3" hidden="1">#REF!</definedName>
    <definedName name="BLPH334" hidden="1">#REF!</definedName>
    <definedName name="BLPH335" localSheetId="3" hidden="1">#REF!</definedName>
    <definedName name="BLPH335" hidden="1">#REF!</definedName>
    <definedName name="BLPH336" localSheetId="3" hidden="1">#REF!</definedName>
    <definedName name="BLPH336" hidden="1">#REF!</definedName>
    <definedName name="BLPH337" localSheetId="3" hidden="1">#REF!</definedName>
    <definedName name="BLPH337" hidden="1">#REF!</definedName>
    <definedName name="BLPH338" localSheetId="3" hidden="1">#REF!</definedName>
    <definedName name="BLPH338" hidden="1">#REF!</definedName>
    <definedName name="BLPH339" localSheetId="3" hidden="1">#REF!</definedName>
    <definedName name="BLPH339" hidden="1">#REF!</definedName>
    <definedName name="BLPH34" hidden="1">'[10]Risk-Free Rate'!$D$15</definedName>
    <definedName name="BLPH340" localSheetId="3" hidden="1">#REF!</definedName>
    <definedName name="BLPH340" hidden="1">#REF!</definedName>
    <definedName name="BLPH341" localSheetId="3" hidden="1">#REF!</definedName>
    <definedName name="BLPH341" hidden="1">#REF!</definedName>
    <definedName name="BLPH342" localSheetId="3" hidden="1">#REF!</definedName>
    <definedName name="BLPH342" hidden="1">#REF!</definedName>
    <definedName name="BLPH343" localSheetId="3" hidden="1">#REF!</definedName>
    <definedName name="BLPH343" hidden="1">#REF!</definedName>
    <definedName name="BLPH344" localSheetId="3" hidden="1">#REF!</definedName>
    <definedName name="BLPH344" hidden="1">#REF!</definedName>
    <definedName name="BLPH345" localSheetId="3" hidden="1">#REF!</definedName>
    <definedName name="BLPH345" hidden="1">#REF!</definedName>
    <definedName name="BLPH346" localSheetId="3" hidden="1">#REF!</definedName>
    <definedName name="BLPH346" hidden="1">#REF!</definedName>
    <definedName name="BLPH347" localSheetId="3" hidden="1">#REF!</definedName>
    <definedName name="BLPH347" hidden="1">#REF!</definedName>
    <definedName name="BLPH348" localSheetId="3" hidden="1">#REF!</definedName>
    <definedName name="BLPH348" hidden="1">#REF!</definedName>
    <definedName name="BLPH349" localSheetId="3" hidden="1">#REF!</definedName>
    <definedName name="BLPH349" hidden="1">#REF!</definedName>
    <definedName name="BLPH35" hidden="1">'[10]Risk-Free Rate'!$A$15</definedName>
    <definedName name="BLPH350" localSheetId="3" hidden="1">#REF!</definedName>
    <definedName name="BLPH350" hidden="1">#REF!</definedName>
    <definedName name="BLPH351" localSheetId="3" hidden="1">#REF!</definedName>
    <definedName name="BLPH351" hidden="1">#REF!</definedName>
    <definedName name="BLPH352" localSheetId="3" hidden="1">#REF!</definedName>
    <definedName name="BLPH352" hidden="1">#REF!</definedName>
    <definedName name="BLPH353" localSheetId="3" hidden="1">#REF!</definedName>
    <definedName name="BLPH353" hidden="1">#REF!</definedName>
    <definedName name="BLPH354" localSheetId="3" hidden="1">#REF!</definedName>
    <definedName name="BLPH354" hidden="1">#REF!</definedName>
    <definedName name="BLPH355" localSheetId="3" hidden="1">#REF!</definedName>
    <definedName name="BLPH355" hidden="1">#REF!</definedName>
    <definedName name="BLPH356" localSheetId="3" hidden="1">#REF!</definedName>
    <definedName name="BLPH356" hidden="1">#REF!</definedName>
    <definedName name="BLPH357" localSheetId="3" hidden="1">#REF!</definedName>
    <definedName name="BLPH357" hidden="1">#REF!</definedName>
    <definedName name="BLPH358" localSheetId="3" hidden="1">#REF!</definedName>
    <definedName name="BLPH358" hidden="1">#REF!</definedName>
    <definedName name="BLPH359" localSheetId="3" hidden="1">#REF!</definedName>
    <definedName name="BLPH359" hidden="1">#REF!</definedName>
    <definedName name="BLPH36" localSheetId="3" hidden="1">#REF!</definedName>
    <definedName name="BLPH36" hidden="1">#REF!</definedName>
    <definedName name="BLPH37" localSheetId="3" hidden="1">#REF!</definedName>
    <definedName name="BLPH37" hidden="1">#REF!</definedName>
    <definedName name="BLPH38" localSheetId="3" hidden="1">#REF!</definedName>
    <definedName name="BLPH38" hidden="1">#REF!</definedName>
    <definedName name="BLPH39" localSheetId="3" hidden="1">#REF!</definedName>
    <definedName name="BLPH39" hidden="1">#REF!</definedName>
    <definedName name="BLPH4" hidden="1">'[9]4.6 ten year bonds'!$J$4</definedName>
    <definedName name="BLPH40" localSheetId="3" hidden="1">#REF!</definedName>
    <definedName name="BLPH40" hidden="1">#REF!</definedName>
    <definedName name="BLPH41" localSheetId="3" hidden="1">#REF!</definedName>
    <definedName name="BLPH41" hidden="1">#REF!</definedName>
    <definedName name="BLPH42" localSheetId="3" hidden="1">#REF!</definedName>
    <definedName name="BLPH42" hidden="1">#REF!</definedName>
    <definedName name="BLPH43" localSheetId="3" hidden="1">#REF!</definedName>
    <definedName name="BLPH43" hidden="1">#REF!</definedName>
    <definedName name="BLPH44" localSheetId="3" hidden="1">#REF!</definedName>
    <definedName name="BLPH44" hidden="1">#REF!</definedName>
    <definedName name="BLPH45" localSheetId="3" hidden="1">#REF!</definedName>
    <definedName name="BLPH45" hidden="1">#REF!</definedName>
    <definedName name="BLPH46" localSheetId="3" hidden="1">#REF!</definedName>
    <definedName name="BLPH46" hidden="1">#REF!</definedName>
    <definedName name="BLPH47" localSheetId="3" hidden="1">#REF!</definedName>
    <definedName name="BLPH47" hidden="1">#REF!</definedName>
    <definedName name="BLPH48" localSheetId="3" hidden="1">#REF!</definedName>
    <definedName name="BLPH48" hidden="1">#REF!</definedName>
    <definedName name="BLPH49" localSheetId="3" hidden="1">#REF!</definedName>
    <definedName name="BLPH49" hidden="1">#REF!</definedName>
    <definedName name="BLPH5" hidden="1">'[9]4.6 ten year bonds'!$M$4</definedName>
    <definedName name="BLPH50" localSheetId="3" hidden="1">#REF!</definedName>
    <definedName name="BLPH50" hidden="1">#REF!</definedName>
    <definedName name="BLPH51" localSheetId="3" hidden="1">#REF!</definedName>
    <definedName name="BLPH51" hidden="1">#REF!</definedName>
    <definedName name="BLPH52" localSheetId="3" hidden="1">#REF!</definedName>
    <definedName name="BLPH52" hidden="1">#REF!</definedName>
    <definedName name="BLPH53" localSheetId="3" hidden="1">#REF!</definedName>
    <definedName name="BLPH53" hidden="1">#REF!</definedName>
    <definedName name="BLPH54" localSheetId="3" hidden="1">#REF!</definedName>
    <definedName name="BLPH54" hidden="1">#REF!</definedName>
    <definedName name="BLPH55" localSheetId="3" hidden="1">#REF!</definedName>
    <definedName name="BLPH55" hidden="1">#REF!</definedName>
    <definedName name="BLPH56" localSheetId="3" hidden="1">#REF!</definedName>
    <definedName name="BLPH56" hidden="1">#REF!</definedName>
    <definedName name="BLPH57" localSheetId="3" hidden="1">#REF!</definedName>
    <definedName name="BLPH57" hidden="1">#REF!</definedName>
    <definedName name="BLPH58" localSheetId="3" hidden="1">#REF!</definedName>
    <definedName name="BLPH58" hidden="1">#REF!</definedName>
    <definedName name="BLPH59" localSheetId="3" hidden="1">#REF!</definedName>
    <definedName name="BLPH59" hidden="1">#REF!</definedName>
    <definedName name="BLPH6" localSheetId="3" hidden="1">#REF!</definedName>
    <definedName name="BLPH6" hidden="1">#REF!</definedName>
    <definedName name="BLPH60" localSheetId="3" hidden="1">#REF!</definedName>
    <definedName name="BLPH60" hidden="1">#REF!</definedName>
    <definedName name="BLPH61" localSheetId="3" hidden="1">#REF!</definedName>
    <definedName name="BLPH61" hidden="1">#REF!</definedName>
    <definedName name="BLPH62" localSheetId="3" hidden="1">#REF!</definedName>
    <definedName name="BLPH62" hidden="1">#REF!</definedName>
    <definedName name="BLPH63" localSheetId="3" hidden="1">#REF!</definedName>
    <definedName name="BLPH63" hidden="1">#REF!</definedName>
    <definedName name="BLPH64" localSheetId="3" hidden="1">#REF!</definedName>
    <definedName name="BLPH64" hidden="1">#REF!</definedName>
    <definedName name="BLPH65" localSheetId="3" hidden="1">#REF!</definedName>
    <definedName name="BLPH65" hidden="1">#REF!</definedName>
    <definedName name="BLPH66" localSheetId="3" hidden="1">#REF!</definedName>
    <definedName name="BLPH66" hidden="1">#REF!</definedName>
    <definedName name="BLPH67" localSheetId="3" hidden="1">#REF!</definedName>
    <definedName name="BLPH67" hidden="1">#REF!</definedName>
    <definedName name="BLPH68" localSheetId="3" hidden="1">#REF!</definedName>
    <definedName name="BLPH68" hidden="1">#REF!</definedName>
    <definedName name="BLPH69" localSheetId="3" hidden="1">#REF!</definedName>
    <definedName name="BLPH69" hidden="1">#REF!</definedName>
    <definedName name="BLPH7" localSheetId="3" hidden="1">#REF!</definedName>
    <definedName name="BLPH7" hidden="1">#REF!</definedName>
    <definedName name="BLPH70" localSheetId="3" hidden="1">#REF!</definedName>
    <definedName name="BLPH70" hidden="1">#REF!</definedName>
    <definedName name="BLPH71" localSheetId="3" hidden="1">#REF!</definedName>
    <definedName name="BLPH71" hidden="1">#REF!</definedName>
    <definedName name="BLPH72" localSheetId="3" hidden="1">#REF!</definedName>
    <definedName name="BLPH72" hidden="1">#REF!</definedName>
    <definedName name="BLPH73" localSheetId="3" hidden="1">#REF!</definedName>
    <definedName name="BLPH73" hidden="1">#REF!</definedName>
    <definedName name="BLPH74" localSheetId="3" hidden="1">#REF!</definedName>
    <definedName name="BLPH74" hidden="1">#REF!</definedName>
    <definedName name="BLPH75" localSheetId="3" hidden="1">#REF!</definedName>
    <definedName name="BLPH75" hidden="1">#REF!</definedName>
    <definedName name="BLPH76" localSheetId="3" hidden="1">#REF!</definedName>
    <definedName name="BLPH76" hidden="1">#REF!</definedName>
    <definedName name="BLPH77" localSheetId="3" hidden="1">#REF!</definedName>
    <definedName name="BLPH77" hidden="1">#REF!</definedName>
    <definedName name="BLPH78" localSheetId="3" hidden="1">#REF!</definedName>
    <definedName name="BLPH78" hidden="1">#REF!</definedName>
    <definedName name="BLPH79" localSheetId="3" hidden="1">#REF!</definedName>
    <definedName name="BLPH79" hidden="1">#REF!</definedName>
    <definedName name="BLPH8" localSheetId="3" hidden="1">#REF!</definedName>
    <definedName name="BLPH8" hidden="1">#REF!</definedName>
    <definedName name="BLPH80" localSheetId="3" hidden="1">#REF!</definedName>
    <definedName name="BLPH80" hidden="1">#REF!</definedName>
    <definedName name="BLPH81" localSheetId="3" hidden="1">#REF!</definedName>
    <definedName name="BLPH81" hidden="1">#REF!</definedName>
    <definedName name="BLPH82" localSheetId="3" hidden="1">#REF!</definedName>
    <definedName name="BLPH82" hidden="1">#REF!</definedName>
    <definedName name="BLPH83" localSheetId="3" hidden="1">#REF!</definedName>
    <definedName name="BLPH83" hidden="1">#REF!</definedName>
    <definedName name="BLPH84" localSheetId="3" hidden="1">#REF!</definedName>
    <definedName name="BLPH84" hidden="1">#REF!</definedName>
    <definedName name="BLPH85" localSheetId="3" hidden="1">#REF!</definedName>
    <definedName name="BLPH85" hidden="1">#REF!</definedName>
    <definedName name="BLPH86" localSheetId="3" hidden="1">#REF!</definedName>
    <definedName name="BLPH86" hidden="1">#REF!</definedName>
    <definedName name="BLPH87" localSheetId="3" hidden="1">#REF!</definedName>
    <definedName name="BLPH87" hidden="1">#REF!</definedName>
    <definedName name="BLPH88" localSheetId="3" hidden="1">#REF!</definedName>
    <definedName name="BLPH88" hidden="1">#REF!</definedName>
    <definedName name="BLPH89" localSheetId="3" hidden="1">#REF!</definedName>
    <definedName name="BLPH89" hidden="1">#REF!</definedName>
    <definedName name="BLPH9" localSheetId="3" hidden="1">#REF!</definedName>
    <definedName name="BLPH9" hidden="1">#REF!</definedName>
    <definedName name="BLPH90" localSheetId="3" hidden="1">#REF!</definedName>
    <definedName name="BLPH90" hidden="1">#REF!</definedName>
    <definedName name="BLPH91" localSheetId="3" hidden="1">#REF!</definedName>
    <definedName name="BLPH91" hidden="1">#REF!</definedName>
    <definedName name="BLPH92" localSheetId="3" hidden="1">#REF!</definedName>
    <definedName name="BLPH92" hidden="1">#REF!</definedName>
    <definedName name="BLPH93" localSheetId="3" hidden="1">#REF!</definedName>
    <definedName name="BLPH93" hidden="1">#REF!</definedName>
    <definedName name="BLPH94" localSheetId="3" hidden="1">#REF!</definedName>
    <definedName name="BLPH94" hidden="1">#REF!</definedName>
    <definedName name="BLPH95" localSheetId="3" hidden="1">#REF!</definedName>
    <definedName name="BLPH95" hidden="1">#REF!</definedName>
    <definedName name="BLPH96" localSheetId="3" hidden="1">#REF!</definedName>
    <definedName name="BLPH96" hidden="1">#REF!</definedName>
    <definedName name="BLPH97" localSheetId="3" hidden="1">#REF!</definedName>
    <definedName name="BLPH97" hidden="1">#REF!</definedName>
    <definedName name="BLPH98" localSheetId="3" hidden="1">#REF!</definedName>
    <definedName name="BLPH98" hidden="1">#REF!</definedName>
    <definedName name="BLPH99" localSheetId="3" hidden="1">#REF!</definedName>
    <definedName name="BLPH99" hidden="1">#REF!</definedName>
    <definedName name="BNE_MESSAGES_HIDDEN" localSheetId="3" hidden="1">#REF!</definedName>
    <definedName name="BNE_MESSAGES_HIDDEN" hidden="1">#REF!</definedName>
    <definedName name="Cwvu.CapersView." localSheetId="3" hidden="1">[8]Sheet1!#REF!</definedName>
    <definedName name="Cwvu.CapersView." hidden="1">[8]Sheet1!#REF!</definedName>
    <definedName name="Cwvu.Japan_Capers_Ed_Pub." localSheetId="3" hidden="1">[8]Sheet1!#REF!</definedName>
    <definedName name="Cwvu.Japan_Capers_Ed_Pub." hidden="1">[8]Sheet1!#REF!</definedName>
    <definedName name="dgsgf" localSheetId="3"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hidden="1">#REF!</definedName>
    <definedName name="ExtraProfiles" localSheetId="3" hidden="1">#REF!</definedName>
    <definedName name="ExtraProfiles" hidden="1">#REF!</definedName>
    <definedName name="fg" localSheetId="3"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indit" hidden="1">{#N/A,#N/A,FALSE,"Aging Summary";#N/A,#N/A,FALSE,"Ratio Analysis";#N/A,#N/A,FALSE,"Test 120 Day Accts";#N/A,#N/A,FALSE,"Tickmarks"}</definedName>
    <definedName name="ghj" localSheetId="3"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jhkgh" localSheetId="3"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imcount" hidden="1">1</definedName>
    <definedName name="ListOffset" hidden="1">1</definedName>
    <definedName name="New" hidden="1">{#N/A,#N/A,FALSE,"Aging Summary";#N/A,#N/A,FALSE,"Ratio Analysis";#N/A,#N/A,FALSE,"Test 120 Day Accts";#N/A,#N/A,FALSE,"Tickmarks"}</definedName>
    <definedName name="Option2" localSheetId="3"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l_Workbook_GUID" hidden="1">"LJ9YVKRJVQ1A1KNUG7XIT5A9"</definedName>
    <definedName name="Percent2" hidden="1">{#N/A,#N/A,FALSE,"Aging Summary";#N/A,#N/A,FALSE,"Ratio Analysis";#N/A,#N/A,FALSE,"Test 120 Day Accts";#N/A,#N/A,FALSE,"Tickmarks"}</definedName>
    <definedName name="Pop" localSheetId="3" hidden="1">[11]Population!#REF!</definedName>
    <definedName name="Pop" hidden="1">[11]Population!#REF!</definedName>
    <definedName name="Population" localSheetId="3" hidden="1">#REF!</definedName>
    <definedName name="Population" hidden="1">#REF!</definedName>
    <definedName name="Profiles" localSheetId="3" hidden="1">#REF!</definedName>
    <definedName name="Profiles" hidden="1">#REF!</definedName>
    <definedName name="Projections" localSheetId="3" hidden="1">#REF!</definedName>
    <definedName name="Projections" hidden="1">#REF!</definedName>
    <definedName name="Results" hidden="1">[12]UK99!$A$1:$A$1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localSheetId="3" hidden="1">#REF!</definedName>
    <definedName name="Rwvu.CapersView." hidden="1">#REF!</definedName>
    <definedName name="Rwvu.Japan_Capers_Ed_Pub." localSheetId="3" hidden="1">#REF!</definedName>
    <definedName name="Rwvu.Japan_Capers_Ed_Pub." hidden="1">#REF!</definedName>
    <definedName name="Rwvu.KJP_CC." localSheetId="3"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df" localSheetId="3"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ncount" hidden="1">1</definedName>
    <definedName name="sfad" localSheetId="3"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wvu.CapersView." hidden="1">[8]Sheet1!#REF!</definedName>
    <definedName name="Swvu.Japan_Capers_Ed_Pub." localSheetId="3" hidden="1">#REF!</definedName>
    <definedName name="Swvu.Japan_Capers_Ed_Pub." hidden="1">#REF!</definedName>
    <definedName name="Swvu.KJP_CC." localSheetId="3" hidden="1">#REF!</definedName>
    <definedName name="Swvu.KJP_CC." hidden="1">#REF!</definedName>
    <definedName name="test"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ggh" localSheetId="3"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hidden="1">{"AJD",#N/A,TRUE,"Summary";"AJD",#N/A,TRUE,"CFCONC-outputs";"AJD",#N/A,TRUE,"P&amp;LCONC-outputs";"AJD",#N/A,TRUE,"BSCONC-outputs";"AJD",#N/A,TRUE,"FSCONC-outputs"}</definedName>
    <definedName name="wrn.Construction._.Costs." hidden="1">{"Const Costs Dev",#N/A,FALSE,"Construction Cost Inputs";"Const Costs orig ccy",#N/A,FALSE,"Construction Cost Inputs";"Const Costs USD",#N/A,FALSE,"Construction Cost Inputs"}</definedName>
    <definedName name="wrn.Financing._.Inputs." hidden="1">{"BuildIn 2 Funding Assump",#N/A,FALSE,"Building Inputs";"BuildIn Capex plus Extras",#N/A,FALSE,"Building Inputs"}</definedName>
    <definedName name="wrn.Inputs._.outputs." hidden="1">{"key inputs",#N/A,FALSE,"Key Inputs";"key outputs",#N/A,FALSE,"Outputs";"Other inputs",#N/A,FALSE,"Other Inputs";"cashflow",#N/A,FALSE,"Statemnts"}</definedName>
    <definedName name="wrn.OpCostIn." hidden="1">{"OpCostIn Technical",#N/A,FALSE,"Operations Cost Inputs";"OpCostIn V plus F",#N/A,FALSE,"Operations Cost Inputs";"OpCostIn Maint",#N/A,FALSE,"Operations Cost Inputs";"OpCostIn LDs Add Cost",#N/A,FALSE,"Operations Cost Inputs"}</definedName>
    <definedName name="wrn.Print_full_repo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Summary._.results." hidden="1">{"key inputs",#N/A,TRUE,"Key Inputs";"key outputs",#N/A,TRUE,"Outputs";"Other inputs",#N/A,TRUE,"Other Inputs";"Revenue",#N/A,TRUE,"Rev"}</definedName>
    <definedName name="wrn.TMCOMP." localSheetId="3"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Z_9A428CE1_B4D9_11D0_A8AA_0000C071AEE7_.wvu.Cols" hidden="1">[8]Sheet1!$A$1:$Q$65536,[8]Sheet1!$Y$1:$Z$65536</definedName>
    <definedName name="Z_9A428CE1_B4D9_11D0_A8AA_0000C071AEE7_.wvu.PrintArea" localSheetId="3" hidden="1">#REF!</definedName>
    <definedName name="Z_9A428CE1_B4D9_11D0_A8AA_0000C071AEE7_.wvu.PrintArea" hidden="1">#REF!</definedName>
  </definedNames>
  <calcPr calcId="162913"/>
</workbook>
</file>

<file path=xl/calcChain.xml><?xml version="1.0" encoding="utf-8"?>
<calcChain xmlns="http://schemas.openxmlformats.org/spreadsheetml/2006/main">
  <c r="P6" i="38" l="1"/>
  <c r="P33" i="38" s="1"/>
  <c r="Q6" i="38"/>
  <c r="R6" i="38"/>
  <c r="S6" i="38"/>
  <c r="S33" i="38" s="1"/>
  <c r="T6" i="38"/>
  <c r="T33" i="38" s="1"/>
  <c r="U6" i="38"/>
  <c r="Q33" i="38"/>
  <c r="R33" i="38"/>
  <c r="U33" i="38"/>
  <c r="I31" i="62"/>
  <c r="J31" i="62"/>
  <c r="I27" i="62"/>
  <c r="I29" i="62" s="1"/>
  <c r="J27" i="62"/>
  <c r="J29" i="62"/>
  <c r="I30" i="62"/>
  <c r="J30" i="62"/>
  <c r="F31" i="62"/>
  <c r="G31" i="62"/>
  <c r="H31" i="62"/>
  <c r="E31" i="62"/>
  <c r="M6" i="38"/>
  <c r="N6" i="38"/>
  <c r="O6" i="38"/>
  <c r="D31" i="63"/>
  <c r="E31" i="63"/>
  <c r="F31" i="63"/>
  <c r="T28" i="57" l="1"/>
  <c r="U28" i="57"/>
  <c r="AB16" i="60" l="1"/>
  <c r="AC16" i="60"/>
  <c r="AD16" i="60"/>
  <c r="AE16" i="60"/>
  <c r="AF16" i="60"/>
  <c r="AG16" i="60"/>
  <c r="AH16" i="60"/>
  <c r="AI16" i="60"/>
  <c r="AJ16" i="60"/>
  <c r="AK16" i="60"/>
  <c r="AL16" i="60"/>
  <c r="AM16" i="60"/>
  <c r="AN16" i="60"/>
  <c r="AO16" i="60"/>
  <c r="AP16" i="60"/>
  <c r="AQ16" i="60"/>
  <c r="AR16" i="60"/>
  <c r="C8" i="60"/>
  <c r="C7" i="60" l="1"/>
  <c r="AM15" i="55" l="1"/>
  <c r="X15" i="55"/>
  <c r="Y15" i="55"/>
  <c r="AB15" i="55"/>
  <c r="AC15" i="55"/>
  <c r="AF15" i="55"/>
  <c r="AG15" i="55"/>
  <c r="AK15" i="55"/>
  <c r="AO15" i="55"/>
  <c r="AR15" i="55"/>
  <c r="W15" i="55"/>
  <c r="AJ15" i="55"/>
  <c r="AN15" i="55"/>
  <c r="AI15" i="55" l="1"/>
  <c r="AQ15" i="55"/>
  <c r="AE15" i="55"/>
  <c r="AA15" i="55"/>
  <c r="AP15" i="55"/>
  <c r="AL15" i="55"/>
  <c r="AH15" i="55"/>
  <c r="AD15" i="55"/>
  <c r="Z15" i="55"/>
  <c r="T35" i="55" l="1"/>
  <c r="V45" i="38" l="1"/>
  <c r="W45" i="38"/>
  <c r="X45" i="38"/>
  <c r="Y45" i="38"/>
  <c r="Z45" i="38"/>
  <c r="AA45" i="38"/>
  <c r="AB45" i="38"/>
  <c r="AC45" i="38"/>
  <c r="AD45" i="38"/>
  <c r="AE45" i="38"/>
  <c r="AF45" i="38"/>
  <c r="AG45" i="38"/>
  <c r="AH45" i="38"/>
  <c r="AI45" i="38"/>
  <c r="AJ45" i="38"/>
  <c r="AK45" i="38"/>
  <c r="AL45" i="38"/>
  <c r="AM45" i="38"/>
  <c r="AN45" i="38"/>
  <c r="AO45" i="38"/>
  <c r="AP45" i="38"/>
  <c r="AQ45" i="38"/>
  <c r="AR45" i="38"/>
  <c r="C43" i="38" l="1"/>
  <c r="C44" i="38"/>
  <c r="C45" i="38"/>
  <c r="C42" i="38"/>
  <c r="C48" i="38"/>
  <c r="S32" i="55" l="1"/>
  <c r="E33" i="38" s="1"/>
  <c r="T36" i="55"/>
  <c r="E39" i="38" l="1"/>
  <c r="E44" i="38" s="1"/>
  <c r="E38" i="38"/>
  <c r="E43" i="38" s="1"/>
  <c r="E37" i="38"/>
  <c r="E42" i="38" s="1"/>
  <c r="F49" i="38" s="1"/>
  <c r="L34" i="38"/>
  <c r="L45" i="38" s="1"/>
  <c r="L33" i="38"/>
  <c r="L39" i="38"/>
  <c r="L44" i="38" s="1"/>
  <c r="L38" i="38"/>
  <c r="L43" i="38" s="1"/>
  <c r="H38" i="38"/>
  <c r="H43" i="38" s="1"/>
  <c r="L37" i="38"/>
  <c r="H37" i="38"/>
  <c r="T34" i="38"/>
  <c r="P34" i="38"/>
  <c r="K34" i="38"/>
  <c r="G34" i="38"/>
  <c r="K33" i="38"/>
  <c r="K45" i="38" s="1"/>
  <c r="G33" i="38"/>
  <c r="G45" i="38" s="1"/>
  <c r="K39" i="38"/>
  <c r="K44" i="38" s="1"/>
  <c r="G39" i="38"/>
  <c r="G44" i="38" s="1"/>
  <c r="K38" i="38"/>
  <c r="K43" i="38" s="1"/>
  <c r="G38" i="38"/>
  <c r="G43" i="38" s="1"/>
  <c r="J50" i="38" s="1"/>
  <c r="K37" i="38"/>
  <c r="K42" i="38" s="1"/>
  <c r="G37" i="38"/>
  <c r="S34" i="38"/>
  <c r="N34" i="38"/>
  <c r="J34" i="38"/>
  <c r="F34" i="38"/>
  <c r="J33" i="38"/>
  <c r="J45" i="38" s="1"/>
  <c r="F33" i="38"/>
  <c r="F45" i="38" s="1"/>
  <c r="I39" i="38"/>
  <c r="I44" i="38" s="1"/>
  <c r="I38" i="38"/>
  <c r="I43" i="38" s="1"/>
  <c r="I37" i="38"/>
  <c r="I42" i="38" s="1"/>
  <c r="Q34" i="38"/>
  <c r="H34" i="38"/>
  <c r="H33" i="38"/>
  <c r="H45" i="38" s="1"/>
  <c r="H39" i="38"/>
  <c r="H44" i="38" s="1"/>
  <c r="J39" i="38"/>
  <c r="J44" i="38" s="1"/>
  <c r="L51" i="38" s="1"/>
  <c r="F39" i="38"/>
  <c r="F44" i="38" s="1"/>
  <c r="J38" i="38"/>
  <c r="J43" i="38" s="1"/>
  <c r="F38" i="38"/>
  <c r="F43" i="38" s="1"/>
  <c r="J37" i="38"/>
  <c r="J42" i="38" s="1"/>
  <c r="F37" i="38"/>
  <c r="F42" i="38" s="1"/>
  <c r="R34" i="38"/>
  <c r="M34" i="38"/>
  <c r="I34" i="38"/>
  <c r="E34" i="38"/>
  <c r="I33" i="38"/>
  <c r="E49" i="38"/>
  <c r="G42" i="38"/>
  <c r="L42" i="38"/>
  <c r="E45" i="38"/>
  <c r="H42" i="38"/>
  <c r="E51" i="38"/>
  <c r="G51" i="38"/>
  <c r="F51" i="38"/>
  <c r="H51" i="38"/>
  <c r="E50" i="38"/>
  <c r="B3" i="59"/>
  <c r="N51" i="59"/>
  <c r="O51" i="59"/>
  <c r="P51" i="59"/>
  <c r="E30" i="62" s="1"/>
  <c r="Q51" i="59"/>
  <c r="R51" i="59"/>
  <c r="S51" i="59"/>
  <c r="T51" i="59"/>
  <c r="U51" i="59"/>
  <c r="M51" i="59"/>
  <c r="I45" i="38" l="1"/>
  <c r="K51" i="38"/>
  <c r="I50" i="38"/>
  <c r="I40" i="38"/>
  <c r="J51" i="38"/>
  <c r="H50" i="38"/>
  <c r="L40" i="38"/>
  <c r="L50" i="38"/>
  <c r="G40" i="38"/>
  <c r="F50" i="38"/>
  <c r="K50" i="38"/>
  <c r="I51" i="38"/>
  <c r="F40" i="38"/>
  <c r="K40" i="38"/>
  <c r="E40" i="38"/>
  <c r="G50" i="38"/>
  <c r="H40" i="38"/>
  <c r="J40" i="38"/>
  <c r="I49" i="38"/>
  <c r="L49" i="38"/>
  <c r="K49" i="38"/>
  <c r="G49" i="38"/>
  <c r="J49" i="38"/>
  <c r="H49" i="38"/>
  <c r="N10" i="59"/>
  <c r="O10" i="59"/>
  <c r="N11" i="59"/>
  <c r="O11" i="59"/>
  <c r="N12" i="59"/>
  <c r="O12" i="59"/>
  <c r="M11" i="59"/>
  <c r="M12" i="59"/>
  <c r="M10" i="59"/>
  <c r="N4" i="59"/>
  <c r="O4" i="59"/>
  <c r="N5" i="59"/>
  <c r="O5" i="59"/>
  <c r="N6" i="59"/>
  <c r="O6" i="59"/>
  <c r="M5" i="59"/>
  <c r="M6" i="59"/>
  <c r="M4" i="59"/>
  <c r="Q75" i="55"/>
  <c r="R75" i="55"/>
  <c r="S75" i="55"/>
  <c r="T75" i="55"/>
  <c r="U75" i="55"/>
  <c r="P75" i="55"/>
  <c r="Q69" i="55"/>
  <c r="R69" i="55"/>
  <c r="S69" i="55"/>
  <c r="T69" i="55"/>
  <c r="U69" i="55"/>
  <c r="P69" i="55"/>
  <c r="N63" i="55"/>
  <c r="O63" i="55"/>
  <c r="M63" i="55"/>
  <c r="N57" i="55"/>
  <c r="O57" i="55"/>
  <c r="M57" i="55"/>
  <c r="N13" i="59" l="1"/>
  <c r="M13" i="59"/>
  <c r="O13" i="59"/>
  <c r="E18" i="38"/>
  <c r="F18" i="38"/>
  <c r="G18" i="38"/>
  <c r="H18" i="38"/>
  <c r="I18" i="38"/>
  <c r="J18" i="38"/>
  <c r="K18" i="38"/>
  <c r="L18" i="38"/>
  <c r="E30" i="63" l="1"/>
  <c r="F30" i="63"/>
  <c r="D30" i="63"/>
  <c r="D218" i="63"/>
  <c r="D175" i="63"/>
  <c r="D172" i="63"/>
  <c r="D173" i="63" s="1"/>
  <c r="D133" i="63"/>
  <c r="D131" i="63"/>
  <c r="D130" i="63"/>
  <c r="D129" i="63"/>
  <c r="E95" i="63"/>
  <c r="E103" i="63" s="1"/>
  <c r="E93" i="63"/>
  <c r="D93" i="63"/>
  <c r="F92" i="63"/>
  <c r="F93" i="63" s="1"/>
  <c r="E92" i="63"/>
  <c r="D92" i="63"/>
  <c r="F91" i="63"/>
  <c r="E91" i="63"/>
  <c r="D91" i="63"/>
  <c r="D75" i="63"/>
  <c r="F66" i="63"/>
  <c r="F68" i="63" s="1"/>
  <c r="F65" i="63"/>
  <c r="E65" i="63"/>
  <c r="E66" i="63" s="1"/>
  <c r="E68" i="63" s="1"/>
  <c r="D65" i="63"/>
  <c r="D66" i="63" s="1"/>
  <c r="D68" i="63" s="1"/>
  <c r="D69" i="63" s="1"/>
  <c r="F64" i="63"/>
  <c r="E64" i="63"/>
  <c r="D64" i="63"/>
  <c r="N16" i="59"/>
  <c r="O16" i="59"/>
  <c r="N17" i="59"/>
  <c r="O17" i="59"/>
  <c r="N18" i="59"/>
  <c r="O18" i="59"/>
  <c r="M17" i="59"/>
  <c r="M18" i="59"/>
  <c r="M16" i="59"/>
  <c r="N7" i="59"/>
  <c r="O7" i="59"/>
  <c r="M7" i="59"/>
  <c r="N19" i="59" l="1"/>
  <c r="E27" i="63" s="1"/>
  <c r="D76" i="63"/>
  <c r="D70" i="63"/>
  <c r="F75" i="63"/>
  <c r="F69" i="63"/>
  <c r="D176" i="63"/>
  <c r="D177" i="63"/>
  <c r="E75" i="63"/>
  <c r="E69" i="63"/>
  <c r="F95" i="63"/>
  <c r="F103" i="63" s="1"/>
  <c r="F96" i="63"/>
  <c r="F104" i="63" s="1"/>
  <c r="D182" i="63"/>
  <c r="D95" i="63"/>
  <c r="D103" i="63" s="1"/>
  <c r="D134" i="63"/>
  <c r="E96" i="63"/>
  <c r="E104" i="63" s="1"/>
  <c r="D140" i="63"/>
  <c r="D147" i="63" s="1"/>
  <c r="D154" i="63" s="1"/>
  <c r="O19" i="59"/>
  <c r="F27" i="63" s="1"/>
  <c r="M19" i="59"/>
  <c r="D27" i="63" s="1"/>
  <c r="T93" i="55"/>
  <c r="F97" i="63" l="1"/>
  <c r="D184" i="63"/>
  <c r="D77" i="63"/>
  <c r="D71" i="63"/>
  <c r="D222" i="63"/>
  <c r="D189" i="63"/>
  <c r="E70" i="63"/>
  <c r="E76" i="63"/>
  <c r="D183" i="63"/>
  <c r="F76" i="63"/>
  <c r="F70" i="63"/>
  <c r="D135" i="63"/>
  <c r="D141" i="63"/>
  <c r="D240" i="63"/>
  <c r="D247" i="63" s="1"/>
  <c r="E97" i="63"/>
  <c r="D96" i="63"/>
  <c r="D178" i="63"/>
  <c r="S50" i="55"/>
  <c r="D104" i="63" l="1"/>
  <c r="D97" i="63"/>
  <c r="D78" i="63"/>
  <c r="D72" i="63"/>
  <c r="D79" i="63" s="1"/>
  <c r="E105" i="63"/>
  <c r="E98" i="63"/>
  <c r="E77" i="63"/>
  <c r="E71" i="63"/>
  <c r="F105" i="63"/>
  <c r="F98" i="63"/>
  <c r="D185" i="63"/>
  <c r="D179" i="63"/>
  <c r="D148" i="63"/>
  <c r="D155" i="63" s="1"/>
  <c r="D241" i="63"/>
  <c r="D248" i="63" s="1"/>
  <c r="F71" i="63"/>
  <c r="F77" i="63"/>
  <c r="D142" i="63"/>
  <c r="D136" i="63"/>
  <c r="D223" i="63"/>
  <c r="D230" i="63" s="1"/>
  <c r="D190" i="63"/>
  <c r="D197" i="63" s="1"/>
  <c r="D191" i="63"/>
  <c r="D198" i="63" s="1"/>
  <c r="D224" i="63"/>
  <c r="D231" i="63" s="1"/>
  <c r="S49" i="55"/>
  <c r="D149" i="63" l="1"/>
  <c r="D242" i="63"/>
  <c r="D186" i="63"/>
  <c r="D180" i="63"/>
  <c r="F106" i="63"/>
  <c r="F99" i="63"/>
  <c r="E106" i="63"/>
  <c r="E99" i="63"/>
  <c r="D105" i="63"/>
  <c r="D98" i="63"/>
  <c r="F78" i="63"/>
  <c r="F72" i="63"/>
  <c r="F79" i="63" s="1"/>
  <c r="D192" i="63"/>
  <c r="D199" i="63" s="1"/>
  <c r="D225" i="63"/>
  <c r="D232" i="63" s="1"/>
  <c r="E78" i="63"/>
  <c r="E72" i="63"/>
  <c r="E79" i="63" s="1"/>
  <c r="D137" i="63"/>
  <c r="D143" i="63"/>
  <c r="W37" i="38"/>
  <c r="W42" i="38" s="1"/>
  <c r="X37" i="38"/>
  <c r="X42" i="38" s="1"/>
  <c r="Y37" i="38"/>
  <c r="Y42" i="38" s="1"/>
  <c r="Z37" i="38"/>
  <c r="Z42" i="38" s="1"/>
  <c r="AA37" i="38"/>
  <c r="AA42" i="38" s="1"/>
  <c r="AB37" i="38"/>
  <c r="AB42" i="38" s="1"/>
  <c r="AC37" i="38"/>
  <c r="AC42" i="38" s="1"/>
  <c r="AD37" i="38"/>
  <c r="AD42" i="38" s="1"/>
  <c r="AE37" i="38"/>
  <c r="AE42" i="38" s="1"/>
  <c r="AF37" i="38"/>
  <c r="AF42" i="38" s="1"/>
  <c r="AG37" i="38"/>
  <c r="AG42" i="38" s="1"/>
  <c r="AH37" i="38"/>
  <c r="AH42" i="38" s="1"/>
  <c r="AI37" i="38"/>
  <c r="AI42" i="38" s="1"/>
  <c r="AJ37" i="38"/>
  <c r="AJ42" i="38" s="1"/>
  <c r="AK37" i="38"/>
  <c r="AK42" i="38" s="1"/>
  <c r="AL37" i="38"/>
  <c r="AL42" i="38" s="1"/>
  <c r="AM37" i="38"/>
  <c r="AM42" i="38" s="1"/>
  <c r="AN37" i="38"/>
  <c r="AN42" i="38" s="1"/>
  <c r="AO37" i="38"/>
  <c r="AO42" i="38" s="1"/>
  <c r="AP37" i="38"/>
  <c r="AP42" i="38" s="1"/>
  <c r="AQ37" i="38"/>
  <c r="AQ42" i="38" s="1"/>
  <c r="AR37" i="38"/>
  <c r="AR42" i="38" s="1"/>
  <c r="W38" i="38"/>
  <c r="W43" i="38" s="1"/>
  <c r="X38" i="38"/>
  <c r="X43" i="38" s="1"/>
  <c r="Y38" i="38"/>
  <c r="Y43" i="38" s="1"/>
  <c r="Z38" i="38"/>
  <c r="Z43" i="38" s="1"/>
  <c r="AA38" i="38"/>
  <c r="AA43" i="38" s="1"/>
  <c r="AB38" i="38"/>
  <c r="AB43" i="38" s="1"/>
  <c r="AC38" i="38"/>
  <c r="AC43" i="38" s="1"/>
  <c r="AD38" i="38"/>
  <c r="AD43" i="38" s="1"/>
  <c r="AE38" i="38"/>
  <c r="AE43" i="38" s="1"/>
  <c r="AF38" i="38"/>
  <c r="AF43" i="38" s="1"/>
  <c r="AG38" i="38"/>
  <c r="AG43" i="38" s="1"/>
  <c r="AH38" i="38"/>
  <c r="AH43" i="38" s="1"/>
  <c r="AI38" i="38"/>
  <c r="AI43" i="38" s="1"/>
  <c r="AJ38" i="38"/>
  <c r="AJ43" i="38" s="1"/>
  <c r="AK38" i="38"/>
  <c r="AK43" i="38" s="1"/>
  <c r="AL38" i="38"/>
  <c r="AL43" i="38" s="1"/>
  <c r="AM38" i="38"/>
  <c r="AM43" i="38" s="1"/>
  <c r="AN38" i="38"/>
  <c r="AN43" i="38" s="1"/>
  <c r="AO38" i="38"/>
  <c r="AO43" i="38" s="1"/>
  <c r="AP38" i="38"/>
  <c r="AP43" i="38" s="1"/>
  <c r="AQ38" i="38"/>
  <c r="AQ43" i="38" s="1"/>
  <c r="AR38" i="38"/>
  <c r="AR43" i="38" s="1"/>
  <c r="W39" i="38"/>
  <c r="W44" i="38" s="1"/>
  <c r="X39" i="38"/>
  <c r="X44" i="38" s="1"/>
  <c r="Y39" i="38"/>
  <c r="Y44" i="38" s="1"/>
  <c r="Z39" i="38"/>
  <c r="Z44" i="38" s="1"/>
  <c r="AA39" i="38"/>
  <c r="AA44" i="38" s="1"/>
  <c r="AB39" i="38"/>
  <c r="AB44" i="38" s="1"/>
  <c r="AC39" i="38"/>
  <c r="AC44" i="38" s="1"/>
  <c r="AD39" i="38"/>
  <c r="AD44" i="38" s="1"/>
  <c r="AE39" i="38"/>
  <c r="AE44" i="38" s="1"/>
  <c r="AF39" i="38"/>
  <c r="AF44" i="38" s="1"/>
  <c r="AG39" i="38"/>
  <c r="AG44" i="38" s="1"/>
  <c r="AH39" i="38"/>
  <c r="AH44" i="38" s="1"/>
  <c r="AI39" i="38"/>
  <c r="AI44" i="38" s="1"/>
  <c r="AJ39" i="38"/>
  <c r="AJ44" i="38" s="1"/>
  <c r="AK39" i="38"/>
  <c r="AK44" i="38" s="1"/>
  <c r="AL39" i="38"/>
  <c r="AL44" i="38" s="1"/>
  <c r="AM39" i="38"/>
  <c r="AM44" i="38" s="1"/>
  <c r="AN39" i="38"/>
  <c r="AN44" i="38" s="1"/>
  <c r="AO39" i="38"/>
  <c r="AO44" i="38" s="1"/>
  <c r="AP39" i="38"/>
  <c r="AP44" i="38" s="1"/>
  <c r="AQ39" i="38"/>
  <c r="AQ44" i="38" s="1"/>
  <c r="AR39" i="38"/>
  <c r="AR44" i="38" s="1"/>
  <c r="V38" i="38"/>
  <c r="V43" i="38" s="1"/>
  <c r="V39" i="38"/>
  <c r="V44" i="38" s="1"/>
  <c r="V37" i="38"/>
  <c r="V42" i="38" s="1"/>
  <c r="B45" i="59"/>
  <c r="M46" i="59" s="1"/>
  <c r="B27" i="59"/>
  <c r="P28" i="59"/>
  <c r="Q28" i="59"/>
  <c r="R28" i="59"/>
  <c r="S28" i="59"/>
  <c r="T28" i="59"/>
  <c r="P29" i="59"/>
  <c r="Q29" i="59"/>
  <c r="R29" i="59"/>
  <c r="S29" i="59"/>
  <c r="T29" i="59"/>
  <c r="P30" i="59"/>
  <c r="Q30" i="59"/>
  <c r="R30" i="59"/>
  <c r="S30" i="59"/>
  <c r="T30" i="59"/>
  <c r="P34" i="59"/>
  <c r="Q34" i="59"/>
  <c r="R34" i="59"/>
  <c r="S34" i="59"/>
  <c r="T34" i="59"/>
  <c r="P35" i="59"/>
  <c r="Q35" i="59"/>
  <c r="R35" i="59"/>
  <c r="S35" i="59"/>
  <c r="T35" i="59"/>
  <c r="P36" i="59"/>
  <c r="Q36" i="59"/>
  <c r="R36" i="59"/>
  <c r="S36" i="59"/>
  <c r="T36" i="59"/>
  <c r="U28" i="59"/>
  <c r="U29" i="59"/>
  <c r="U30" i="59"/>
  <c r="U34" i="59"/>
  <c r="U35" i="59"/>
  <c r="U36" i="59"/>
  <c r="U5" i="41"/>
  <c r="U4" i="41"/>
  <c r="U21" i="41"/>
  <c r="V21" i="41" s="1"/>
  <c r="U22" i="41"/>
  <c r="U23" i="41"/>
  <c r="V23" i="41" s="1"/>
  <c r="V31" i="60" s="1"/>
  <c r="U24" i="41"/>
  <c r="V24" i="41" s="1"/>
  <c r="V32" i="60" s="1"/>
  <c r="U20" i="41"/>
  <c r="V20" i="41" s="1"/>
  <c r="V22" i="41"/>
  <c r="V14" i="57"/>
  <c r="W14" i="57" s="1"/>
  <c r="X14" i="57" s="1"/>
  <c r="Y14" i="57" s="1"/>
  <c r="Z14" i="57" s="1"/>
  <c r="AA14" i="57" s="1"/>
  <c r="Z51" i="38" l="1"/>
  <c r="AH51" i="38"/>
  <c r="AD51" i="38"/>
  <c r="AP51" i="38"/>
  <c r="AR51" i="38"/>
  <c r="AN51" i="38"/>
  <c r="AJ51" i="38"/>
  <c r="AF51" i="38"/>
  <c r="AB51" i="38"/>
  <c r="AQ51" i="38"/>
  <c r="AM51" i="38"/>
  <c r="AI51" i="38"/>
  <c r="AE51" i="38"/>
  <c r="AA51" i="38"/>
  <c r="AL51" i="38"/>
  <c r="AO51" i="38"/>
  <c r="AK51" i="38"/>
  <c r="AG51" i="38"/>
  <c r="AC51" i="38"/>
  <c r="O23" i="59"/>
  <c r="M24" i="59"/>
  <c r="D28" i="63"/>
  <c r="N22" i="59"/>
  <c r="N24" i="59"/>
  <c r="M22" i="59"/>
  <c r="O22" i="59"/>
  <c r="O24" i="59"/>
  <c r="N23" i="59"/>
  <c r="M23" i="59"/>
  <c r="M53" i="59"/>
  <c r="M47" i="59"/>
  <c r="O47" i="59"/>
  <c r="N53" i="59"/>
  <c r="N47" i="59"/>
  <c r="O48" i="59"/>
  <c r="O53" i="59"/>
  <c r="M48" i="59"/>
  <c r="O46" i="59"/>
  <c r="N46" i="59"/>
  <c r="N48" i="59"/>
  <c r="D226" i="63"/>
  <c r="D233" i="63" s="1"/>
  <c r="D193" i="63"/>
  <c r="D200" i="63" s="1"/>
  <c r="D150" i="63"/>
  <c r="D243" i="63"/>
  <c r="D106" i="63"/>
  <c r="D99" i="63"/>
  <c r="F107" i="63"/>
  <c r="F100" i="63"/>
  <c r="F108" i="63" s="1"/>
  <c r="D144" i="63"/>
  <c r="D138" i="63"/>
  <c r="E107" i="63"/>
  <c r="E100" i="63"/>
  <c r="E108" i="63" s="1"/>
  <c r="D187" i="63"/>
  <c r="P31" i="59"/>
  <c r="U31" i="59"/>
  <c r="Q31" i="59"/>
  <c r="R31" i="59"/>
  <c r="U37" i="59"/>
  <c r="T31" i="59"/>
  <c r="T37" i="59"/>
  <c r="P37" i="59"/>
  <c r="S37" i="59"/>
  <c r="Q37" i="59"/>
  <c r="R37" i="59"/>
  <c r="S31" i="59"/>
  <c r="E135" i="62"/>
  <c r="M12" i="38" l="1"/>
  <c r="M39" i="38" s="1"/>
  <c r="M44" i="38" s="1"/>
  <c r="N12" i="38"/>
  <c r="N39" i="38" s="1"/>
  <c r="N44" i="38" s="1"/>
  <c r="O11" i="38"/>
  <c r="O38" i="38" s="1"/>
  <c r="O43" i="38" s="1"/>
  <c r="O12" i="38"/>
  <c r="O39" i="38" s="1"/>
  <c r="O44" i="38" s="1"/>
  <c r="M11" i="38"/>
  <c r="M38" i="38" s="1"/>
  <c r="M43" i="38" s="1"/>
  <c r="N11" i="38"/>
  <c r="N38" i="38" s="1"/>
  <c r="N43" i="38" s="1"/>
  <c r="O25" i="59"/>
  <c r="O52" i="59" s="1"/>
  <c r="N49" i="59"/>
  <c r="N54" i="59" s="1"/>
  <c r="N10" i="38"/>
  <c r="O49" i="59"/>
  <c r="O54" i="59" s="1"/>
  <c r="O10" i="38"/>
  <c r="O37" i="38" s="1"/>
  <c r="M25" i="59"/>
  <c r="M52" i="59" s="1"/>
  <c r="E28" i="63"/>
  <c r="D29" i="63"/>
  <c r="M10" i="38"/>
  <c r="M49" i="59"/>
  <c r="M54" i="59" s="1"/>
  <c r="N25" i="59"/>
  <c r="N52" i="59" s="1"/>
  <c r="D151" i="63"/>
  <c r="D244" i="63"/>
  <c r="D107" i="63"/>
  <c r="D100" i="63"/>
  <c r="D108" i="63" s="1"/>
  <c r="D227" i="63"/>
  <c r="D234" i="63" s="1"/>
  <c r="D194" i="63"/>
  <c r="D201" i="63" s="1"/>
  <c r="D145" i="63"/>
  <c r="N51" i="38" l="1"/>
  <c r="O51" i="38"/>
  <c r="M51" i="38"/>
  <c r="O50" i="38"/>
  <c r="N50" i="38"/>
  <c r="M50" i="38"/>
  <c r="O40" i="38"/>
  <c r="O42" i="38"/>
  <c r="M13" i="38"/>
  <c r="M37" i="38"/>
  <c r="N13" i="38"/>
  <c r="N37" i="38"/>
  <c r="O13" i="38"/>
  <c r="O33" i="38"/>
  <c r="D229" i="63"/>
  <c r="D236" i="63" s="1"/>
  <c r="F41" i="63" s="1"/>
  <c r="D196" i="63"/>
  <c r="D203" i="63" s="1"/>
  <c r="F40" i="63" s="1"/>
  <c r="D81" i="63"/>
  <c r="D37" i="63" s="1"/>
  <c r="D156" i="63"/>
  <c r="D249" i="63"/>
  <c r="D251" i="63"/>
  <c r="F28" i="63"/>
  <c r="F29" i="63" s="1"/>
  <c r="E29" i="63"/>
  <c r="D110" i="63"/>
  <c r="D38" i="63" s="1"/>
  <c r="D152" i="63"/>
  <c r="D159" i="63" s="1"/>
  <c r="D245" i="63"/>
  <c r="D252" i="63" s="1"/>
  <c r="S45" i="55"/>
  <c r="S46" i="55"/>
  <c r="S44" i="55"/>
  <c r="N16" i="38"/>
  <c r="M40" i="38" l="1"/>
  <c r="M42" i="38"/>
  <c r="N40" i="38"/>
  <c r="N42" i="38"/>
  <c r="N18" i="38"/>
  <c r="N33" i="38"/>
  <c r="N45" i="38" s="1"/>
  <c r="M18" i="38"/>
  <c r="M33" i="38"/>
  <c r="M45" i="38" s="1"/>
  <c r="E81" i="63"/>
  <c r="E37" i="63" s="1"/>
  <c r="D250" i="63"/>
  <c r="D254" i="63" s="1"/>
  <c r="F42" i="63" s="1"/>
  <c r="E110" i="63"/>
  <c r="E38" i="63" s="1"/>
  <c r="D157" i="63"/>
  <c r="F81" i="63"/>
  <c r="F37" i="63" s="1"/>
  <c r="F110" i="63"/>
  <c r="F38" i="63" s="1"/>
  <c r="D158" i="63"/>
  <c r="D28" i="38"/>
  <c r="D55" i="38" s="1"/>
  <c r="E32" i="38" s="1"/>
  <c r="W48" i="38" l="1"/>
  <c r="AA48" i="38"/>
  <c r="AE48" i="38"/>
  <c r="AI48" i="38"/>
  <c r="AM48" i="38"/>
  <c r="AQ48" i="38"/>
  <c r="H48" i="38"/>
  <c r="H53" i="38" s="1"/>
  <c r="L48" i="38"/>
  <c r="L53" i="38" s="1"/>
  <c r="P48" i="38"/>
  <c r="T48" i="38"/>
  <c r="X48" i="38"/>
  <c r="AB48" i="38"/>
  <c r="AF48" i="38"/>
  <c r="AJ48" i="38"/>
  <c r="AN48" i="38"/>
  <c r="AR48" i="38"/>
  <c r="I48" i="38"/>
  <c r="I53" i="38" s="1"/>
  <c r="M48" i="38"/>
  <c r="Q48" i="38"/>
  <c r="U48" i="38"/>
  <c r="E35" i="38"/>
  <c r="Z48" i="38"/>
  <c r="AH48" i="38"/>
  <c r="AP48" i="38"/>
  <c r="K48" i="38"/>
  <c r="K53" i="38" s="1"/>
  <c r="S48" i="38"/>
  <c r="V48" i="38"/>
  <c r="AD48" i="38"/>
  <c r="AL48" i="38"/>
  <c r="G48" i="38"/>
  <c r="G53" i="38" s="1"/>
  <c r="O48" i="38"/>
  <c r="Y48" i="38"/>
  <c r="AG48" i="38"/>
  <c r="AO48" i="38"/>
  <c r="J48" i="38"/>
  <c r="J53" i="38" s="1"/>
  <c r="R48" i="38"/>
  <c r="AC48" i="38"/>
  <c r="AK48" i="38"/>
  <c r="F48" i="38"/>
  <c r="F53" i="38" s="1"/>
  <c r="N48" i="38"/>
  <c r="E48" i="38"/>
  <c r="E53" i="38" s="1"/>
  <c r="E55" i="38" s="1"/>
  <c r="F32" i="38" s="1"/>
  <c r="F35" i="38" s="1"/>
  <c r="N52" i="38"/>
  <c r="M52" i="38"/>
  <c r="O49" i="38"/>
  <c r="M49" i="38"/>
  <c r="N49" i="38"/>
  <c r="M25" i="38"/>
  <c r="N25" i="38"/>
  <c r="D161" i="63"/>
  <c r="F39" i="63" s="1"/>
  <c r="F44" i="63" s="1"/>
  <c r="G44" i="63" s="1"/>
  <c r="F30" i="62"/>
  <c r="G30" i="62"/>
  <c r="H30" i="62"/>
  <c r="J17" i="38"/>
  <c r="K17" i="38"/>
  <c r="E218" i="62"/>
  <c r="E175" i="62"/>
  <c r="E172" i="62"/>
  <c r="E173" i="62" s="1"/>
  <c r="E133" i="62"/>
  <c r="E131" i="62"/>
  <c r="E130" i="62"/>
  <c r="E129" i="62"/>
  <c r="J92" i="62"/>
  <c r="J93" i="62" s="1"/>
  <c r="I92" i="62"/>
  <c r="I93" i="62" s="1"/>
  <c r="H92" i="62"/>
  <c r="H93" i="62" s="1"/>
  <c r="G92" i="62"/>
  <c r="F92" i="62"/>
  <c r="F93" i="62" s="1"/>
  <c r="E92" i="62"/>
  <c r="E93" i="62" s="1"/>
  <c r="J91" i="62"/>
  <c r="I91" i="62"/>
  <c r="H91" i="62"/>
  <c r="G91" i="62"/>
  <c r="G93" i="62" s="1"/>
  <c r="F91" i="62"/>
  <c r="E91" i="62"/>
  <c r="E68" i="62"/>
  <c r="G66" i="62"/>
  <c r="G68" i="62" s="1"/>
  <c r="G75" i="62" s="1"/>
  <c r="J65" i="62"/>
  <c r="J66" i="62" s="1"/>
  <c r="J68" i="62" s="1"/>
  <c r="I65" i="62"/>
  <c r="I66" i="62" s="1"/>
  <c r="I68" i="62" s="1"/>
  <c r="H65" i="62"/>
  <c r="H66" i="62" s="1"/>
  <c r="H68" i="62" s="1"/>
  <c r="G65" i="62"/>
  <c r="F65" i="62"/>
  <c r="F66" i="62" s="1"/>
  <c r="F68" i="62" s="1"/>
  <c r="E65" i="62"/>
  <c r="E66" i="62" s="1"/>
  <c r="J64" i="62"/>
  <c r="I64" i="62"/>
  <c r="H64" i="62"/>
  <c r="G64" i="62"/>
  <c r="F64" i="62"/>
  <c r="E64" i="62"/>
  <c r="F55" i="38" l="1"/>
  <c r="G32" i="38" s="1"/>
  <c r="G35" i="38" s="1"/>
  <c r="G55" i="38" s="1"/>
  <c r="H32" i="38" s="1"/>
  <c r="H35" i="38" s="1"/>
  <c r="H55" i="38" s="1"/>
  <c r="I32" i="38" s="1"/>
  <c r="I35" i="38" s="1"/>
  <c r="I55" i="38" s="1"/>
  <c r="J32" i="38" s="1"/>
  <c r="J35" i="38" s="1"/>
  <c r="J55" i="38" s="1"/>
  <c r="K32" i="38" s="1"/>
  <c r="K35" i="38" s="1"/>
  <c r="K55" i="38" s="1"/>
  <c r="L32" i="38" s="1"/>
  <c r="L35" i="38" s="1"/>
  <c r="L55" i="38" s="1"/>
  <c r="M32" i="38" s="1"/>
  <c r="M35" i="38" s="1"/>
  <c r="N53" i="38"/>
  <c r="M53" i="38"/>
  <c r="O7" i="38"/>
  <c r="I75" i="62"/>
  <c r="I69" i="62"/>
  <c r="G95" i="62"/>
  <c r="G96" i="62" s="1"/>
  <c r="E95" i="62"/>
  <c r="E103" i="62" s="1"/>
  <c r="H75" i="62"/>
  <c r="H69" i="62"/>
  <c r="E75" i="62"/>
  <c r="E69" i="62"/>
  <c r="F95" i="62"/>
  <c r="F96" i="62" s="1"/>
  <c r="J96" i="62"/>
  <c r="J97" i="62" s="1"/>
  <c r="J95" i="62"/>
  <c r="E176" i="62"/>
  <c r="E177" i="62" s="1"/>
  <c r="F75" i="62"/>
  <c r="F69" i="62"/>
  <c r="J75" i="62"/>
  <c r="J69" i="62"/>
  <c r="G69" i="62"/>
  <c r="H95" i="62"/>
  <c r="H96" i="62"/>
  <c r="H104" i="62" s="1"/>
  <c r="I95" i="62"/>
  <c r="I103" i="62" s="1"/>
  <c r="J103" i="62"/>
  <c r="E147" i="62"/>
  <c r="G103" i="62"/>
  <c r="E134" i="62"/>
  <c r="E182" i="62"/>
  <c r="E189" i="62" s="1"/>
  <c r="E222" i="62"/>
  <c r="H103" i="62"/>
  <c r="J104" i="62"/>
  <c r="E140" i="62"/>
  <c r="E240" i="62" s="1"/>
  <c r="P53" i="59"/>
  <c r="Q53" i="59"/>
  <c r="R53" i="59"/>
  <c r="S53" i="59"/>
  <c r="T53" i="59"/>
  <c r="U53" i="59"/>
  <c r="M55" i="38" l="1"/>
  <c r="N32" i="38" s="1"/>
  <c r="N35" i="38" s="1"/>
  <c r="N55" i="38" s="1"/>
  <c r="O32" i="38" s="1"/>
  <c r="O18" i="38"/>
  <c r="O34" i="38"/>
  <c r="O45" i="38" s="1"/>
  <c r="G104" i="62"/>
  <c r="G97" i="62"/>
  <c r="F104" i="62"/>
  <c r="F97" i="62"/>
  <c r="E184" i="62"/>
  <c r="E178" i="62"/>
  <c r="J98" i="62"/>
  <c r="J105" i="62"/>
  <c r="F103" i="62"/>
  <c r="I96" i="62"/>
  <c r="G76" i="62"/>
  <c r="G70" i="62"/>
  <c r="E76" i="62"/>
  <c r="E70" i="62"/>
  <c r="E96" i="62"/>
  <c r="H97" i="62"/>
  <c r="H76" i="62"/>
  <c r="H70" i="62"/>
  <c r="E141" i="62"/>
  <c r="F76" i="62"/>
  <c r="F70" i="62"/>
  <c r="J76" i="62"/>
  <c r="J70" i="62"/>
  <c r="E183" i="62"/>
  <c r="I76" i="62"/>
  <c r="I70" i="62"/>
  <c r="O52" i="38" l="1"/>
  <c r="O53" i="38" s="1"/>
  <c r="O35" i="38"/>
  <c r="O25" i="38"/>
  <c r="J77" i="62"/>
  <c r="J71" i="62"/>
  <c r="F98" i="62"/>
  <c r="F105" i="62"/>
  <c r="G71" i="62"/>
  <c r="G77" i="62"/>
  <c r="E241" i="62"/>
  <c r="E148" i="62"/>
  <c r="E191" i="62"/>
  <c r="E198" i="62" s="1"/>
  <c r="E224" i="62"/>
  <c r="E231" i="62" s="1"/>
  <c r="H77" i="62"/>
  <c r="H71" i="62"/>
  <c r="G105" i="62"/>
  <c r="G98" i="62"/>
  <c r="E190" i="62"/>
  <c r="E197" i="62" s="1"/>
  <c r="E223" i="62"/>
  <c r="E230" i="62" s="1"/>
  <c r="F77" i="62"/>
  <c r="F71" i="62"/>
  <c r="H98" i="62"/>
  <c r="H105" i="62"/>
  <c r="E77" i="62"/>
  <c r="E71" i="62"/>
  <c r="I97" i="62"/>
  <c r="I104" i="62"/>
  <c r="J106" i="62"/>
  <c r="J99" i="62"/>
  <c r="I77" i="62"/>
  <c r="I71" i="62"/>
  <c r="E142" i="62"/>
  <c r="E136" i="62"/>
  <c r="E97" i="62"/>
  <c r="E104" i="62"/>
  <c r="E185" i="62"/>
  <c r="E179" i="62"/>
  <c r="O55" i="38" l="1"/>
  <c r="P32" i="38" s="1"/>
  <c r="J78" i="62"/>
  <c r="J72" i="62"/>
  <c r="J79" i="62" s="1"/>
  <c r="E149" i="62"/>
  <c r="E242" i="62"/>
  <c r="I72" i="62"/>
  <c r="I79" i="62" s="1"/>
  <c r="I78" i="62"/>
  <c r="H78" i="62"/>
  <c r="H72" i="62"/>
  <c r="H79" i="62" s="1"/>
  <c r="G78" i="62"/>
  <c r="G72" i="62"/>
  <c r="G79" i="62" s="1"/>
  <c r="E192" i="62"/>
  <c r="E199" i="62" s="1"/>
  <c r="E225" i="62"/>
  <c r="E232" i="62" s="1"/>
  <c r="E143" i="62"/>
  <c r="E137" i="62"/>
  <c r="E186" i="62"/>
  <c r="E180" i="62"/>
  <c r="I105" i="62"/>
  <c r="I98" i="62"/>
  <c r="H99" i="62"/>
  <c r="H106" i="62"/>
  <c r="E105" i="62"/>
  <c r="E98" i="62"/>
  <c r="J100" i="62"/>
  <c r="J108" i="62" s="1"/>
  <c r="J107" i="62"/>
  <c r="E78" i="62"/>
  <c r="E72" i="62"/>
  <c r="E79" i="62" s="1"/>
  <c r="F78" i="62"/>
  <c r="F72" i="62"/>
  <c r="F79" i="62" s="1"/>
  <c r="G106" i="62"/>
  <c r="G99" i="62"/>
  <c r="F106" i="62"/>
  <c r="F99" i="62"/>
  <c r="E150" i="62" l="1"/>
  <c r="E243" i="62"/>
  <c r="E193" i="62"/>
  <c r="E200" i="62" s="1"/>
  <c r="E226" i="62"/>
  <c r="E233" i="62" s="1"/>
  <c r="H107" i="62"/>
  <c r="H100" i="62"/>
  <c r="H108" i="62" s="1"/>
  <c r="F107" i="62"/>
  <c r="F100" i="62"/>
  <c r="F108" i="62" s="1"/>
  <c r="E187" i="62"/>
  <c r="G107" i="62"/>
  <c r="G100" i="62"/>
  <c r="G108" i="62" s="1"/>
  <c r="E99" i="62"/>
  <c r="E106" i="62"/>
  <c r="I99" i="62"/>
  <c r="I106" i="62"/>
  <c r="E144" i="62"/>
  <c r="E138" i="62"/>
  <c r="E107" i="62" l="1"/>
  <c r="E100" i="62"/>
  <c r="E108" i="62" s="1"/>
  <c r="E194" i="62"/>
  <c r="E201" i="62" s="1"/>
  <c r="E227" i="62"/>
  <c r="E234" i="62" s="1"/>
  <c r="E145" i="62"/>
  <c r="I107" i="62"/>
  <c r="I100" i="62"/>
  <c r="I108" i="62" s="1"/>
  <c r="E151" i="62"/>
  <c r="E244" i="62"/>
  <c r="E152" i="62" l="1"/>
  <c r="E159" i="62" s="1"/>
  <c r="E245" i="62"/>
  <c r="E252" i="62" s="1"/>
  <c r="P40" i="59" l="1"/>
  <c r="P46" i="59" s="1"/>
  <c r="Q40" i="59"/>
  <c r="Q46" i="59" s="1"/>
  <c r="R40" i="59"/>
  <c r="R46" i="59" s="1"/>
  <c r="S40" i="59"/>
  <c r="T40" i="59"/>
  <c r="T46" i="59" s="1"/>
  <c r="P41" i="59"/>
  <c r="P47" i="59" s="1"/>
  <c r="Q41" i="59"/>
  <c r="Q47" i="59" s="1"/>
  <c r="R41" i="59"/>
  <c r="R47" i="59" s="1"/>
  <c r="S41" i="59"/>
  <c r="S47" i="59" s="1"/>
  <c r="T41" i="59"/>
  <c r="T47" i="59" s="1"/>
  <c r="P42" i="59"/>
  <c r="P48" i="59" s="1"/>
  <c r="Q42" i="59"/>
  <c r="Q48" i="59" s="1"/>
  <c r="R42" i="59"/>
  <c r="R48" i="59" s="1"/>
  <c r="S42" i="59"/>
  <c r="S48" i="59" s="1"/>
  <c r="T42" i="59"/>
  <c r="T48" i="59" s="1"/>
  <c r="U41" i="59"/>
  <c r="U47" i="59" s="1"/>
  <c r="U42" i="59"/>
  <c r="U48" i="59" s="1"/>
  <c r="U40" i="59"/>
  <c r="U46" i="59" s="1"/>
  <c r="Q12" i="38" l="1"/>
  <c r="Q39" i="38" s="1"/>
  <c r="Q44" i="38" s="1"/>
  <c r="R11" i="38"/>
  <c r="R38" i="38" s="1"/>
  <c r="R43" i="38" s="1"/>
  <c r="P12" i="38"/>
  <c r="P39" i="38" s="1"/>
  <c r="P44" i="38" s="1"/>
  <c r="Q11" i="38"/>
  <c r="Q38" i="38" s="1"/>
  <c r="Q43" i="38" s="1"/>
  <c r="R10" i="38"/>
  <c r="R37" i="38" s="1"/>
  <c r="T12" i="38"/>
  <c r="T39" i="38" s="1"/>
  <c r="T44" i="38" s="1"/>
  <c r="S12" i="38"/>
  <c r="S39" i="38" s="1"/>
  <c r="S44" i="38" s="1"/>
  <c r="W51" i="38" s="1"/>
  <c r="P11" i="38"/>
  <c r="P38" i="38" s="1"/>
  <c r="P43" i="38" s="1"/>
  <c r="Q10" i="38"/>
  <c r="Q37" i="38" s="1"/>
  <c r="U11" i="38"/>
  <c r="U38" i="38" s="1"/>
  <c r="U43" i="38" s="1"/>
  <c r="U10" i="38"/>
  <c r="U37" i="38" s="1"/>
  <c r="T11" i="38"/>
  <c r="T38" i="38" s="1"/>
  <c r="T43" i="38" s="1"/>
  <c r="U12" i="38"/>
  <c r="U39" i="38" s="1"/>
  <c r="U44" i="38" s="1"/>
  <c r="Y51" i="38" s="1"/>
  <c r="R12" i="38"/>
  <c r="R39" i="38" s="1"/>
  <c r="R44" i="38" s="1"/>
  <c r="S11" i="38"/>
  <c r="S38" i="38" s="1"/>
  <c r="S43" i="38" s="1"/>
  <c r="T10" i="38"/>
  <c r="T37" i="38" s="1"/>
  <c r="P10" i="38"/>
  <c r="P37" i="38" s="1"/>
  <c r="U43" i="59"/>
  <c r="R43" i="59"/>
  <c r="S43" i="59"/>
  <c r="S46" i="59"/>
  <c r="Q43" i="59"/>
  <c r="T43" i="59"/>
  <c r="P43" i="59"/>
  <c r="V51" i="38" l="1"/>
  <c r="T51" i="38"/>
  <c r="S51" i="38"/>
  <c r="R51" i="38"/>
  <c r="Q51" i="38"/>
  <c r="P51" i="38"/>
  <c r="X51" i="38"/>
  <c r="U51" i="38"/>
  <c r="S50" i="38"/>
  <c r="R50" i="38"/>
  <c r="P50" i="38"/>
  <c r="T50" i="38"/>
  <c r="U50" i="38"/>
  <c r="Q50" i="38"/>
  <c r="U40" i="38"/>
  <c r="U42" i="38"/>
  <c r="T40" i="38"/>
  <c r="T42" i="38"/>
  <c r="P40" i="38"/>
  <c r="P42" i="38"/>
  <c r="Q40" i="38"/>
  <c r="Q42" i="38"/>
  <c r="R40" i="38"/>
  <c r="R42" i="38"/>
  <c r="S10" i="38"/>
  <c r="S37" i="38" s="1"/>
  <c r="T52" i="59"/>
  <c r="P52" i="59"/>
  <c r="E27" i="62"/>
  <c r="S52" i="59"/>
  <c r="H27" i="62"/>
  <c r="R52" i="59"/>
  <c r="G27" i="62"/>
  <c r="Q52" i="59"/>
  <c r="F27" i="62"/>
  <c r="U52" i="59"/>
  <c r="U36" i="55"/>
  <c r="S42" i="38" l="1"/>
  <c r="S49" i="38" s="1"/>
  <c r="S40" i="38"/>
  <c r="Q49" i="38"/>
  <c r="P49" i="38"/>
  <c r="R49" i="38"/>
  <c r="U10" i="56"/>
  <c r="V36" i="55"/>
  <c r="E29" i="62"/>
  <c r="F29" i="62"/>
  <c r="H29" i="62"/>
  <c r="G29" i="62"/>
  <c r="T49" i="38" l="1"/>
  <c r="U49" i="38"/>
  <c r="E156" i="62"/>
  <c r="E249" i="62"/>
  <c r="H81" i="62"/>
  <c r="H37" i="62" s="1"/>
  <c r="H110" i="62"/>
  <c r="H38" i="62" s="1"/>
  <c r="E196" i="62"/>
  <c r="E203" i="62" s="1"/>
  <c r="J40" i="62" s="1"/>
  <c r="E229" i="62"/>
  <c r="E236" i="62" s="1"/>
  <c r="J41" i="62" s="1"/>
  <c r="E81" i="62"/>
  <c r="E37" i="62" s="1"/>
  <c r="E110" i="62"/>
  <c r="E38" i="62" s="1"/>
  <c r="K31" i="62"/>
  <c r="J81" i="62"/>
  <c r="J37" i="62" s="1"/>
  <c r="J110" i="62"/>
  <c r="J38" i="62" s="1"/>
  <c r="E251" i="62"/>
  <c r="E158" i="62"/>
  <c r="E155" i="62"/>
  <c r="E248" i="62"/>
  <c r="G81" i="62"/>
  <c r="G37" i="62" s="1"/>
  <c r="G110" i="62"/>
  <c r="G38" i="62" s="1"/>
  <c r="I81" i="62"/>
  <c r="I37" i="62" s="1"/>
  <c r="E250" i="62"/>
  <c r="E157" i="62"/>
  <c r="I110" i="62"/>
  <c r="I38" i="62" s="1"/>
  <c r="E247" i="62"/>
  <c r="E154" i="62"/>
  <c r="F81" i="62"/>
  <c r="F37" i="62" s="1"/>
  <c r="F110" i="62"/>
  <c r="F38" i="62" s="1"/>
  <c r="V19" i="57"/>
  <c r="V16" i="57" s="1"/>
  <c r="V20" i="57" s="1"/>
  <c r="E161" i="62" l="1"/>
  <c r="J39" i="62" s="1"/>
  <c r="E254" i="62"/>
  <c r="J42" i="62" s="1"/>
  <c r="V15" i="57"/>
  <c r="J44" i="62" l="1"/>
  <c r="K44" i="62" s="1"/>
  <c r="V15" i="55"/>
  <c r="AS15" i="55"/>
  <c r="W14" i="41"/>
  <c r="W21" i="60" s="1"/>
  <c r="X14" i="41"/>
  <c r="X21" i="60" s="1"/>
  <c r="Y14" i="41"/>
  <c r="Y21" i="60" s="1"/>
  <c r="Z14" i="41"/>
  <c r="Z21" i="60" s="1"/>
  <c r="AA14" i="41"/>
  <c r="AA21" i="60" s="1"/>
  <c r="AB14" i="41"/>
  <c r="AB21" i="60" s="1"/>
  <c r="AC14" i="41"/>
  <c r="AC21" i="60" s="1"/>
  <c r="AD14" i="41"/>
  <c r="AD21" i="60" s="1"/>
  <c r="AE14" i="41"/>
  <c r="AE21" i="60" s="1"/>
  <c r="AF14" i="41"/>
  <c r="AF21" i="60" s="1"/>
  <c r="AG14" i="41"/>
  <c r="AG21" i="60" s="1"/>
  <c r="AH14" i="41"/>
  <c r="AH21" i="60" s="1"/>
  <c r="AI14" i="41"/>
  <c r="AI21" i="60" s="1"/>
  <c r="AJ14" i="41"/>
  <c r="AJ21" i="60" s="1"/>
  <c r="AK14" i="41"/>
  <c r="AK21" i="60" s="1"/>
  <c r="AL14" i="41"/>
  <c r="AL21" i="60" s="1"/>
  <c r="AM14" i="41"/>
  <c r="AM21" i="60" s="1"/>
  <c r="AN14" i="41"/>
  <c r="AN21" i="60" s="1"/>
  <c r="AO14" i="41"/>
  <c r="AO21" i="60" s="1"/>
  <c r="AP14" i="41"/>
  <c r="AP21" i="60" s="1"/>
  <c r="AQ14" i="41"/>
  <c r="AQ21" i="60" s="1"/>
  <c r="AR14" i="41"/>
  <c r="AR21" i="60" s="1"/>
  <c r="W15" i="41"/>
  <c r="W22" i="60" s="1"/>
  <c r="X15" i="41"/>
  <c r="X22" i="60" s="1"/>
  <c r="Y15" i="41"/>
  <c r="Y22" i="60" s="1"/>
  <c r="Z15" i="41"/>
  <c r="Z22" i="60" s="1"/>
  <c r="AA15" i="41"/>
  <c r="AA22" i="60" s="1"/>
  <c r="AB15" i="41"/>
  <c r="AB22" i="60" s="1"/>
  <c r="AC15" i="41"/>
  <c r="AC22" i="60" s="1"/>
  <c r="AD15" i="41"/>
  <c r="AD22" i="60" s="1"/>
  <c r="AE15" i="41"/>
  <c r="AE22" i="60" s="1"/>
  <c r="AF15" i="41"/>
  <c r="AF22" i="60" s="1"/>
  <c r="AG15" i="41"/>
  <c r="AG22" i="60" s="1"/>
  <c r="AH15" i="41"/>
  <c r="AH22" i="60" s="1"/>
  <c r="AI15" i="41"/>
  <c r="AI22" i="60" s="1"/>
  <c r="AJ15" i="41"/>
  <c r="AJ22" i="60" s="1"/>
  <c r="AK15" i="41"/>
  <c r="AK22" i="60" s="1"/>
  <c r="AL15" i="41"/>
  <c r="AL22" i="60" s="1"/>
  <c r="AM15" i="41"/>
  <c r="AM22" i="60" s="1"/>
  <c r="AN15" i="41"/>
  <c r="AN22" i="60" s="1"/>
  <c r="AO15" i="41"/>
  <c r="AO22" i="60" s="1"/>
  <c r="AP15" i="41"/>
  <c r="AP22" i="60" s="1"/>
  <c r="AQ15" i="41"/>
  <c r="AQ22" i="60" s="1"/>
  <c r="AR15" i="41"/>
  <c r="AR22" i="60" s="1"/>
  <c r="V14" i="41"/>
  <c r="V21" i="60" s="1"/>
  <c r="V15" i="41"/>
  <c r="V22" i="60" s="1"/>
  <c r="W23" i="41"/>
  <c r="W24" i="41"/>
  <c r="X24" i="41" l="1"/>
  <c r="W32" i="60"/>
  <c r="X23" i="41"/>
  <c r="W31" i="60"/>
  <c r="U7" i="38"/>
  <c r="U34" i="38" s="1"/>
  <c r="L44" i="62"/>
  <c r="F15" i="38"/>
  <c r="G15" i="38"/>
  <c r="H15" i="38"/>
  <c r="I15" i="38"/>
  <c r="J15" i="38"/>
  <c r="K15" i="38"/>
  <c r="L15" i="38"/>
  <c r="M15" i="38"/>
  <c r="N15" i="38"/>
  <c r="O15" i="38"/>
  <c r="P15" i="38"/>
  <c r="Q15" i="38"/>
  <c r="R15" i="38"/>
  <c r="S15" i="38"/>
  <c r="T15" i="38"/>
  <c r="U15" i="38"/>
  <c r="Y23" i="41" l="1"/>
  <c r="X31" i="60"/>
  <c r="Y24" i="41"/>
  <c r="X32" i="60"/>
  <c r="AJ49" i="38"/>
  <c r="X49" i="38"/>
  <c r="AP49" i="38"/>
  <c r="Y49" i="38"/>
  <c r="AI49" i="38"/>
  <c r="AK49" i="38"/>
  <c r="AA49" i="38"/>
  <c r="AD49" i="38"/>
  <c r="AF49" i="38"/>
  <c r="AH49" i="38"/>
  <c r="AO49" i="38"/>
  <c r="W49" i="38"/>
  <c r="AR49" i="38"/>
  <c r="AG49" i="38"/>
  <c r="Z49" i="38"/>
  <c r="AL49" i="38"/>
  <c r="AC49" i="38"/>
  <c r="AE49" i="38"/>
  <c r="AQ49" i="38"/>
  <c r="AM49" i="38"/>
  <c r="AB49" i="38"/>
  <c r="V49" i="38"/>
  <c r="AN49" i="38"/>
  <c r="Z24" i="41" l="1"/>
  <c r="Y32" i="60"/>
  <c r="Z23" i="41"/>
  <c r="Y31" i="60"/>
  <c r="V50" i="38"/>
  <c r="W50" i="38"/>
  <c r="F13" i="38"/>
  <c r="G13" i="38"/>
  <c r="H13" i="38"/>
  <c r="I13" i="38"/>
  <c r="J13" i="38"/>
  <c r="K13" i="38"/>
  <c r="L13" i="38"/>
  <c r="P13" i="38"/>
  <c r="Q13" i="38"/>
  <c r="R13" i="38"/>
  <c r="S13" i="38"/>
  <c r="T13" i="38"/>
  <c r="U13" i="38"/>
  <c r="V40" i="38"/>
  <c r="W40" i="38"/>
  <c r="X40" i="38"/>
  <c r="Y40" i="38"/>
  <c r="Z40" i="38"/>
  <c r="AA40" i="38"/>
  <c r="AB40" i="38"/>
  <c r="AC40" i="38"/>
  <c r="AD40" i="38"/>
  <c r="AE40" i="38"/>
  <c r="AF40" i="38"/>
  <c r="AG40" i="38"/>
  <c r="AH40" i="38"/>
  <c r="AI40" i="38"/>
  <c r="AJ40" i="38"/>
  <c r="AK40" i="38"/>
  <c r="AL40" i="38"/>
  <c r="AM40" i="38"/>
  <c r="AN40" i="38"/>
  <c r="AO40" i="38"/>
  <c r="AP40" i="38"/>
  <c r="AQ40" i="38"/>
  <c r="AR40" i="38"/>
  <c r="E13" i="38"/>
  <c r="I17" i="38"/>
  <c r="AA23" i="41" l="1"/>
  <c r="Z31" i="60"/>
  <c r="AA24" i="41"/>
  <c r="Z32" i="60"/>
  <c r="V46" i="38"/>
  <c r="AB24" i="41" l="1"/>
  <c r="AA32" i="60"/>
  <c r="AB23" i="41"/>
  <c r="AA31" i="60"/>
  <c r="L17" i="38"/>
  <c r="E5" i="38"/>
  <c r="AC23" i="41" l="1"/>
  <c r="AB31" i="60"/>
  <c r="AC24" i="41"/>
  <c r="AB32" i="60"/>
  <c r="L21" i="38"/>
  <c r="E8" i="38"/>
  <c r="K21" i="38"/>
  <c r="S21" i="38"/>
  <c r="R21" i="38"/>
  <c r="J21" i="38"/>
  <c r="Q21" i="38"/>
  <c r="I21" i="38"/>
  <c r="P21" i="38"/>
  <c r="H21" i="38"/>
  <c r="E21" i="38"/>
  <c r="O21" i="38"/>
  <c r="G21" i="38"/>
  <c r="N21" i="38"/>
  <c r="F21" i="38"/>
  <c r="U21" i="38"/>
  <c r="M21" i="38"/>
  <c r="T21" i="38"/>
  <c r="AD24" i="41" l="1"/>
  <c r="AC32" i="60"/>
  <c r="AD23" i="41"/>
  <c r="AC31" i="60"/>
  <c r="E15" i="38"/>
  <c r="AE23" i="41" l="1"/>
  <c r="AD31" i="60"/>
  <c r="AE24" i="41"/>
  <c r="AD32" i="60"/>
  <c r="J22" i="38"/>
  <c r="L22" i="38"/>
  <c r="T22" i="38"/>
  <c r="P22" i="38"/>
  <c r="R22" i="38"/>
  <c r="M22" i="38"/>
  <c r="U22" i="38"/>
  <c r="E22" i="38"/>
  <c r="Q22" i="38"/>
  <c r="H22" i="38"/>
  <c r="N22" i="38"/>
  <c r="O22" i="38"/>
  <c r="S22" i="38"/>
  <c r="F22" i="38"/>
  <c r="G22" i="38"/>
  <c r="K22" i="38"/>
  <c r="I22" i="38"/>
  <c r="E16" i="38"/>
  <c r="F16" i="38"/>
  <c r="G16" i="38"/>
  <c r="H16" i="38"/>
  <c r="I16" i="38"/>
  <c r="J16" i="38"/>
  <c r="K16" i="38"/>
  <c r="L16" i="38"/>
  <c r="M16" i="38"/>
  <c r="O16" i="38"/>
  <c r="E17" i="38"/>
  <c r="F17" i="38"/>
  <c r="G17" i="38"/>
  <c r="H17" i="38"/>
  <c r="L24" i="38" s="1"/>
  <c r="M17" i="38"/>
  <c r="N17" i="38"/>
  <c r="O17" i="38"/>
  <c r="E1" i="38"/>
  <c r="F1" i="55"/>
  <c r="AF23" i="41" l="1"/>
  <c r="AE31" i="60"/>
  <c r="AF24" i="41"/>
  <c r="AE32" i="60"/>
  <c r="M23" i="38"/>
  <c r="E19" i="38"/>
  <c r="E46" i="38" s="1"/>
  <c r="K19" i="38"/>
  <c r="K46" i="38" s="1"/>
  <c r="K24" i="38"/>
  <c r="I19" i="38"/>
  <c r="I46" i="38" s="1"/>
  <c r="J19" i="38"/>
  <c r="J46" i="38" s="1"/>
  <c r="O19" i="38"/>
  <c r="O46" i="38" s="1"/>
  <c r="F19" i="38"/>
  <c r="F46" i="38" s="1"/>
  <c r="M19" i="38"/>
  <c r="M46" i="38" s="1"/>
  <c r="O23" i="38"/>
  <c r="F23" i="38"/>
  <c r="E23" i="38"/>
  <c r="J23" i="38"/>
  <c r="G23" i="38"/>
  <c r="H23" i="38"/>
  <c r="L23" i="38"/>
  <c r="I23" i="38"/>
  <c r="K23" i="38"/>
  <c r="N23" i="38"/>
  <c r="J24" i="38"/>
  <c r="H19" i="38"/>
  <c r="H46" i="38" s="1"/>
  <c r="G19" i="38"/>
  <c r="G46" i="38" s="1"/>
  <c r="N19" i="38"/>
  <c r="N46" i="38" s="1"/>
  <c r="L19" i="38"/>
  <c r="L46" i="38" s="1"/>
  <c r="F1" i="38"/>
  <c r="G1" i="55"/>
  <c r="O24" i="38"/>
  <c r="M24" i="38"/>
  <c r="N24" i="38"/>
  <c r="G24" i="38"/>
  <c r="H24" i="38"/>
  <c r="I24" i="38"/>
  <c r="E24" i="38"/>
  <c r="F24" i="38"/>
  <c r="U61" i="57"/>
  <c r="V61" i="57"/>
  <c r="W61" i="57"/>
  <c r="X61" i="57"/>
  <c r="Y61" i="57"/>
  <c r="Z61" i="57"/>
  <c r="AA61" i="57"/>
  <c r="T61" i="57"/>
  <c r="U33" i="57"/>
  <c r="V33" i="57"/>
  <c r="W33" i="57"/>
  <c r="X33" i="57"/>
  <c r="Y33" i="57"/>
  <c r="Z33" i="57"/>
  <c r="AA33" i="57"/>
  <c r="T33" i="57"/>
  <c r="U32" i="57"/>
  <c r="V32" i="57"/>
  <c r="W32" i="57"/>
  <c r="X32" i="57"/>
  <c r="Y32" i="57"/>
  <c r="Z32" i="57"/>
  <c r="AA32" i="57"/>
  <c r="T32" i="57"/>
  <c r="U31" i="57"/>
  <c r="V31" i="57"/>
  <c r="V34" i="57" s="1"/>
  <c r="W31" i="57"/>
  <c r="X31" i="57"/>
  <c r="Y31" i="57"/>
  <c r="Z31" i="57"/>
  <c r="AA31" i="57"/>
  <c r="T31" i="57"/>
  <c r="T34" i="57" s="1"/>
  <c r="AG24" i="41" l="1"/>
  <c r="AF32" i="60"/>
  <c r="AG23" i="41"/>
  <c r="AF31" i="60"/>
  <c r="U34" i="57"/>
  <c r="H1" i="55"/>
  <c r="G1" i="38"/>
  <c r="W24" i="55"/>
  <c r="X24" i="55"/>
  <c r="Y24" i="55"/>
  <c r="Z24" i="55"/>
  <c r="AA24" i="55"/>
  <c r="AB24" i="55"/>
  <c r="AC24" i="55"/>
  <c r="AD24" i="55"/>
  <c r="AE24" i="55"/>
  <c r="AF24" i="55"/>
  <c r="AG24" i="55"/>
  <c r="AH24" i="55"/>
  <c r="AI24" i="55"/>
  <c r="AJ24" i="55"/>
  <c r="AK24" i="55"/>
  <c r="AL24" i="55"/>
  <c r="AM24" i="55"/>
  <c r="AN24" i="55"/>
  <c r="AO24" i="55"/>
  <c r="AP24" i="55"/>
  <c r="AQ24" i="55"/>
  <c r="AR24" i="55"/>
  <c r="V24" i="55"/>
  <c r="AH24" i="41" l="1"/>
  <c r="AG32" i="60"/>
  <c r="AH23" i="41"/>
  <c r="AG31" i="60"/>
  <c r="I1" i="55"/>
  <c r="H1" i="38"/>
  <c r="V24" i="56"/>
  <c r="V22" i="56"/>
  <c r="AI23" i="41" l="1"/>
  <c r="AH31" i="60"/>
  <c r="AI24" i="41"/>
  <c r="AH32" i="60"/>
  <c r="J1" i="55"/>
  <c r="J1" i="59" s="1"/>
  <c r="I1" i="38"/>
  <c r="V28" i="60"/>
  <c r="V29" i="60"/>
  <c r="V30" i="60"/>
  <c r="V27" i="60"/>
  <c r="AJ24" i="41" l="1"/>
  <c r="AI32" i="60"/>
  <c r="AJ23" i="41"/>
  <c r="AI31" i="60"/>
  <c r="K1" i="55"/>
  <c r="K1" i="59" s="1"/>
  <c r="J1" i="38"/>
  <c r="W22" i="56"/>
  <c r="W24" i="56"/>
  <c r="AK23" i="41" l="1"/>
  <c r="AJ31" i="60"/>
  <c r="AK24" i="41"/>
  <c r="AJ32" i="60"/>
  <c r="X24" i="56"/>
  <c r="Y24" i="56" s="1"/>
  <c r="Z24" i="56" s="1"/>
  <c r="AA24" i="56" s="1"/>
  <c r="X22" i="56"/>
  <c r="Y22" i="56" s="1"/>
  <c r="K1" i="38"/>
  <c r="AL24" i="41" l="1"/>
  <c r="AK32" i="60"/>
  <c r="AL23" i="41"/>
  <c r="AK31" i="60"/>
  <c r="Z22" i="56"/>
  <c r="AM23" i="41" l="1"/>
  <c r="AL31" i="60"/>
  <c r="AM24" i="41"/>
  <c r="AL32" i="60"/>
  <c r="AA22" i="56"/>
  <c r="AN24" i="41" l="1"/>
  <c r="AM32" i="60"/>
  <c r="AN23" i="41"/>
  <c r="AM31" i="60"/>
  <c r="AS24" i="55"/>
  <c r="V101" i="55"/>
  <c r="W101" i="55"/>
  <c r="X101" i="55"/>
  <c r="Y101" i="55"/>
  <c r="Z101" i="55"/>
  <c r="AA101" i="55"/>
  <c r="V3" i="57"/>
  <c r="W3" i="57"/>
  <c r="X3" i="57"/>
  <c r="Y3" i="57"/>
  <c r="Z3" i="57"/>
  <c r="AA3" i="57"/>
  <c r="AR7" i="41"/>
  <c r="AR23" i="60" s="1"/>
  <c r="AQ7" i="41"/>
  <c r="AQ23" i="60" s="1"/>
  <c r="AP7" i="41"/>
  <c r="AP23" i="60" s="1"/>
  <c r="AO7" i="41"/>
  <c r="AO23" i="60" s="1"/>
  <c r="AN7" i="41"/>
  <c r="AN23" i="60" s="1"/>
  <c r="AM7" i="41"/>
  <c r="AM23" i="60" s="1"/>
  <c r="AK7" i="41"/>
  <c r="AK23" i="60" s="1"/>
  <c r="AJ7" i="41"/>
  <c r="AJ23" i="60" s="1"/>
  <c r="AI7" i="41"/>
  <c r="AI23" i="60" s="1"/>
  <c r="AG7" i="41"/>
  <c r="AG23" i="60" s="1"/>
  <c r="AF7" i="41"/>
  <c r="AF23" i="60" s="1"/>
  <c r="AE7" i="41"/>
  <c r="AE23" i="60" s="1"/>
  <c r="AD7" i="41"/>
  <c r="AD23" i="60" s="1"/>
  <c r="AB7" i="41"/>
  <c r="AB23" i="60" s="1"/>
  <c r="AA7" i="41"/>
  <c r="X7" i="41"/>
  <c r="W7" i="41"/>
  <c r="V7" i="41"/>
  <c r="AO23" i="41" l="1"/>
  <c r="AN31" i="60"/>
  <c r="AO24" i="41"/>
  <c r="AN32" i="60"/>
  <c r="V23" i="60"/>
  <c r="W23" i="60"/>
  <c r="X23" i="60"/>
  <c r="AA23" i="60"/>
  <c r="AJ46" i="38"/>
  <c r="AR46" i="38"/>
  <c r="AI46" i="38"/>
  <c r="AB46" i="38"/>
  <c r="AA46" i="38"/>
  <c r="AH46" i="38"/>
  <c r="AP46" i="38"/>
  <c r="AG46" i="38"/>
  <c r="AO46" i="38"/>
  <c r="AF46" i="38"/>
  <c r="AN46" i="38"/>
  <c r="AE46" i="38"/>
  <c r="AQ46" i="38"/>
  <c r="AL46" i="38"/>
  <c r="AD46" i="38"/>
  <c r="AK46" i="38"/>
  <c r="AC46" i="38"/>
  <c r="T6" i="57"/>
  <c r="AM46" i="38"/>
  <c r="AL7" i="41"/>
  <c r="AL23" i="60" s="1"/>
  <c r="AH7" i="41"/>
  <c r="AH23" i="60" s="1"/>
  <c r="Z7" i="41"/>
  <c r="AC7" i="41"/>
  <c r="AC23" i="60" s="1"/>
  <c r="Y7" i="41"/>
  <c r="AP24" i="41" l="1"/>
  <c r="AO32" i="60"/>
  <c r="AP23" i="41"/>
  <c r="AO31" i="60"/>
  <c r="Z23" i="60"/>
  <c r="Y23" i="60"/>
  <c r="AR50" i="38"/>
  <c r="AO50" i="38"/>
  <c r="T37" i="57"/>
  <c r="T38" i="57" s="1"/>
  <c r="T54" i="57"/>
  <c r="AQ50" i="38"/>
  <c r="AP50" i="38"/>
  <c r="W36" i="55"/>
  <c r="V10" i="56"/>
  <c r="P49" i="59"/>
  <c r="P54" i="59" s="1"/>
  <c r="S49" i="59"/>
  <c r="S54" i="59" s="1"/>
  <c r="U49" i="59"/>
  <c r="U54" i="59" s="1"/>
  <c r="Q49" i="59"/>
  <c r="Q54" i="59" s="1"/>
  <c r="T49" i="59"/>
  <c r="T54" i="59" s="1"/>
  <c r="R49" i="59"/>
  <c r="R54" i="59" s="1"/>
  <c r="U6" i="57"/>
  <c r="V6" i="57"/>
  <c r="V28" i="57" s="1"/>
  <c r="AQ23" i="41" l="1"/>
  <c r="AP31" i="60"/>
  <c r="AQ24" i="41"/>
  <c r="AP32" i="60"/>
  <c r="Q17" i="38"/>
  <c r="V43" i="57"/>
  <c r="X36" i="55"/>
  <c r="W10" i="56"/>
  <c r="Q16" i="38"/>
  <c r="P17" i="38"/>
  <c r="P16" i="38"/>
  <c r="S16" i="38"/>
  <c r="W6" i="57"/>
  <c r="W28" i="57" s="1"/>
  <c r="AR24" i="41" l="1"/>
  <c r="AR32" i="60" s="1"/>
  <c r="AQ32" i="60"/>
  <c r="AR23" i="41"/>
  <c r="AR31" i="60" s="1"/>
  <c r="AQ31" i="60"/>
  <c r="S18" i="38"/>
  <c r="S45" i="38"/>
  <c r="P18" i="38"/>
  <c r="U18" i="38"/>
  <c r="U45" i="38"/>
  <c r="T18" i="38"/>
  <c r="T45" i="38"/>
  <c r="Q18" i="38"/>
  <c r="Q19" i="38" s="1"/>
  <c r="Q46" i="38" s="1"/>
  <c r="Q45" i="38"/>
  <c r="R18" i="38"/>
  <c r="R45" i="38"/>
  <c r="Q24" i="38"/>
  <c r="E26" i="38"/>
  <c r="U16" i="38"/>
  <c r="U17" i="38"/>
  <c r="P23" i="38"/>
  <c r="Q23" i="38"/>
  <c r="P24" i="38"/>
  <c r="Y36" i="55"/>
  <c r="X10" i="56"/>
  <c r="R16" i="38"/>
  <c r="R17" i="38"/>
  <c r="T17" i="38"/>
  <c r="T16" i="38"/>
  <c r="X6" i="57"/>
  <c r="X28" i="57" s="1"/>
  <c r="Q25" i="38" l="1"/>
  <c r="R25" i="38"/>
  <c r="T25" i="38"/>
  <c r="Z50" i="38"/>
  <c r="P19" i="38"/>
  <c r="P46" i="38" s="1"/>
  <c r="P25" i="38"/>
  <c r="P26" i="38" s="1"/>
  <c r="AC50" i="38"/>
  <c r="AI50" i="38"/>
  <c r="AH50" i="38"/>
  <c r="AB50" i="38"/>
  <c r="AF50" i="38"/>
  <c r="AG50" i="38"/>
  <c r="AE50" i="38"/>
  <c r="AA50" i="38"/>
  <c r="AD50" i="38"/>
  <c r="X50" i="38"/>
  <c r="P45" i="38"/>
  <c r="P35" i="38"/>
  <c r="Y50" i="38"/>
  <c r="U25" i="38"/>
  <c r="S25" i="38"/>
  <c r="E28" i="38"/>
  <c r="R23" i="38"/>
  <c r="U19" i="38"/>
  <c r="U46" i="38" s="1"/>
  <c r="M26" i="38"/>
  <c r="F26" i="38"/>
  <c r="S23" i="38"/>
  <c r="J26" i="38"/>
  <c r="N26" i="38"/>
  <c r="G26" i="38"/>
  <c r="K26" i="38"/>
  <c r="I26" i="38"/>
  <c r="L26" i="38"/>
  <c r="H26" i="38"/>
  <c r="O26" i="38"/>
  <c r="U23" i="38"/>
  <c r="T19" i="38"/>
  <c r="T46" i="38" s="1"/>
  <c r="AN50" i="38"/>
  <c r="Z46" i="38"/>
  <c r="R19" i="38"/>
  <c r="R46" i="38" s="1"/>
  <c r="AJ50" i="38"/>
  <c r="AK50" i="38"/>
  <c r="AL50" i="38"/>
  <c r="X46" i="38"/>
  <c r="W46" i="38"/>
  <c r="AM50" i="38"/>
  <c r="Y46" i="38"/>
  <c r="R24" i="38"/>
  <c r="T23" i="38"/>
  <c r="Z36" i="55"/>
  <c r="Y10" i="56"/>
  <c r="S17" i="38"/>
  <c r="U54" i="57"/>
  <c r="Q26" i="38"/>
  <c r="Y6" i="57"/>
  <c r="Y28" i="57" s="1"/>
  <c r="AI52" i="38" l="1"/>
  <c r="R52" i="38"/>
  <c r="R53" i="38" s="1"/>
  <c r="AR52" i="38"/>
  <c r="AR53" i="38" s="1"/>
  <c r="AR25" i="60" s="1"/>
  <c r="AD52" i="38"/>
  <c r="AD53" i="38" s="1"/>
  <c r="AD25" i="60" s="1"/>
  <c r="AC52" i="38"/>
  <c r="AO52" i="38"/>
  <c r="AO53" i="38" s="1"/>
  <c r="AO25" i="60" s="1"/>
  <c r="AN52" i="38"/>
  <c r="AN53" i="38" s="1"/>
  <c r="AN25" i="60" s="1"/>
  <c r="V52" i="38"/>
  <c r="V53" i="38" s="1"/>
  <c r="S52" i="38"/>
  <c r="S53" i="38" s="1"/>
  <c r="U52" i="38"/>
  <c r="U53" i="38" s="1"/>
  <c r="AE52" i="38"/>
  <c r="AE53" i="38" s="1"/>
  <c r="AE25" i="60" s="1"/>
  <c r="AB52" i="38"/>
  <c r="AB53" i="38" s="1"/>
  <c r="AB25" i="60" s="1"/>
  <c r="T52" i="38"/>
  <c r="T53" i="38" s="1"/>
  <c r="AP52" i="38"/>
  <c r="AJ52" i="38"/>
  <c r="AJ53" i="38" s="1"/>
  <c r="AJ25" i="60" s="1"/>
  <c r="X52" i="38"/>
  <c r="X53" i="38" s="1"/>
  <c r="Y52" i="38"/>
  <c r="W52" i="38"/>
  <c r="W53" i="38" s="1"/>
  <c r="AM52" i="38"/>
  <c r="AM53" i="38" s="1"/>
  <c r="AM25" i="60" s="1"/>
  <c r="AH52" i="38"/>
  <c r="AH53" i="38" s="1"/>
  <c r="AH25" i="60" s="1"/>
  <c r="AF52" i="38"/>
  <c r="AF53" i="38" s="1"/>
  <c r="AF25" i="60" s="1"/>
  <c r="Q52" i="38"/>
  <c r="Q53" i="38" s="1"/>
  <c r="AL52" i="38"/>
  <c r="AL53" i="38" s="1"/>
  <c r="AL25" i="60" s="1"/>
  <c r="AA52" i="38"/>
  <c r="AA53" i="38" s="1"/>
  <c r="AK52" i="38"/>
  <c r="P52" i="38"/>
  <c r="P53" i="38" s="1"/>
  <c r="P55" i="38" s="1"/>
  <c r="Q32" i="38" s="1"/>
  <c r="Q35" i="38" s="1"/>
  <c r="Q55" i="38" s="1"/>
  <c r="R32" i="38" s="1"/>
  <c r="R35" i="38" s="1"/>
  <c r="R55" i="38" s="1"/>
  <c r="S32" i="38" s="1"/>
  <c r="S35" i="38" s="1"/>
  <c r="AQ52" i="38"/>
  <c r="AQ53" i="38" s="1"/>
  <c r="AQ25" i="60" s="1"/>
  <c r="Z52" i="38"/>
  <c r="Z53" i="38" s="1"/>
  <c r="AG52" i="38"/>
  <c r="AP53" i="38"/>
  <c r="AP25" i="60" s="1"/>
  <c r="AK53" i="38"/>
  <c r="AK25" i="60" s="1"/>
  <c r="U24" i="38"/>
  <c r="S19" i="38"/>
  <c r="S46" i="38" s="1"/>
  <c r="AG53" i="38"/>
  <c r="AG25" i="60" s="1"/>
  <c r="T24" i="38"/>
  <c r="S24" i="38"/>
  <c r="R26" i="38"/>
  <c r="U26" i="38"/>
  <c r="AI53" i="38"/>
  <c r="AI25" i="60" s="1"/>
  <c r="Y53" i="38"/>
  <c r="AC53" i="38"/>
  <c r="AC25" i="60" s="1"/>
  <c r="F5" i="38"/>
  <c r="AA36" i="55"/>
  <c r="AA10" i="56" s="1"/>
  <c r="Z10" i="56"/>
  <c r="U55" i="57"/>
  <c r="U70" i="57" s="1"/>
  <c r="T50" i="57"/>
  <c r="Z6" i="57"/>
  <c r="Z28" i="57" s="1"/>
  <c r="X7" i="56" l="1"/>
  <c r="X16" i="56" s="1"/>
  <c r="X40" i="56" s="1"/>
  <c r="X25" i="60"/>
  <c r="V7" i="56"/>
  <c r="V16" i="56" s="1"/>
  <c r="V40" i="56" s="1"/>
  <c r="V25" i="60"/>
  <c r="Y7" i="56"/>
  <c r="Y16" i="56" s="1"/>
  <c r="Y40" i="56" s="1"/>
  <c r="Y25" i="60"/>
  <c r="AA7" i="56"/>
  <c r="AA16" i="56" s="1"/>
  <c r="AA40" i="56" s="1"/>
  <c r="AA25" i="60"/>
  <c r="W7" i="56"/>
  <c r="W16" i="56" s="1"/>
  <c r="W40" i="56" s="1"/>
  <c r="W25" i="60"/>
  <c r="Z7" i="56"/>
  <c r="Z16" i="56" s="1"/>
  <c r="Z40" i="56" s="1"/>
  <c r="Z25" i="60"/>
  <c r="S55" i="38"/>
  <c r="T32" i="38" s="1"/>
  <c r="T35" i="38" s="1"/>
  <c r="T55" i="38" s="1"/>
  <c r="U32" i="38" s="1"/>
  <c r="U35" i="38" s="1"/>
  <c r="U55" i="38" s="1"/>
  <c r="V32" i="38" s="1"/>
  <c r="S26" i="38"/>
  <c r="T26" i="38"/>
  <c r="F8" i="38"/>
  <c r="T39" i="57"/>
  <c r="T43" i="57" s="1"/>
  <c r="T55" i="57"/>
  <c r="T70" i="57" s="1"/>
  <c r="U56" i="57"/>
  <c r="U60" i="57" s="1"/>
  <c r="AA6" i="57"/>
  <c r="AA28" i="57" s="1"/>
  <c r="S48" i="55" l="1"/>
  <c r="U44" i="55" s="1"/>
  <c r="V44" i="55" s="1"/>
  <c r="F28" i="38"/>
  <c r="G5" i="38" s="1"/>
  <c r="T56" i="57"/>
  <c r="T60" i="57" s="1"/>
  <c r="T62" i="57" s="1"/>
  <c r="M48" i="55" l="1"/>
  <c r="U50" i="41"/>
  <c r="U8" i="56" s="1"/>
  <c r="U17" i="56" s="1"/>
  <c r="G8" i="38"/>
  <c r="G28" i="38" l="1"/>
  <c r="H5" i="38" s="1"/>
  <c r="H8" i="38" l="1"/>
  <c r="H28" i="38" l="1"/>
  <c r="I5" i="38" s="1"/>
  <c r="I8" i="38" l="1"/>
  <c r="I28" i="38" l="1"/>
  <c r="J5" i="38" s="1"/>
  <c r="J8" i="38" l="1"/>
  <c r="J28" i="38" l="1"/>
  <c r="K5" i="38" l="1"/>
  <c r="K8" i="38" s="1"/>
  <c r="K28" i="38" l="1"/>
  <c r="AA4" i="57"/>
  <c r="Z4" i="57"/>
  <c r="Y4" i="57"/>
  <c r="X4" i="57"/>
  <c r="W4" i="57"/>
  <c r="V4" i="57"/>
  <c r="V77" i="57"/>
  <c r="W77" i="57"/>
  <c r="X77" i="57"/>
  <c r="Y77" i="57"/>
  <c r="Z77" i="57"/>
  <c r="AA77" i="57"/>
  <c r="V75" i="57"/>
  <c r="W75" i="57"/>
  <c r="X75" i="57"/>
  <c r="Y75" i="57"/>
  <c r="Z75" i="57"/>
  <c r="AA75" i="57"/>
  <c r="T59" i="57"/>
  <c r="T64" i="57" s="1"/>
  <c r="T65" i="57" s="1"/>
  <c r="L5" i="38" l="1"/>
  <c r="L8" i="38"/>
  <c r="U78" i="57"/>
  <c r="V78" i="57"/>
  <c r="W78" i="57"/>
  <c r="X78" i="57"/>
  <c r="Y78" i="57"/>
  <c r="Z78" i="57"/>
  <c r="AA78" i="57"/>
  <c r="T78" i="57"/>
  <c r="L28" i="38" l="1"/>
  <c r="M5" i="38" s="1"/>
  <c r="T42" i="57"/>
  <c r="T45" i="57" s="1"/>
  <c r="T46" i="57" s="1"/>
  <c r="T47" i="57" s="1"/>
  <c r="U42" i="57" s="1"/>
  <c r="M8" i="38" l="1"/>
  <c r="T74" i="57"/>
  <c r="M28" i="38" l="1"/>
  <c r="N5" i="38" s="1"/>
  <c r="X34" i="57"/>
  <c r="W34" i="57"/>
  <c r="N8" i="38" l="1"/>
  <c r="Y34" i="57"/>
  <c r="N28" i="38" l="1"/>
  <c r="O5" i="38" s="1"/>
  <c r="Z34" i="57"/>
  <c r="O8" i="38" l="1"/>
  <c r="T51" i="57"/>
  <c r="T75" i="57" s="1"/>
  <c r="AA34" i="57"/>
  <c r="O28" i="38" l="1"/>
  <c r="U62" i="57"/>
  <c r="U71" i="57" s="1"/>
  <c r="P5" i="38" l="1"/>
  <c r="T71" i="57"/>
  <c r="T66" i="57" s="1"/>
  <c r="T67" i="57" s="1"/>
  <c r="T76" i="57"/>
  <c r="U37" i="57"/>
  <c r="U77" i="57"/>
  <c r="U66" i="57"/>
  <c r="P8" i="38" l="1"/>
  <c r="T77" i="57"/>
  <c r="T79" i="57" s="1"/>
  <c r="U59" i="57"/>
  <c r="U64" i="57" s="1"/>
  <c r="U38" i="57"/>
  <c r="U50" i="57" s="1"/>
  <c r="U51" i="57" s="1"/>
  <c r="U75" i="57" s="1"/>
  <c r="U65" i="57" l="1"/>
  <c r="U39" i="57"/>
  <c r="U43" i="57" s="1"/>
  <c r="U45" i="57" s="1"/>
  <c r="U46" i="57" s="1"/>
  <c r="U47" i="57" s="1"/>
  <c r="W10" i="41"/>
  <c r="X10" i="41"/>
  <c r="Y10" i="41"/>
  <c r="Z10" i="41"/>
  <c r="AA10" i="41"/>
  <c r="AB10" i="41"/>
  <c r="AB17" i="60" s="1"/>
  <c r="AC10" i="41"/>
  <c r="AC17" i="60" s="1"/>
  <c r="AD10" i="41"/>
  <c r="AD17" i="60" s="1"/>
  <c r="AE10" i="41"/>
  <c r="AE17" i="60" s="1"/>
  <c r="AF10" i="41"/>
  <c r="AF17" i="60" s="1"/>
  <c r="AG10" i="41"/>
  <c r="AG17" i="60" s="1"/>
  <c r="AH10" i="41"/>
  <c r="AH17" i="60" s="1"/>
  <c r="AI10" i="41"/>
  <c r="AI17" i="60" s="1"/>
  <c r="AJ10" i="41"/>
  <c r="AJ17" i="60" s="1"/>
  <c r="AK10" i="41"/>
  <c r="AK17" i="60" s="1"/>
  <c r="AL10" i="41"/>
  <c r="AL17" i="60" s="1"/>
  <c r="AM10" i="41"/>
  <c r="AM17" i="60" s="1"/>
  <c r="AN10" i="41"/>
  <c r="AN17" i="60" s="1"/>
  <c r="AO10" i="41"/>
  <c r="AO17" i="60" s="1"/>
  <c r="AP10" i="41"/>
  <c r="AP17" i="60" s="1"/>
  <c r="AQ10" i="41"/>
  <c r="AQ17" i="60" s="1"/>
  <c r="AR10" i="41"/>
  <c r="AR17" i="60" s="1"/>
  <c r="W11" i="41"/>
  <c r="W18" i="60" s="1"/>
  <c r="X11" i="41"/>
  <c r="X18" i="60" s="1"/>
  <c r="Y11" i="41"/>
  <c r="Y18" i="60" s="1"/>
  <c r="Z11" i="41"/>
  <c r="Z18" i="60" s="1"/>
  <c r="AA11" i="41"/>
  <c r="AA18" i="60" s="1"/>
  <c r="AB11" i="41"/>
  <c r="AB18" i="60" s="1"/>
  <c r="AC11" i="41"/>
  <c r="AC18" i="60" s="1"/>
  <c r="AD11" i="41"/>
  <c r="AD18" i="60" s="1"/>
  <c r="AE11" i="41"/>
  <c r="AE18" i="60" s="1"/>
  <c r="AF11" i="41"/>
  <c r="AF18" i="60" s="1"/>
  <c r="AG11" i="41"/>
  <c r="AG18" i="60" s="1"/>
  <c r="AH11" i="41"/>
  <c r="AH18" i="60" s="1"/>
  <c r="AI11" i="41"/>
  <c r="AI18" i="60" s="1"/>
  <c r="AJ11" i="41"/>
  <c r="AJ18" i="60" s="1"/>
  <c r="AK11" i="41"/>
  <c r="AK18" i="60" s="1"/>
  <c r="AL11" i="41"/>
  <c r="AL18" i="60" s="1"/>
  <c r="AM11" i="41"/>
  <c r="AM18" i="60" s="1"/>
  <c r="AN11" i="41"/>
  <c r="AN18" i="60" s="1"/>
  <c r="AO11" i="41"/>
  <c r="AO18" i="60" s="1"/>
  <c r="AP11" i="41"/>
  <c r="AP18" i="60" s="1"/>
  <c r="AQ11" i="41"/>
  <c r="AQ18" i="60" s="1"/>
  <c r="AR11" i="41"/>
  <c r="AR18" i="60" s="1"/>
  <c r="W12" i="41"/>
  <c r="W19" i="60" s="1"/>
  <c r="X12" i="41"/>
  <c r="X19" i="60" s="1"/>
  <c r="Y12" i="41"/>
  <c r="Y19" i="60" s="1"/>
  <c r="Z12" i="41"/>
  <c r="Z19" i="60" s="1"/>
  <c r="AA12" i="41"/>
  <c r="AA19" i="60" s="1"/>
  <c r="AB12" i="41"/>
  <c r="AB19" i="60" s="1"/>
  <c r="AC12" i="41"/>
  <c r="AC19" i="60" s="1"/>
  <c r="AD12" i="41"/>
  <c r="AD19" i="60" s="1"/>
  <c r="AE12" i="41"/>
  <c r="AE19" i="60" s="1"/>
  <c r="AF12" i="41"/>
  <c r="AF19" i="60" s="1"/>
  <c r="AG12" i="41"/>
  <c r="AG19" i="60" s="1"/>
  <c r="AH12" i="41"/>
  <c r="AH19" i="60" s="1"/>
  <c r="AI12" i="41"/>
  <c r="AI19" i="60" s="1"/>
  <c r="AJ12" i="41"/>
  <c r="AJ19" i="60" s="1"/>
  <c r="AK12" i="41"/>
  <c r="AK19" i="60" s="1"/>
  <c r="AL12" i="41"/>
  <c r="AL19" i="60" s="1"/>
  <c r="AM12" i="41"/>
  <c r="AM19" i="60" s="1"/>
  <c r="AN12" i="41"/>
  <c r="AN19" i="60" s="1"/>
  <c r="AO12" i="41"/>
  <c r="AO19" i="60" s="1"/>
  <c r="AP12" i="41"/>
  <c r="AP19" i="60" s="1"/>
  <c r="AQ12" i="41"/>
  <c r="AQ19" i="60" s="1"/>
  <c r="AR12" i="41"/>
  <c r="AR19" i="60" s="1"/>
  <c r="W13" i="41"/>
  <c r="W20" i="60" s="1"/>
  <c r="X13" i="41"/>
  <c r="X20" i="60" s="1"/>
  <c r="Y13" i="41"/>
  <c r="Y20" i="60" s="1"/>
  <c r="Z13" i="41"/>
  <c r="Z20" i="60" s="1"/>
  <c r="AA13" i="41"/>
  <c r="AA20" i="60" s="1"/>
  <c r="AB13" i="41"/>
  <c r="AB20" i="60" s="1"/>
  <c r="AC13" i="41"/>
  <c r="AC20" i="60" s="1"/>
  <c r="AD13" i="41"/>
  <c r="AD20" i="60" s="1"/>
  <c r="AE13" i="41"/>
  <c r="AE20" i="60" s="1"/>
  <c r="AF13" i="41"/>
  <c r="AF20" i="60" s="1"/>
  <c r="AG13" i="41"/>
  <c r="AG20" i="60" s="1"/>
  <c r="AH13" i="41"/>
  <c r="AH20" i="60" s="1"/>
  <c r="AI13" i="41"/>
  <c r="AI20" i="60" s="1"/>
  <c r="AJ13" i="41"/>
  <c r="AJ20" i="60" s="1"/>
  <c r="AK13" i="41"/>
  <c r="AK20" i="60" s="1"/>
  <c r="AL13" i="41"/>
  <c r="AL20" i="60" s="1"/>
  <c r="AM13" i="41"/>
  <c r="AM20" i="60" s="1"/>
  <c r="AN13" i="41"/>
  <c r="AN20" i="60" s="1"/>
  <c r="AO13" i="41"/>
  <c r="AO20" i="60" s="1"/>
  <c r="AP13" i="41"/>
  <c r="AP20" i="60" s="1"/>
  <c r="AQ13" i="41"/>
  <c r="AQ20" i="60" s="1"/>
  <c r="AR13" i="41"/>
  <c r="AR20" i="60" s="1"/>
  <c r="V11" i="41"/>
  <c r="V18" i="60" s="1"/>
  <c r="V12" i="41"/>
  <c r="V19" i="60" s="1"/>
  <c r="V13" i="41"/>
  <c r="V20" i="60" s="1"/>
  <c r="V10" i="41"/>
  <c r="AJ16" i="41"/>
  <c r="AK16" i="41"/>
  <c r="AL16" i="41"/>
  <c r="AM16" i="41"/>
  <c r="AN16" i="41"/>
  <c r="AO16" i="41"/>
  <c r="AP16" i="41"/>
  <c r="AQ16" i="41"/>
  <c r="AR16" i="41"/>
  <c r="W8" i="41"/>
  <c r="X8" i="41"/>
  <c r="Y8" i="41"/>
  <c r="Z8" i="41"/>
  <c r="AA8" i="41"/>
  <c r="AB8" i="41"/>
  <c r="AB24" i="60" s="1"/>
  <c r="AC8" i="41"/>
  <c r="AC24" i="60" s="1"/>
  <c r="AD8" i="41"/>
  <c r="AD24" i="60" s="1"/>
  <c r="AE8" i="41"/>
  <c r="AE24" i="60" s="1"/>
  <c r="AF8" i="41"/>
  <c r="AF24" i="60" s="1"/>
  <c r="AG8" i="41"/>
  <c r="AG24" i="60" s="1"/>
  <c r="AH8" i="41"/>
  <c r="AH24" i="60" s="1"/>
  <c r="AI8" i="41"/>
  <c r="AI24" i="60" s="1"/>
  <c r="AJ8" i="41"/>
  <c r="AJ24" i="60" s="1"/>
  <c r="AK8" i="41"/>
  <c r="AK24" i="60" s="1"/>
  <c r="AL8" i="41"/>
  <c r="AL24" i="60" s="1"/>
  <c r="AM8" i="41"/>
  <c r="AM24" i="60" s="1"/>
  <c r="AN8" i="41"/>
  <c r="AN24" i="60" s="1"/>
  <c r="AO8" i="41"/>
  <c r="AO24" i="60" s="1"/>
  <c r="AP8" i="41"/>
  <c r="AP24" i="60" s="1"/>
  <c r="AQ8" i="41"/>
  <c r="AQ24" i="60" s="1"/>
  <c r="AR8" i="41"/>
  <c r="AR24" i="60" s="1"/>
  <c r="V8" i="41"/>
  <c r="AI16" i="41"/>
  <c r="AH16" i="41"/>
  <c r="AG16" i="41"/>
  <c r="AF16" i="41"/>
  <c r="AD16" i="41"/>
  <c r="AC16" i="41"/>
  <c r="AB16" i="41"/>
  <c r="AA16" i="41"/>
  <c r="Z16" i="41"/>
  <c r="Y16" i="41"/>
  <c r="X16" i="41"/>
  <c r="W16" i="41"/>
  <c r="V16" i="41"/>
  <c r="W24" i="60" l="1"/>
  <c r="W65" i="41"/>
  <c r="Z24" i="60"/>
  <c r="Z65" i="41"/>
  <c r="AA24" i="60"/>
  <c r="AA65" i="41"/>
  <c r="V24" i="60"/>
  <c r="V65" i="41"/>
  <c r="Y24" i="60"/>
  <c r="Y65" i="41"/>
  <c r="X24" i="60"/>
  <c r="X65" i="41"/>
  <c r="U67" i="57"/>
  <c r="V59" i="57" s="1"/>
  <c r="V26" i="41"/>
  <c r="V5" i="56" s="1"/>
  <c r="V14" i="56" s="1"/>
  <c r="V27" i="56" s="1"/>
  <c r="AA17" i="60"/>
  <c r="Z17" i="60"/>
  <c r="Y17" i="60"/>
  <c r="X17" i="60"/>
  <c r="W17" i="60"/>
  <c r="V17" i="60"/>
  <c r="U76" i="57"/>
  <c r="AE16" i="41"/>
  <c r="U74" i="57" l="1"/>
  <c r="U79" i="57" s="1"/>
  <c r="V42" i="57"/>
  <c r="V45" i="57" s="1"/>
  <c r="V46" i="57" s="1"/>
  <c r="V33" i="60"/>
  <c r="V8" i="57"/>
  <c r="V3" i="41" l="1"/>
  <c r="V57" i="41" l="1"/>
  <c r="C4" i="60"/>
  <c r="L1" i="55"/>
  <c r="L1" i="59" s="1"/>
  <c r="L1" i="38" l="1"/>
  <c r="M1" i="55"/>
  <c r="M1" i="59" s="1"/>
  <c r="M1" i="38" l="1"/>
  <c r="N1" i="55"/>
  <c r="N1" i="59" s="1"/>
  <c r="Y43" i="57"/>
  <c r="Y60" i="57"/>
  <c r="Y62" i="57" s="1"/>
  <c r="X43" i="57"/>
  <c r="X60" i="57"/>
  <c r="X62" i="57" s="1"/>
  <c r="AA43" i="57"/>
  <c r="AA60" i="57"/>
  <c r="AA62" i="57" s="1"/>
  <c r="V60" i="57"/>
  <c r="V62" i="57" s="1"/>
  <c r="V64" i="57" s="1"/>
  <c r="W60" i="57"/>
  <c r="W62" i="57" s="1"/>
  <c r="W43" i="57"/>
  <c r="Z43" i="57"/>
  <c r="Z60" i="57"/>
  <c r="Z62" i="57" s="1"/>
  <c r="V65" i="57" l="1"/>
  <c r="V67" i="57" s="1"/>
  <c r="N1" i="38"/>
  <c r="O1" i="55"/>
  <c r="O1" i="59" s="1"/>
  <c r="V74" i="57"/>
  <c r="P1" i="55" l="1"/>
  <c r="P1" i="59" s="1"/>
  <c r="O1" i="38"/>
  <c r="V47" i="57"/>
  <c r="W42" i="57" s="1"/>
  <c r="W45" i="57" s="1"/>
  <c r="W46" i="57" s="1"/>
  <c r="V76" i="57"/>
  <c r="V79" i="57" s="1"/>
  <c r="V11" i="57" s="1"/>
  <c r="Q1" i="55" l="1"/>
  <c r="Q1" i="59" s="1"/>
  <c r="P1" i="38"/>
  <c r="W74" i="57"/>
  <c r="W59" i="57"/>
  <c r="W64" i="57" s="1"/>
  <c r="Q1" i="38" l="1"/>
  <c r="R1" i="55"/>
  <c r="R1" i="59" s="1"/>
  <c r="W47" i="57"/>
  <c r="X42" i="57" s="1"/>
  <c r="X45" i="57" s="1"/>
  <c r="W65" i="57"/>
  <c r="R1" i="38" l="1"/>
  <c r="S1" i="55"/>
  <c r="S1" i="59" s="1"/>
  <c r="X46" i="57"/>
  <c r="X47" i="57" s="1"/>
  <c r="Y42" i="57" s="1"/>
  <c r="Y45" i="57" s="1"/>
  <c r="W67" i="57"/>
  <c r="X59" i="57" s="1"/>
  <c r="X64" i="57" s="1"/>
  <c r="W76" i="57"/>
  <c r="W79" i="57" s="1"/>
  <c r="W11" i="57" s="1"/>
  <c r="T1" i="55"/>
  <c r="T1" i="59" s="1"/>
  <c r="S1" i="38" l="1"/>
  <c r="T1" i="38"/>
  <c r="T1" i="57"/>
  <c r="Y46" i="57"/>
  <c r="Y74" i="57" s="1"/>
  <c r="X74" i="57"/>
  <c r="X65" i="57"/>
  <c r="U1" i="55"/>
  <c r="U1" i="59" l="1"/>
  <c r="U1" i="56"/>
  <c r="U1" i="38"/>
  <c r="U1" i="57"/>
  <c r="U1" i="41"/>
  <c r="C6" i="60" s="1"/>
  <c r="Y47" i="57"/>
  <c r="Z42" i="57" s="1"/>
  <c r="Z45" i="57" s="1"/>
  <c r="Z46" i="57" s="1"/>
  <c r="Z74" i="57" s="1"/>
  <c r="X67" i="57"/>
  <c r="Y59" i="57" s="1"/>
  <c r="Y64" i="57" s="1"/>
  <c r="X76" i="57"/>
  <c r="X79" i="57" s="1"/>
  <c r="X11" i="57" s="1"/>
  <c r="V1" i="55"/>
  <c r="V1" i="59" s="1"/>
  <c r="V1" i="38" l="1"/>
  <c r="V1" i="56"/>
  <c r="V1" i="57"/>
  <c r="V16" i="60"/>
  <c r="V1" i="41"/>
  <c r="Z47" i="57"/>
  <c r="AA42" i="57" s="1"/>
  <c r="AA45" i="57" s="1"/>
  <c r="AA46" i="57" s="1"/>
  <c r="AA74" i="57" s="1"/>
  <c r="Y65" i="57"/>
  <c r="W1" i="55"/>
  <c r="W1" i="59" s="1"/>
  <c r="W1" i="38" l="1"/>
  <c r="W1" i="56"/>
  <c r="W16" i="60"/>
  <c r="W1" i="57"/>
  <c r="W1" i="41"/>
  <c r="Y67" i="57"/>
  <c r="Z59" i="57" s="1"/>
  <c r="Z64" i="57" s="1"/>
  <c r="Y76" i="57"/>
  <c r="Y79" i="57" s="1"/>
  <c r="Y11" i="57" s="1"/>
  <c r="AA47" i="57"/>
  <c r="X1" i="55"/>
  <c r="X1" i="59" s="1"/>
  <c r="X1" i="38" l="1"/>
  <c r="X1" i="57"/>
  <c r="X16" i="60"/>
  <c r="X1" i="56"/>
  <c r="X1" i="41"/>
  <c r="Z65" i="57"/>
  <c r="Y1" i="55"/>
  <c r="Y1" i="59" s="1"/>
  <c r="Y1" i="38" l="1"/>
  <c r="Y16" i="60"/>
  <c r="Y1" i="57"/>
  <c r="Y1" i="56"/>
  <c r="Y1" i="41"/>
  <c r="Z67" i="57"/>
  <c r="AA59" i="57" s="1"/>
  <c r="AA64" i="57" s="1"/>
  <c r="Z76" i="57"/>
  <c r="Z79" i="57" s="1"/>
  <c r="Z11" i="57" s="1"/>
  <c r="Z1" i="55"/>
  <c r="Z1" i="59" s="1"/>
  <c r="Z1" i="38" l="1"/>
  <c r="Z1" i="56"/>
  <c r="Z16" i="60"/>
  <c r="Z1" i="57"/>
  <c r="Z1" i="41"/>
  <c r="AA65" i="57"/>
  <c r="AA1" i="55"/>
  <c r="AA1" i="59" s="1"/>
  <c r="AA1" i="38" l="1"/>
  <c r="AA16" i="60"/>
  <c r="AA1" i="57"/>
  <c r="AA1" i="56"/>
  <c r="AA1" i="41"/>
  <c r="C5" i="60" s="1"/>
  <c r="AA67" i="57"/>
  <c r="AA76" i="57"/>
  <c r="AA79" i="57" s="1"/>
  <c r="AA11" i="57" s="1"/>
  <c r="AB1" i="55"/>
  <c r="AB1" i="59" s="1"/>
  <c r="AB1" i="38" l="1"/>
  <c r="AB1" i="41"/>
  <c r="AC1" i="55"/>
  <c r="AC1" i="59" s="1"/>
  <c r="AC1" i="38" l="1"/>
  <c r="AC1" i="41"/>
  <c r="AD1" i="55"/>
  <c r="AD1" i="59" s="1"/>
  <c r="AD1" i="38" l="1"/>
  <c r="AD1" i="41"/>
  <c r="AE1" i="55"/>
  <c r="AE1" i="59" s="1"/>
  <c r="AE1" i="38" l="1"/>
  <c r="AE1" i="41"/>
  <c r="AF1" i="55"/>
  <c r="AF1" i="59" s="1"/>
  <c r="AF1" i="38" l="1"/>
  <c r="AF1" i="41"/>
  <c r="AG1" i="55"/>
  <c r="AG1" i="59" s="1"/>
  <c r="AG1" i="38" l="1"/>
  <c r="AG1" i="41"/>
  <c r="AH1" i="55"/>
  <c r="AH1" i="59" s="1"/>
  <c r="AH1" i="38" l="1"/>
  <c r="AH1" i="41"/>
  <c r="AI1" i="55"/>
  <c r="AI1" i="59" s="1"/>
  <c r="AI1" i="38" l="1"/>
  <c r="AI1" i="41"/>
  <c r="AJ1" i="55"/>
  <c r="AJ1" i="59" s="1"/>
  <c r="AJ1" i="38" l="1"/>
  <c r="AJ1" i="41"/>
  <c r="AK1" i="55"/>
  <c r="AK1" i="59" s="1"/>
  <c r="AK1" i="38" l="1"/>
  <c r="AK1" i="41"/>
  <c r="AL1" i="55"/>
  <c r="AL1" i="59" s="1"/>
  <c r="AL1" i="38" l="1"/>
  <c r="AL1" i="41"/>
  <c r="AM1" i="55"/>
  <c r="AM1" i="38" l="1"/>
  <c r="AM1" i="41"/>
  <c r="AN1" i="55"/>
  <c r="AN1" i="38" l="1"/>
  <c r="AN1" i="41"/>
  <c r="AO1" i="55"/>
  <c r="AO1" i="38" l="1"/>
  <c r="AO1" i="41"/>
  <c r="AP1" i="55"/>
  <c r="AP1" i="38" l="1"/>
  <c r="AP1" i="41"/>
  <c r="AQ1" i="55"/>
  <c r="AQ1" i="38" l="1"/>
  <c r="AQ1" i="41"/>
  <c r="AR1" i="55"/>
  <c r="AR1" i="38" l="1"/>
  <c r="AR1" i="41"/>
  <c r="AS1" i="55"/>
  <c r="W21" i="41" l="1"/>
  <c r="X21" i="41" l="1"/>
  <c r="W29" i="60"/>
  <c r="V28" i="41"/>
  <c r="V9" i="57" l="1"/>
  <c r="V6" i="56"/>
  <c r="V15" i="56" s="1"/>
  <c r="V28" i="56" s="1"/>
  <c r="Y21" i="41"/>
  <c r="X29" i="60"/>
  <c r="W20" i="41"/>
  <c r="W19" i="41"/>
  <c r="W27" i="60" l="1"/>
  <c r="X20" i="41"/>
  <c r="W28" i="60"/>
  <c r="Z21" i="41"/>
  <c r="Y29" i="60"/>
  <c r="W3" i="41"/>
  <c r="X3" i="41" s="1"/>
  <c r="Y3" i="41" s="1"/>
  <c r="Z3" i="41" s="1"/>
  <c r="AA3" i="41" s="1"/>
  <c r="AB3" i="41" s="1"/>
  <c r="AC3" i="41" s="1"/>
  <c r="AD3" i="41" s="1"/>
  <c r="AE3" i="41" s="1"/>
  <c r="AF3" i="41" s="1"/>
  <c r="AG3" i="41" s="1"/>
  <c r="AH3" i="41" s="1"/>
  <c r="AI3" i="41" s="1"/>
  <c r="AJ3" i="41" s="1"/>
  <c r="AK3" i="41" s="1"/>
  <c r="AL3" i="41" s="1"/>
  <c r="AM3" i="41" s="1"/>
  <c r="AN3" i="41" s="1"/>
  <c r="AO3" i="41" s="1"/>
  <c r="AP3" i="41" s="1"/>
  <c r="AQ3" i="41" s="1"/>
  <c r="AR3" i="41" s="1"/>
  <c r="X19" i="41"/>
  <c r="V5" i="41"/>
  <c r="V4" i="41" s="1"/>
  <c r="X27" i="60" l="1"/>
  <c r="AA21" i="41"/>
  <c r="Z29" i="60"/>
  <c r="Y20" i="41"/>
  <c r="X28" i="60"/>
  <c r="W5" i="41"/>
  <c r="Y19" i="41"/>
  <c r="Y27" i="60" l="1"/>
  <c r="X5" i="41"/>
  <c r="W4" i="41"/>
  <c r="Z20" i="41"/>
  <c r="Y28" i="60"/>
  <c r="AB21" i="41"/>
  <c r="AA29" i="60"/>
  <c r="Z19" i="41"/>
  <c r="AC21" i="41" l="1"/>
  <c r="AB29" i="60"/>
  <c r="Z27" i="60"/>
  <c r="Y5" i="41"/>
  <c r="X4" i="41"/>
  <c r="AA20" i="41"/>
  <c r="Z28" i="60"/>
  <c r="AA19" i="41"/>
  <c r="AD21" i="41" l="1"/>
  <c r="AC29" i="60"/>
  <c r="AA27" i="60"/>
  <c r="Z5" i="41"/>
  <c r="Y4" i="41"/>
  <c r="AB20" i="41"/>
  <c r="AA28" i="60"/>
  <c r="AB19" i="41"/>
  <c r="AB27" i="60" s="1"/>
  <c r="AC20" i="41" l="1"/>
  <c r="AB28" i="60"/>
  <c r="AE21" i="41"/>
  <c r="AD29" i="60"/>
  <c r="AA5" i="41"/>
  <c r="Z4" i="41"/>
  <c r="AC19" i="41"/>
  <c r="AC27" i="60" s="1"/>
  <c r="X27" i="41"/>
  <c r="W27" i="41"/>
  <c r="AF21" i="41" l="1"/>
  <c r="AE29" i="60"/>
  <c r="AD20" i="41"/>
  <c r="AC28" i="60"/>
  <c r="AB5" i="41"/>
  <c r="AA4" i="41"/>
  <c r="AD19" i="41"/>
  <c r="AD27" i="60" s="1"/>
  <c r="V27" i="41"/>
  <c r="V29" i="41" s="1"/>
  <c r="V41" i="41" s="1"/>
  <c r="AE20" i="41" l="1"/>
  <c r="AD28" i="60"/>
  <c r="AG21" i="41"/>
  <c r="AF29" i="60"/>
  <c r="V31" i="41"/>
  <c r="AB4" i="41"/>
  <c r="AC5" i="41"/>
  <c r="AE19" i="41"/>
  <c r="AE27" i="60" s="1"/>
  <c r="AH21" i="41" l="1"/>
  <c r="AG29" i="60"/>
  <c r="AF20" i="41"/>
  <c r="AE28" i="60"/>
  <c r="AC4" i="41"/>
  <c r="AD5" i="41"/>
  <c r="AF19" i="41"/>
  <c r="AF27" i="60" s="1"/>
  <c r="AG20" i="41" l="1"/>
  <c r="AF28" i="60"/>
  <c r="AI21" i="41"/>
  <c r="AH29" i="60"/>
  <c r="AD4" i="41"/>
  <c r="AE5" i="41"/>
  <c r="AG19" i="41"/>
  <c r="AG27" i="60" s="1"/>
  <c r="AJ21" i="41" l="1"/>
  <c r="AI29" i="60"/>
  <c r="AH20" i="41"/>
  <c r="AG28" i="60"/>
  <c r="AE4" i="41"/>
  <c r="AF5" i="41"/>
  <c r="AH19" i="41"/>
  <c r="AH27" i="60" s="1"/>
  <c r="AI20" i="41" l="1"/>
  <c r="AH28" i="60"/>
  <c r="AK21" i="41"/>
  <c r="AJ29" i="60"/>
  <c r="AF4" i="41"/>
  <c r="AG5" i="41"/>
  <c r="AI19" i="41"/>
  <c r="AI27" i="60" s="1"/>
  <c r="AL21" i="41" l="1"/>
  <c r="AK29" i="60"/>
  <c r="AJ20" i="41"/>
  <c r="AI28" i="60"/>
  <c r="AG4" i="41"/>
  <c r="AH5" i="41"/>
  <c r="AJ19" i="41"/>
  <c r="AJ27" i="60" s="1"/>
  <c r="AK20" i="41" l="1"/>
  <c r="AJ28" i="60"/>
  <c r="AM21" i="41"/>
  <c r="AL29" i="60"/>
  <c r="AH4" i="41"/>
  <c r="AI5" i="41"/>
  <c r="AK19" i="41"/>
  <c r="AK27" i="60" s="1"/>
  <c r="AN21" i="41" l="1"/>
  <c r="AM29" i="60"/>
  <c r="AL20" i="41"/>
  <c r="AK28" i="60"/>
  <c r="AI4" i="41"/>
  <c r="AJ5" i="41"/>
  <c r="AL19" i="41"/>
  <c r="AL27" i="60" s="1"/>
  <c r="AM20" i="41" l="1"/>
  <c r="AL28" i="60"/>
  <c r="AO21" i="41"/>
  <c r="AN29" i="60"/>
  <c r="AJ4" i="41"/>
  <c r="AK5" i="41"/>
  <c r="AM19" i="41"/>
  <c r="AM27" i="60" s="1"/>
  <c r="AP21" i="41" l="1"/>
  <c r="AO29" i="60"/>
  <c r="AN20" i="41"/>
  <c r="AM28" i="60"/>
  <c r="AK4" i="41"/>
  <c r="AL5" i="41"/>
  <c r="AN19" i="41"/>
  <c r="AN27" i="60" s="1"/>
  <c r="AO20" i="41" l="1"/>
  <c r="AN28" i="60"/>
  <c r="AQ21" i="41"/>
  <c r="AP29" i="60"/>
  <c r="AL4" i="41"/>
  <c r="AM5" i="41"/>
  <c r="P28" i="38"/>
  <c r="AO19" i="41"/>
  <c r="AO27" i="60" s="1"/>
  <c r="AR21" i="41" l="1"/>
  <c r="AR29" i="60" s="1"/>
  <c r="AQ29" i="60"/>
  <c r="AP20" i="41"/>
  <c r="AO28" i="60"/>
  <c r="AM4" i="41"/>
  <c r="AN5" i="41"/>
  <c r="Q5" i="38"/>
  <c r="AP19" i="41"/>
  <c r="AP27" i="60" s="1"/>
  <c r="AQ20" i="41" l="1"/>
  <c r="AP28" i="60"/>
  <c r="Q8" i="38"/>
  <c r="Q28" i="38" s="1"/>
  <c r="AN4" i="41"/>
  <c r="AO5" i="41"/>
  <c r="AQ19" i="41"/>
  <c r="AQ27" i="60" s="1"/>
  <c r="AR20" i="41" l="1"/>
  <c r="AR28" i="60" s="1"/>
  <c r="AQ28" i="60"/>
  <c r="AO4" i="41"/>
  <c r="AP5" i="41"/>
  <c r="R5" i="38"/>
  <c r="AR19" i="41"/>
  <c r="AR27" i="60" s="1"/>
  <c r="R8" i="38" l="1"/>
  <c r="AP4" i="41"/>
  <c r="AQ5" i="41"/>
  <c r="AQ4" i="41" l="1"/>
  <c r="AR5" i="41"/>
  <c r="R28" i="38"/>
  <c r="AR4" i="41" l="1"/>
  <c r="S5" i="38"/>
  <c r="S8" i="38" l="1"/>
  <c r="S28" i="38" s="1"/>
  <c r="T5" i="38" l="1"/>
  <c r="T8" i="38" l="1"/>
  <c r="Y27" i="41"/>
  <c r="T28" i="38" l="1"/>
  <c r="AA27" i="41"/>
  <c r="Z27" i="41"/>
  <c r="U5" i="38" l="1"/>
  <c r="AB27" i="41"/>
  <c r="U8" i="38" l="1"/>
  <c r="U28" i="38" s="1"/>
  <c r="AC27" i="41"/>
  <c r="S43" i="55" l="1"/>
  <c r="V35" i="38"/>
  <c r="AD27" i="41"/>
  <c r="AE27" i="41" l="1"/>
  <c r="AF27" i="41" l="1"/>
  <c r="AG27" i="41" l="1"/>
  <c r="AH27" i="41" l="1"/>
  <c r="AI27" i="41" l="1"/>
  <c r="AJ27" i="41" l="1"/>
  <c r="AK27" i="41" l="1"/>
  <c r="AL27" i="41" l="1"/>
  <c r="AM27" i="41" l="1"/>
  <c r="AN27" i="41" l="1"/>
  <c r="AO27" i="41" l="1"/>
  <c r="AP27" i="41" l="1"/>
  <c r="AQ27" i="41" l="1"/>
  <c r="AR27" i="41" l="1"/>
  <c r="W28" i="41" l="1"/>
  <c r="W6" i="56" s="1"/>
  <c r="W15" i="56" s="1"/>
  <c r="W28" i="56" s="1"/>
  <c r="W9" i="57" l="1"/>
  <c r="X28" i="41"/>
  <c r="X6" i="56" s="1"/>
  <c r="X15" i="56" s="1"/>
  <c r="X28" i="56" s="1"/>
  <c r="X9" i="57" l="1"/>
  <c r="Y28" i="41"/>
  <c r="Y6" i="56" s="1"/>
  <c r="Y15" i="56" s="1"/>
  <c r="Y28" i="56" s="1"/>
  <c r="Y9" i="57" l="1"/>
  <c r="Z28" i="41"/>
  <c r="Z6" i="56" s="1"/>
  <c r="Z15" i="56" s="1"/>
  <c r="Z28" i="56" s="1"/>
  <c r="Z9" i="57" l="1"/>
  <c r="AA28" i="41"/>
  <c r="AA6" i="56" s="1"/>
  <c r="AA15" i="56" s="1"/>
  <c r="AA28" i="56" s="1"/>
  <c r="AA9" i="57" l="1"/>
  <c r="AB28" i="41"/>
  <c r="AC28" i="41" l="1"/>
  <c r="AD28" i="41"/>
  <c r="AE28" i="41" l="1"/>
  <c r="AF28" i="41" l="1"/>
  <c r="AG28" i="41" l="1"/>
  <c r="AH28" i="41" l="1"/>
  <c r="AI28" i="41" l="1"/>
  <c r="AJ28" i="41" l="1"/>
  <c r="AK28" i="41" l="1"/>
  <c r="AL28" i="41" l="1"/>
  <c r="AM28" i="41"/>
  <c r="AN28" i="41" l="1"/>
  <c r="AO28" i="41" l="1"/>
  <c r="AP28" i="41" l="1"/>
  <c r="AQ28" i="41" l="1"/>
  <c r="AR28" i="41" l="1"/>
  <c r="W22" i="41" l="1"/>
  <c r="W26" i="41" s="1"/>
  <c r="W29" i="41" l="1"/>
  <c r="W31" i="41" s="1"/>
  <c r="W5" i="56"/>
  <c r="W14" i="56" s="1"/>
  <c r="W27" i="56" s="1"/>
  <c r="X22" i="41"/>
  <c r="Y22" i="41" s="1"/>
  <c r="W30" i="60"/>
  <c r="W41" i="41" l="1"/>
  <c r="Y30" i="60"/>
  <c r="Y26" i="41"/>
  <c r="X30" i="60"/>
  <c r="X26" i="41"/>
  <c r="W33" i="60"/>
  <c r="W8" i="57"/>
  <c r="Z22" i="41"/>
  <c r="X29" i="41" l="1"/>
  <c r="X41" i="41" s="1"/>
  <c r="X5" i="56"/>
  <c r="X14" i="56" s="1"/>
  <c r="X27" i="56" s="1"/>
  <c r="Y29" i="41"/>
  <c r="Y31" i="41" s="1"/>
  <c r="Y5" i="56"/>
  <c r="Y14" i="56" s="1"/>
  <c r="Y27" i="56" s="1"/>
  <c r="X31" i="41"/>
  <c r="X33" i="60"/>
  <c r="Z30" i="60"/>
  <c r="Z26" i="41"/>
  <c r="X8" i="57"/>
  <c r="Y33" i="60"/>
  <c r="Y8" i="57"/>
  <c r="AA22" i="41"/>
  <c r="Y41" i="41" l="1"/>
  <c r="Z29" i="41"/>
  <c r="Z41" i="41" s="1"/>
  <c r="Z5" i="56"/>
  <c r="Z14" i="56" s="1"/>
  <c r="Z27" i="56" s="1"/>
  <c r="AA30" i="60"/>
  <c r="AA26" i="41"/>
  <c r="Z33" i="60"/>
  <c r="Z8" i="57"/>
  <c r="V26" i="60"/>
  <c r="V55" i="41"/>
  <c r="AB22" i="41"/>
  <c r="AB26" i="41" l="1"/>
  <c r="AB30" i="60"/>
  <c r="Z31" i="41"/>
  <c r="AA29" i="41"/>
  <c r="AA31" i="41" s="1"/>
  <c r="AA5" i="56"/>
  <c r="AA14" i="56" s="1"/>
  <c r="AA27" i="56" s="1"/>
  <c r="V56" i="41"/>
  <c r="V58" i="41" s="1"/>
  <c r="AA33" i="60"/>
  <c r="AA8" i="57"/>
  <c r="W26" i="60"/>
  <c r="W55" i="41"/>
  <c r="X26" i="60"/>
  <c r="AC22" i="41"/>
  <c r="AC26" i="41" l="1"/>
  <c r="AC30" i="60"/>
  <c r="AB29" i="41"/>
  <c r="AB33" i="60"/>
  <c r="AA41" i="41"/>
  <c r="W54" i="41"/>
  <c r="W57" i="41" s="1"/>
  <c r="V47" i="41"/>
  <c r="W56" i="41"/>
  <c r="W62" i="41" s="1"/>
  <c r="V62" i="41"/>
  <c r="X55" i="41"/>
  <c r="Y26" i="60"/>
  <c r="AD22" i="41"/>
  <c r="AB41" i="41" l="1"/>
  <c r="AB26" i="60"/>
  <c r="AB31" i="41"/>
  <c r="AD26" i="41"/>
  <c r="AD30" i="60"/>
  <c r="AC29" i="41"/>
  <c r="AC33" i="60"/>
  <c r="W58" i="41"/>
  <c r="X54" i="41" s="1"/>
  <c r="X56" i="41"/>
  <c r="X62" i="41" s="1"/>
  <c r="Y55" i="41"/>
  <c r="Z26" i="60"/>
  <c r="AE22" i="41"/>
  <c r="AD29" i="41" l="1"/>
  <c r="AD33" i="60"/>
  <c r="AC26" i="60"/>
  <c r="AC31" i="41"/>
  <c r="AC41" i="41"/>
  <c r="AE26" i="41"/>
  <c r="AE30" i="60"/>
  <c r="W47" i="41"/>
  <c r="Y56" i="41"/>
  <c r="Y62" i="41" s="1"/>
  <c r="Z55" i="41"/>
  <c r="X57" i="41"/>
  <c r="X58" i="41" s="1"/>
  <c r="AA26" i="60"/>
  <c r="AF22" i="41"/>
  <c r="AE29" i="41" l="1"/>
  <c r="AE33" i="60"/>
  <c r="AF26" i="41"/>
  <c r="AF30" i="60"/>
  <c r="AD26" i="60"/>
  <c r="AD31" i="41"/>
  <c r="AD41" i="41"/>
  <c r="Z56" i="41"/>
  <c r="Z62" i="41" s="1"/>
  <c r="AA55" i="41"/>
  <c r="Y54" i="41"/>
  <c r="X47" i="41"/>
  <c r="AG22" i="41"/>
  <c r="AG26" i="41" l="1"/>
  <c r="AG30" i="60"/>
  <c r="AF29" i="41"/>
  <c r="AF33" i="60"/>
  <c r="AE26" i="60"/>
  <c r="AE31" i="41"/>
  <c r="AE41" i="41"/>
  <c r="AA56" i="41"/>
  <c r="AA62" i="41" s="1"/>
  <c r="Y57" i="41"/>
  <c r="Y58" i="41" s="1"/>
  <c r="AH22" i="41"/>
  <c r="AH26" i="41" l="1"/>
  <c r="AH30" i="60"/>
  <c r="AF26" i="60"/>
  <c r="AF31" i="41"/>
  <c r="AF41" i="41"/>
  <c r="AG29" i="41"/>
  <c r="AG33" i="60"/>
  <c r="Z54" i="41"/>
  <c r="Z57" i="41" s="1"/>
  <c r="Z58" i="41" s="1"/>
  <c r="Y47" i="41"/>
  <c r="AI22" i="41"/>
  <c r="AI26" i="41" l="1"/>
  <c r="AI30" i="60"/>
  <c r="AG41" i="41"/>
  <c r="AG26" i="60"/>
  <c r="AG31" i="41"/>
  <c r="AH29" i="41"/>
  <c r="AH33" i="60"/>
  <c r="AA54" i="41"/>
  <c r="Z47" i="41"/>
  <c r="AJ22" i="41"/>
  <c r="AJ26" i="41" l="1"/>
  <c r="AJ30" i="60"/>
  <c r="AH26" i="60"/>
  <c r="AH31" i="41"/>
  <c r="AH41" i="41"/>
  <c r="AI29" i="41"/>
  <c r="AI33" i="60"/>
  <c r="AA57" i="41"/>
  <c r="AA58" i="41" s="1"/>
  <c r="AK22" i="41"/>
  <c r="AI41" i="41" l="1"/>
  <c r="AI26" i="60"/>
  <c r="AI31" i="41"/>
  <c r="AK26" i="41"/>
  <c r="AK30" i="60"/>
  <c r="AJ29" i="41"/>
  <c r="AJ33" i="60"/>
  <c r="AA47" i="41"/>
  <c r="AB54" i="41"/>
  <c r="AL22" i="41"/>
  <c r="AL26" i="41" l="1"/>
  <c r="AL30" i="60"/>
  <c r="AK29" i="41"/>
  <c r="AK33" i="60"/>
  <c r="AJ26" i="60"/>
  <c r="AJ41" i="41"/>
  <c r="AJ31" i="41"/>
  <c r="AB57" i="41"/>
  <c r="AM22" i="41"/>
  <c r="AM26" i="41" l="1"/>
  <c r="AM30" i="60"/>
  <c r="AK26" i="60"/>
  <c r="AK31" i="41"/>
  <c r="AK41" i="41"/>
  <c r="AL29" i="41"/>
  <c r="AL33" i="60"/>
  <c r="AN22" i="41"/>
  <c r="AL26" i="60" l="1"/>
  <c r="AL41" i="41"/>
  <c r="AL31" i="41"/>
  <c r="AN26" i="41"/>
  <c r="AN30" i="60"/>
  <c r="AM29" i="41"/>
  <c r="AM33" i="60"/>
  <c r="AO22" i="41"/>
  <c r="AM41" i="41" l="1"/>
  <c r="AM26" i="60"/>
  <c r="AM31" i="41"/>
  <c r="AN29" i="41"/>
  <c r="AN33" i="60"/>
  <c r="AO26" i="41"/>
  <c r="AO30" i="60"/>
  <c r="AP22" i="41"/>
  <c r="AO29" i="41" l="1"/>
  <c r="AO33" i="60"/>
  <c r="AN41" i="41"/>
  <c r="AN26" i="60"/>
  <c r="AN31" i="41"/>
  <c r="AP26" i="41"/>
  <c r="AP30" i="60"/>
  <c r="AQ22" i="41"/>
  <c r="AP29" i="41" l="1"/>
  <c r="AP33" i="60"/>
  <c r="AQ26" i="41"/>
  <c r="AQ30" i="60"/>
  <c r="AO41" i="41"/>
  <c r="AO26" i="60"/>
  <c r="AO31" i="41"/>
  <c r="AR22" i="41"/>
  <c r="AQ29" i="41" l="1"/>
  <c r="AQ33" i="60"/>
  <c r="AR26" i="41"/>
  <c r="AR30" i="60"/>
  <c r="AP41" i="41"/>
  <c r="AP26" i="60"/>
  <c r="AP31" i="41"/>
  <c r="V55" i="38"/>
  <c r="W32" i="38" s="1"/>
  <c r="AR29" i="41" l="1"/>
  <c r="AR33" i="60"/>
  <c r="AQ41" i="41"/>
  <c r="AQ26" i="60"/>
  <c r="AQ31" i="41"/>
  <c r="V33" i="41"/>
  <c r="W35" i="38"/>
  <c r="AR41" i="41" l="1"/>
  <c r="AR26" i="60"/>
  <c r="AR31" i="41"/>
  <c r="W55" i="38"/>
  <c r="X32" i="38" s="1"/>
  <c r="W33" i="41" l="1"/>
  <c r="X35" i="38"/>
  <c r="X55" i="38" l="1"/>
  <c r="Y32" i="38" s="1"/>
  <c r="X33" i="41" l="1"/>
  <c r="Y35" i="38"/>
  <c r="Y55" i="38" l="1"/>
  <c r="Z32" i="38" s="1"/>
  <c r="Y33" i="41" l="1"/>
  <c r="Z35" i="38"/>
  <c r="Z55" i="38" l="1"/>
  <c r="AA32" i="38" s="1"/>
  <c r="Z33" i="41" l="1"/>
  <c r="AA35" i="38"/>
  <c r="U43" i="55"/>
  <c r="V43" i="55" s="1"/>
  <c r="U49" i="41" l="1"/>
  <c r="U51" i="55"/>
  <c r="V51" i="55"/>
  <c r="AA55" i="38"/>
  <c r="AB32" i="38" s="1"/>
  <c r="U35" i="41" l="1"/>
  <c r="U42" i="41" s="1"/>
  <c r="AA33" i="41"/>
  <c r="V49" i="41"/>
  <c r="AB35" i="38"/>
  <c r="AA42" i="41" l="1"/>
  <c r="AN48" i="41"/>
  <c r="AB48" i="41"/>
  <c r="X48" i="41"/>
  <c r="AC48" i="41"/>
  <c r="W48" i="41"/>
  <c r="Y48" i="41"/>
  <c r="AG48" i="41"/>
  <c r="Z48" i="41"/>
  <c r="AH48" i="41"/>
  <c r="AM48" i="41"/>
  <c r="AP48" i="41"/>
  <c r="AL48" i="41"/>
  <c r="AE48" i="41"/>
  <c r="AQ48" i="41"/>
  <c r="AO48" i="41"/>
  <c r="U52" i="41"/>
  <c r="U4" i="56" s="1"/>
  <c r="U13" i="56" s="1"/>
  <c r="U20" i="56" s="1"/>
  <c r="AK48" i="41"/>
  <c r="AF48" i="41"/>
  <c r="AD48" i="41"/>
  <c r="AI48" i="41"/>
  <c r="AJ48" i="41"/>
  <c r="AR48" i="41"/>
  <c r="V48" i="41"/>
  <c r="V50" i="41" s="1"/>
  <c r="V8" i="56" s="1"/>
  <c r="V17" i="56" s="1"/>
  <c r="V41" i="56" s="1"/>
  <c r="AA48" i="41"/>
  <c r="V34" i="60"/>
  <c r="AB55" i="38"/>
  <c r="AC32" i="38" s="1"/>
  <c r="U63" i="41" l="1"/>
  <c r="V60" i="41" s="1"/>
  <c r="V48" i="56"/>
  <c r="AB33" i="41"/>
  <c r="AB34" i="60" s="1"/>
  <c r="AC35" i="38"/>
  <c r="AC55" i="38" s="1"/>
  <c r="AD32" i="38" s="1"/>
  <c r="W49" i="41"/>
  <c r="V52" i="41"/>
  <c r="W34" i="60"/>
  <c r="V66" i="41" l="1"/>
  <c r="V67" i="41" s="1"/>
  <c r="V4" i="56"/>
  <c r="V13" i="56" s="1"/>
  <c r="V20" i="56" s="1"/>
  <c r="V61" i="41"/>
  <c r="V63" i="41" s="1"/>
  <c r="W60" i="41" s="1"/>
  <c r="AC33" i="41"/>
  <c r="AC34" i="60" s="1"/>
  <c r="W50" i="41"/>
  <c r="W8" i="56" s="1"/>
  <c r="W17" i="56" s="1"/>
  <c r="W41" i="56" s="1"/>
  <c r="AD35" i="38"/>
  <c r="V21" i="56" l="1"/>
  <c r="V58" i="56" s="1"/>
  <c r="W48" i="56"/>
  <c r="W61" i="41"/>
  <c r="W63" i="41" s="1"/>
  <c r="X60" i="41" s="1"/>
  <c r="X61" i="41" s="1"/>
  <c r="W52" i="41"/>
  <c r="X34" i="60"/>
  <c r="X49" i="41"/>
  <c r="W66" i="41" l="1"/>
  <c r="W67" i="41" s="1"/>
  <c r="W4" i="56"/>
  <c r="W13" i="56" s="1"/>
  <c r="W20" i="56" s="1"/>
  <c r="X48" i="56" s="1"/>
  <c r="V23" i="56"/>
  <c r="V25" i="56" s="1"/>
  <c r="V10" i="57" s="1"/>
  <c r="X63" i="41"/>
  <c r="Y60" i="41" s="1"/>
  <c r="AD55" i="38"/>
  <c r="AE32" i="38" s="1"/>
  <c r="X50" i="41"/>
  <c r="X8" i="56" s="1"/>
  <c r="X17" i="56" s="1"/>
  <c r="X41" i="56" s="1"/>
  <c r="Y61" i="41" l="1"/>
  <c r="Y63" i="41" s="1"/>
  <c r="Z60" i="41" s="1"/>
  <c r="W21" i="56"/>
  <c r="W23" i="56" s="1"/>
  <c r="AD33" i="41"/>
  <c r="AD34" i="60" s="1"/>
  <c r="X52" i="41"/>
  <c r="AE35" i="38"/>
  <c r="X66" i="41" l="1"/>
  <c r="X67" i="41" s="1"/>
  <c r="X4" i="56"/>
  <c r="X13" i="56" s="1"/>
  <c r="X20" i="56" s="1"/>
  <c r="Y48" i="56" s="1"/>
  <c r="Z61" i="41"/>
  <c r="Z63" i="41" s="1"/>
  <c r="AA60" i="41" s="1"/>
  <c r="W58" i="56"/>
  <c r="Y34" i="60"/>
  <c r="Y49" i="41"/>
  <c r="AA61" i="41" l="1"/>
  <c r="AA63" i="41" s="1"/>
  <c r="AB60" i="41" s="1"/>
  <c r="AB61" i="41" s="1"/>
  <c r="X21" i="56"/>
  <c r="X23" i="56" s="1"/>
  <c r="W25" i="56"/>
  <c r="W54" i="56"/>
  <c r="W57" i="56" s="1"/>
  <c r="W59" i="56" s="1"/>
  <c r="W66" i="56" s="1"/>
  <c r="Y50" i="41"/>
  <c r="Y8" i="56" s="1"/>
  <c r="Y17" i="56" s="1"/>
  <c r="Y41" i="56" s="1"/>
  <c r="W30" i="56" l="1"/>
  <c r="W10" i="57"/>
  <c r="W12" i="57" s="1"/>
  <c r="W21" i="57" s="1"/>
  <c r="X58" i="56"/>
  <c r="Y52" i="41"/>
  <c r="Y66" i="41" l="1"/>
  <c r="Y67" i="41" s="1"/>
  <c r="Y4" i="56"/>
  <c r="Y13" i="56" s="1"/>
  <c r="Y20" i="56" s="1"/>
  <c r="Z48" i="56" s="1"/>
  <c r="X25" i="56"/>
  <c r="X54" i="56"/>
  <c r="X57" i="56" s="1"/>
  <c r="X59" i="56" s="1"/>
  <c r="X66" i="56" s="1"/>
  <c r="W34" i="56"/>
  <c r="W36" i="56" s="1"/>
  <c r="W42" i="56"/>
  <c r="W44" i="56" s="1"/>
  <c r="W50" i="56" s="1"/>
  <c r="Y21" i="56" l="1"/>
  <c r="X10" i="57"/>
  <c r="X12" i="57" s="1"/>
  <c r="X21" i="57" s="1"/>
  <c r="X30" i="56"/>
  <c r="AB55" i="41"/>
  <c r="Y58" i="56" l="1"/>
  <c r="Y23" i="56"/>
  <c r="Y25" i="56" s="1"/>
  <c r="AB56" i="41"/>
  <c r="AB58" i="41" s="1"/>
  <c r="X42" i="56"/>
  <c r="X44" i="56" s="1"/>
  <c r="X50" i="56" s="1"/>
  <c r="X34" i="56"/>
  <c r="X36" i="56" s="1"/>
  <c r="AC55" i="41"/>
  <c r="AB47" i="41" l="1"/>
  <c r="AC54" i="41"/>
  <c r="AC57" i="41" s="1"/>
  <c r="AB62" i="41"/>
  <c r="AB63" i="41" s="1"/>
  <c r="AC60" i="41" s="1"/>
  <c r="AC56" i="41"/>
  <c r="AC62" i="41" s="1"/>
  <c r="Y54" i="56"/>
  <c r="Y57" i="56" s="1"/>
  <c r="Y59" i="56" s="1"/>
  <c r="Y66" i="56" s="1"/>
  <c r="Y10" i="57"/>
  <c r="Y12" i="57" s="1"/>
  <c r="Y21" i="57" s="1"/>
  <c r="Y30" i="56"/>
  <c r="AD55" i="41"/>
  <c r="AD56" i="41" l="1"/>
  <c r="AD62" i="41" s="1"/>
  <c r="AC61" i="41"/>
  <c r="AC63" i="41" s="1"/>
  <c r="AD60" i="41" s="1"/>
  <c r="AC58" i="41"/>
  <c r="AD54" i="41" s="1"/>
  <c r="AD57" i="41" s="1"/>
  <c r="Y34" i="56"/>
  <c r="Y36" i="56" s="1"/>
  <c r="Y42" i="56"/>
  <c r="Y44" i="56" s="1"/>
  <c r="Y50" i="56" s="1"/>
  <c r="AE55" i="41"/>
  <c r="AD58" i="41" l="1"/>
  <c r="AE54" i="41" s="1"/>
  <c r="AC47" i="41"/>
  <c r="AD61" i="41"/>
  <c r="AD63" i="41" s="1"/>
  <c r="AE60" i="41" s="1"/>
  <c r="AE56" i="41"/>
  <c r="AE62" i="41" s="1"/>
  <c r="AF55" i="41"/>
  <c r="AD47" i="41" l="1"/>
  <c r="AE61" i="41"/>
  <c r="AE63" i="41" s="1"/>
  <c r="AF60" i="41" s="1"/>
  <c r="AF56" i="41"/>
  <c r="AF62" i="41" s="1"/>
  <c r="AH55" i="41"/>
  <c r="AG55" i="41"/>
  <c r="AE57" i="41"/>
  <c r="AE58" i="41" s="1"/>
  <c r="AH56" i="41" l="1"/>
  <c r="AH62" i="41" s="1"/>
  <c r="AG56" i="41"/>
  <c r="AG62" i="41" s="1"/>
  <c r="AF61" i="41"/>
  <c r="AF63" i="41" s="1"/>
  <c r="AG60" i="41" s="1"/>
  <c r="AI55" i="41"/>
  <c r="AF54" i="41"/>
  <c r="AE47" i="41"/>
  <c r="AI56" i="41" l="1"/>
  <c r="AI62" i="41" s="1"/>
  <c r="AG61" i="41"/>
  <c r="AG63" i="41" s="1"/>
  <c r="AH60" i="41" s="1"/>
  <c r="AJ55" i="41"/>
  <c r="AF57" i="41"/>
  <c r="AF58" i="41" s="1"/>
  <c r="AH61" i="41" l="1"/>
  <c r="AH63" i="41" s="1"/>
  <c r="AI60" i="41" s="1"/>
  <c r="AI61" i="41" s="1"/>
  <c r="AI63" i="41" s="1"/>
  <c r="AJ60" i="41" s="1"/>
  <c r="AJ61" i="41" s="1"/>
  <c r="AJ56" i="41"/>
  <c r="AJ62" i="41" s="1"/>
  <c r="AK55" i="41"/>
  <c r="AG54" i="41"/>
  <c r="AF47" i="41"/>
  <c r="AK56" i="41" l="1"/>
  <c r="AK62" i="41" s="1"/>
  <c r="AJ63" i="41"/>
  <c r="AK60" i="41" s="1"/>
  <c r="AK61" i="41" s="1"/>
  <c r="AG57" i="41"/>
  <c r="AG58" i="41" s="1"/>
  <c r="AK63" i="41" l="1"/>
  <c r="AL60" i="41" s="1"/>
  <c r="AL61" i="41" s="1"/>
  <c r="AL55" i="41"/>
  <c r="AM55" i="41"/>
  <c r="AH54" i="41"/>
  <c r="AG47" i="41"/>
  <c r="AM56" i="41" l="1"/>
  <c r="AM62" i="41" s="1"/>
  <c r="AL56" i="41"/>
  <c r="AL62" i="41" s="1"/>
  <c r="AL63" i="41" s="1"/>
  <c r="AM60" i="41" s="1"/>
  <c r="AM61" i="41" s="1"/>
  <c r="AN55" i="41"/>
  <c r="AH57" i="41"/>
  <c r="AH58" i="41" s="1"/>
  <c r="AM63" i="41" l="1"/>
  <c r="AN60" i="41" s="1"/>
  <c r="AN61" i="41" s="1"/>
  <c r="AN56" i="41"/>
  <c r="AN62" i="41" s="1"/>
  <c r="AO55" i="41"/>
  <c r="AI54" i="41"/>
  <c r="AH47" i="41"/>
  <c r="AN63" i="41" l="1"/>
  <c r="AO60" i="41" s="1"/>
  <c r="AO61" i="41" s="1"/>
  <c r="AO56" i="41"/>
  <c r="AO62" i="41" s="1"/>
  <c r="AP55" i="41"/>
  <c r="AI57" i="41"/>
  <c r="AI58" i="41" s="1"/>
  <c r="AO63" i="41" l="1"/>
  <c r="AP60" i="41" s="1"/>
  <c r="AP61" i="41" s="1"/>
  <c r="AP56" i="41"/>
  <c r="AP62" i="41" s="1"/>
  <c r="AQ55" i="41"/>
  <c r="AJ54" i="41"/>
  <c r="AI47" i="41"/>
  <c r="AP63" i="41" l="1"/>
  <c r="AQ60" i="41" s="1"/>
  <c r="AQ61" i="41" s="1"/>
  <c r="AQ56" i="41"/>
  <c r="AQ62" i="41" s="1"/>
  <c r="AJ57" i="41"/>
  <c r="AJ58" i="41" s="1"/>
  <c r="AR55" i="41"/>
  <c r="AQ63" i="41" l="1"/>
  <c r="AR60" i="41" s="1"/>
  <c r="AR61" i="41" s="1"/>
  <c r="AR56" i="41"/>
  <c r="AR62" i="41" s="1"/>
  <c r="AK54" i="41"/>
  <c r="AJ47" i="41"/>
  <c r="AR63" i="41" l="1"/>
  <c r="AK57" i="41"/>
  <c r="AK58" i="41" s="1"/>
  <c r="AL54" i="41" l="1"/>
  <c r="AK47" i="41"/>
  <c r="AL57" i="41" l="1"/>
  <c r="AL58" i="41" s="1"/>
  <c r="AM54" i="41" l="1"/>
  <c r="AL47" i="41"/>
  <c r="U31" i="41"/>
  <c r="AM57" i="41" l="1"/>
  <c r="AM58" i="41" s="1"/>
  <c r="AN54" i="41" l="1"/>
  <c r="AM47" i="41"/>
  <c r="AN57" i="41" l="1"/>
  <c r="AN58" i="41" s="1"/>
  <c r="AO54" i="41" l="1"/>
  <c r="AO57" i="41" s="1"/>
  <c r="AO58" i="41" s="1"/>
  <c r="AN47" i="41"/>
  <c r="AP54" i="41" l="1"/>
  <c r="AO47" i="41"/>
  <c r="AP57" i="41" l="1"/>
  <c r="AP58" i="41" s="1"/>
  <c r="AQ54" i="41" l="1"/>
  <c r="AP47" i="41"/>
  <c r="AQ57" i="41" l="1"/>
  <c r="AQ58" i="41" s="1"/>
  <c r="AR54" i="41" l="1"/>
  <c r="AQ47" i="41"/>
  <c r="AR57" i="41" l="1"/>
  <c r="AR58" i="41" s="1"/>
  <c r="AR47" i="41" l="1"/>
  <c r="AE55" i="38" l="1"/>
  <c r="AF32" i="38" s="1"/>
  <c r="AE33" i="41" l="1"/>
  <c r="AE34" i="60" s="1"/>
  <c r="AF35" i="38"/>
  <c r="AF55" i="38" l="1"/>
  <c r="AG32" i="38" s="1"/>
  <c r="AF33" i="41" l="1"/>
  <c r="AF34" i="60" s="1"/>
  <c r="AG35" i="38"/>
  <c r="Z49" i="41"/>
  <c r="Z34" i="60"/>
  <c r="AA34" i="60"/>
  <c r="AG55" i="38" l="1"/>
  <c r="AH32" i="38" s="1"/>
  <c r="Z50" i="41"/>
  <c r="Z8" i="56" s="1"/>
  <c r="Z17" i="56" s="1"/>
  <c r="Z41" i="56" s="1"/>
  <c r="AB49" i="41"/>
  <c r="AA49" i="41"/>
  <c r="AA50" i="41" s="1"/>
  <c r="AA8" i="56" s="1"/>
  <c r="AA17" i="56" s="1"/>
  <c r="AA43" i="41"/>
  <c r="AA41" i="56" l="1"/>
  <c r="AG33" i="41"/>
  <c r="AG34" i="60" s="1"/>
  <c r="AB50" i="41"/>
  <c r="AB52" i="41" s="1"/>
  <c r="Z52" i="41"/>
  <c r="AA44" i="41"/>
  <c r="AA39" i="41" s="1"/>
  <c r="Z66" i="41" l="1"/>
  <c r="Z67" i="41" s="1"/>
  <c r="Z4" i="56"/>
  <c r="Z13" i="56" s="1"/>
  <c r="Z20" i="56" s="1"/>
  <c r="AA48" i="56" s="1"/>
  <c r="AH35" i="38"/>
  <c r="AH55" i="38" s="1"/>
  <c r="AI32" i="38" s="1"/>
  <c r="AC49" i="41"/>
  <c r="AC50" i="41" s="1"/>
  <c r="AC52" i="41" s="1"/>
  <c r="AA36" i="60"/>
  <c r="AA52" i="41"/>
  <c r="AA66" i="41" l="1"/>
  <c r="AA67" i="41" s="1"/>
  <c r="AA4" i="56"/>
  <c r="AA13" i="56" s="1"/>
  <c r="AA20" i="56" s="1"/>
  <c r="Z21" i="56"/>
  <c r="Z23" i="56" s="1"/>
  <c r="AH33" i="41"/>
  <c r="AH34" i="60" s="1"/>
  <c r="AD49" i="41"/>
  <c r="AD50" i="41" s="1"/>
  <c r="AD52" i="41" s="1"/>
  <c r="AG42" i="41"/>
  <c r="AA35" i="60"/>
  <c r="AA21" i="56" l="1"/>
  <c r="Z58" i="56"/>
  <c r="Z25" i="56"/>
  <c r="Z54" i="56"/>
  <c r="Z57" i="56" s="1"/>
  <c r="AI35" i="38"/>
  <c r="AI55" i="38" s="1"/>
  <c r="AJ32" i="38" s="1"/>
  <c r="AE49" i="41"/>
  <c r="AE50" i="41" s="1"/>
  <c r="AE52" i="41" s="1"/>
  <c r="AA58" i="56" l="1"/>
  <c r="AA23" i="56"/>
  <c r="AA25" i="56" s="1"/>
  <c r="AA10" i="57" s="1"/>
  <c r="AA12" i="57" s="1"/>
  <c r="AA21" i="57" s="1"/>
  <c r="Z59" i="56"/>
  <c r="Z66" i="56" s="1"/>
  <c r="Z10" i="57"/>
  <c r="Z12" i="57" s="1"/>
  <c r="Z21" i="57" s="1"/>
  <c r="Z30" i="56"/>
  <c r="AI33" i="41"/>
  <c r="AI34" i="60" s="1"/>
  <c r="AF49" i="41"/>
  <c r="AF50" i="41" s="1"/>
  <c r="AF52" i="41" s="1"/>
  <c r="AA30" i="56" l="1"/>
  <c r="AA42" i="56" s="1"/>
  <c r="AA44" i="56" s="1"/>
  <c r="AA50" i="56" s="1"/>
  <c r="AA54" i="56"/>
  <c r="AA57" i="56" s="1"/>
  <c r="AA59" i="56" s="1"/>
  <c r="AA66" i="56" s="1"/>
  <c r="Z42" i="56"/>
  <c r="Z44" i="56" s="1"/>
  <c r="Z50" i="56" s="1"/>
  <c r="Z34" i="56"/>
  <c r="Z36" i="56" s="1"/>
  <c r="AJ35" i="38"/>
  <c r="AJ55" i="38" s="1"/>
  <c r="AK32" i="38" s="1"/>
  <c r="AG49" i="41"/>
  <c r="AA34" i="56" l="1"/>
  <c r="AA36" i="56" s="1"/>
  <c r="AJ33" i="41"/>
  <c r="AJ34" i="60" s="1"/>
  <c r="AG43" i="41"/>
  <c r="AG44" i="41" s="1"/>
  <c r="AG36" i="60" s="1"/>
  <c r="AH49" i="41"/>
  <c r="AH50" i="41" s="1"/>
  <c r="AH52" i="41" s="1"/>
  <c r="AG50" i="41"/>
  <c r="AG52" i="41" s="1"/>
  <c r="AK35" i="38" l="1"/>
  <c r="AK55" i="38" s="1"/>
  <c r="AL32" i="38" s="1"/>
  <c r="AG39" i="41"/>
  <c r="AI49" i="41"/>
  <c r="AI50" i="41" s="1"/>
  <c r="AI52" i="41" s="1"/>
  <c r="AM42" i="41" l="1"/>
  <c r="AG35" i="60"/>
  <c r="AK33" i="41"/>
  <c r="AK34" i="60" s="1"/>
  <c r="AJ49" i="41"/>
  <c r="AJ50" i="41" s="1"/>
  <c r="AJ52" i="41" s="1"/>
  <c r="AL35" i="38" l="1"/>
  <c r="AL55" i="38" s="1"/>
  <c r="AM32" i="38" s="1"/>
  <c r="AK49" i="41"/>
  <c r="AK50" i="41" s="1"/>
  <c r="AK52" i="41" s="1"/>
  <c r="AL33" i="41" l="1"/>
  <c r="AL49" i="41" l="1"/>
  <c r="AL50" i="41" s="1"/>
  <c r="AL52" i="41" s="1"/>
  <c r="AL34" i="60"/>
  <c r="AM35" i="38"/>
  <c r="AM55" i="38" s="1"/>
  <c r="AN32" i="38" s="1"/>
  <c r="AM33" i="41" l="1"/>
  <c r="AM43" i="41" l="1"/>
  <c r="AM44" i="41" s="1"/>
  <c r="AM39" i="41" s="1"/>
  <c r="AM34" i="60"/>
  <c r="AM49" i="41"/>
  <c r="AM50" i="41" s="1"/>
  <c r="AM52" i="41" s="1"/>
  <c r="AN35" i="38"/>
  <c r="AN55" i="38" s="1"/>
  <c r="AO32" i="38" s="1"/>
  <c r="AM36" i="60" l="1"/>
  <c r="AR42" i="41"/>
  <c r="AM35" i="60"/>
  <c r="AN33" i="41"/>
  <c r="AN49" i="41" l="1"/>
  <c r="AN50" i="41" s="1"/>
  <c r="AN52" i="41" s="1"/>
  <c r="AN34" i="60"/>
  <c r="AO35" i="38"/>
  <c r="AO55" i="38" s="1"/>
  <c r="AP32" i="38" s="1"/>
  <c r="AO33" i="41" l="1"/>
  <c r="AO49" i="41" l="1"/>
  <c r="AO50" i="41" s="1"/>
  <c r="AO52" i="41" s="1"/>
  <c r="AO34" i="60"/>
  <c r="AP35" i="38"/>
  <c r="AP55" i="38" s="1"/>
  <c r="AQ32" i="38" s="1"/>
  <c r="V54" i="56"/>
  <c r="V30" i="56"/>
  <c r="V57" i="56" l="1"/>
  <c r="AP33" i="41"/>
  <c r="V42" i="56"/>
  <c r="V34" i="56"/>
  <c r="V12" i="57"/>
  <c r="V21" i="57" s="1"/>
  <c r="V22" i="57" s="1"/>
  <c r="W19" i="57" s="1"/>
  <c r="AP49" i="41" l="1"/>
  <c r="AP50" i="41" s="1"/>
  <c r="AP52" i="41" s="1"/>
  <c r="AP34" i="60"/>
  <c r="V36" i="56"/>
  <c r="V44" i="56"/>
  <c r="V50" i="56" s="1"/>
  <c r="AQ35" i="38"/>
  <c r="AQ55" i="38" s="1"/>
  <c r="AR32" i="38" s="1"/>
  <c r="V59" i="56"/>
  <c r="V66" i="56" l="1"/>
  <c r="AB66" i="56" s="1"/>
  <c r="AQ33" i="41"/>
  <c r="V24" i="57"/>
  <c r="V25" i="57" s="1"/>
  <c r="AQ49" i="41" l="1"/>
  <c r="AQ50" i="41" s="1"/>
  <c r="AQ52" i="41" s="1"/>
  <c r="AQ34" i="60"/>
  <c r="AR35" i="38"/>
  <c r="AR55" i="38" s="1"/>
  <c r="W16" i="57"/>
  <c r="W24" i="57" s="1"/>
  <c r="W25" i="57" s="1"/>
  <c r="W29" i="56" s="1"/>
  <c r="W31" i="56" s="1"/>
  <c r="W15" i="57"/>
  <c r="V29" i="56"/>
  <c r="V31" i="56" l="1"/>
  <c r="V33" i="56" s="1"/>
  <c r="AR33" i="41"/>
  <c r="AR34" i="60" s="1"/>
  <c r="W20" i="57"/>
  <c r="W22" i="57" s="1"/>
  <c r="X19" i="57" s="1"/>
  <c r="X15" i="57" s="1"/>
  <c r="W39" i="56"/>
  <c r="W43" i="56" s="1"/>
  <c r="W53" i="56"/>
  <c r="W55" i="56" s="1"/>
  <c r="W65" i="56" s="1"/>
  <c r="W33" i="56"/>
  <c r="W35" i="56" s="1"/>
  <c r="W37" i="56" s="1"/>
  <c r="W62" i="56" s="1"/>
  <c r="W45" i="56" l="1"/>
  <c r="W63" i="56" s="1"/>
  <c r="W47" i="56"/>
  <c r="W49" i="56" s="1"/>
  <c r="W51" i="56" s="1"/>
  <c r="W64" i="56" s="1"/>
  <c r="V53" i="56"/>
  <c r="V55" i="56" s="1"/>
  <c r="V35" i="56"/>
  <c r="V39" i="56"/>
  <c r="U36" i="41"/>
  <c r="U37" i="41" s="1"/>
  <c r="AR43" i="41"/>
  <c r="AR44" i="41" s="1"/>
  <c r="AR49" i="41"/>
  <c r="AR50" i="41" s="1"/>
  <c r="AR52" i="41" s="1"/>
  <c r="X16" i="57"/>
  <c r="AR39" i="41" l="1"/>
  <c r="AR35" i="60" s="1"/>
  <c r="AR36" i="60"/>
  <c r="V65" i="56"/>
  <c r="V43" i="56"/>
  <c r="V47" i="56" s="1"/>
  <c r="V49" i="56" s="1"/>
  <c r="V51" i="56" s="1"/>
  <c r="V64" i="56" s="1"/>
  <c r="V37" i="56"/>
  <c r="X20" i="57"/>
  <c r="X22" i="57" s="1"/>
  <c r="Y19" i="57" s="1"/>
  <c r="X24" i="57"/>
  <c r="X25" i="57" s="1"/>
  <c r="X29" i="56" s="1"/>
  <c r="X31" i="56" l="1"/>
  <c r="X39" i="56" s="1"/>
  <c r="V45" i="56"/>
  <c r="V62" i="56"/>
  <c r="Y15" i="57"/>
  <c r="Y16" i="57" s="1"/>
  <c r="Y20" i="57" s="1"/>
  <c r="Y22" i="57" s="1"/>
  <c r="Z19" i="57" s="1"/>
  <c r="Y24" i="57"/>
  <c r="Y25" i="57" s="1"/>
  <c r="Y29" i="56" s="1"/>
  <c r="Y31" i="56" s="1"/>
  <c r="X33" i="56" l="1"/>
  <c r="X35" i="56" s="1"/>
  <c r="X53" i="56"/>
  <c r="X55" i="56" s="1"/>
  <c r="X43" i="56"/>
  <c r="X47" i="56" s="1"/>
  <c r="X49" i="56" s="1"/>
  <c r="X51" i="56" s="1"/>
  <c r="X64" i="56" s="1"/>
  <c r="V63" i="56"/>
  <c r="Y33" i="56"/>
  <c r="Y35" i="56" s="1"/>
  <c r="Y37" i="56" s="1"/>
  <c r="Y62" i="56" s="1"/>
  <c r="Y39" i="56"/>
  <c r="Y43" i="56" s="1"/>
  <c r="Y53" i="56"/>
  <c r="Y55" i="56" s="1"/>
  <c r="Y65" i="56" s="1"/>
  <c r="Z16" i="57"/>
  <c r="Y45" i="56" l="1"/>
  <c r="Y63" i="56" s="1"/>
  <c r="Y47" i="56"/>
  <c r="Y49" i="56" s="1"/>
  <c r="Y51" i="56" s="1"/>
  <c r="Y64" i="56" s="1"/>
  <c r="X65" i="56"/>
  <c r="X37" i="56"/>
  <c r="X45" i="56"/>
  <c r="Z20" i="57"/>
  <c r="Z22" i="57" s="1"/>
  <c r="AA19" i="57" s="1"/>
  <c r="AA16" i="57" s="1"/>
  <c r="Z24" i="57"/>
  <c r="Z25" i="57" s="1"/>
  <c r="Z29" i="56" s="1"/>
  <c r="Z15" i="57"/>
  <c r="X63" i="56" l="1"/>
  <c r="Z31" i="56"/>
  <c r="Z39" i="56" s="1"/>
  <c r="X62" i="56"/>
  <c r="AA20" i="57"/>
  <c r="AA22" i="57" s="1"/>
  <c r="AA24" i="57"/>
  <c r="AA25" i="57" s="1"/>
  <c r="AA29" i="56" s="1"/>
  <c r="AA31" i="56" s="1"/>
  <c r="AA15" i="57"/>
  <c r="Z43" i="56" l="1"/>
  <c r="Z47" i="56" s="1"/>
  <c r="Z49" i="56" s="1"/>
  <c r="Z51" i="56" s="1"/>
  <c r="Z64" i="56" s="1"/>
  <c r="Z33" i="56"/>
  <c r="Z53" i="56"/>
  <c r="AA39" i="56"/>
  <c r="AA43" i="56" s="1"/>
  <c r="AA33" i="56"/>
  <c r="AA35" i="56" s="1"/>
  <c r="AA37" i="56" s="1"/>
  <c r="AA62" i="56" s="1"/>
  <c r="AA53" i="56"/>
  <c r="AA55" i="56" s="1"/>
  <c r="AA65" i="56" s="1"/>
  <c r="AA45" i="56" l="1"/>
  <c r="AA63" i="56" s="1"/>
  <c r="AA47" i="56"/>
  <c r="AA49" i="56" s="1"/>
  <c r="AA51" i="56" s="1"/>
  <c r="AA64" i="56" s="1"/>
  <c r="AB64" i="56" s="1"/>
  <c r="Z55" i="56"/>
  <c r="Z45" i="56"/>
  <c r="Z35" i="56"/>
  <c r="Z65" i="56" l="1"/>
  <c r="AB65" i="56" s="1"/>
  <c r="Z63" i="56"/>
  <c r="AB63" i="56" s="1"/>
  <c r="Z37" i="56"/>
  <c r="Z62" i="56" l="1"/>
  <c r="AB62" i="56" s="1"/>
</calcChain>
</file>

<file path=xl/sharedStrings.xml><?xml version="1.0" encoding="utf-8"?>
<sst xmlns="http://schemas.openxmlformats.org/spreadsheetml/2006/main" count="624" uniqueCount="342">
  <si>
    <t>TRV</t>
  </si>
  <si>
    <t>DAV</t>
  </si>
  <si>
    <t>PA</t>
  </si>
  <si>
    <t>Capex</t>
  </si>
  <si>
    <t>Cashflows</t>
  </si>
  <si>
    <t>Closing DAV</t>
  </si>
  <si>
    <t>Real Return pa</t>
  </si>
  <si>
    <t>Discount Factor (Yr End)</t>
  </si>
  <si>
    <t>Opex</t>
  </si>
  <si>
    <t>Allowed Revenue</t>
  </si>
  <si>
    <t>Discounted Cashflow</t>
  </si>
  <si>
    <t>Total Regulatory Value (TRV)</t>
  </si>
  <si>
    <t>Adjusted Cashflows</t>
  </si>
  <si>
    <t>Closing TRV (Incl Return)</t>
  </si>
  <si>
    <t>Calculated PA</t>
  </si>
  <si>
    <t>Volumes (therms '000)</t>
  </si>
  <si>
    <t>£/therm</t>
  </si>
  <si>
    <t>Opening DAV (Incl Rolling Capex Incentive)</t>
  </si>
  <si>
    <t>Volumes (Therms)</t>
  </si>
  <si>
    <t>P1</t>
  </si>
  <si>
    <t>P2</t>
  </si>
  <si>
    <t>Contract</t>
  </si>
  <si>
    <t>Core asset depreciation</t>
  </si>
  <si>
    <t>PMICR</t>
  </si>
  <si>
    <t>Tax</t>
  </si>
  <si>
    <t>Interest</t>
  </si>
  <si>
    <t>Losses</t>
  </si>
  <si>
    <t>Debt</t>
  </si>
  <si>
    <t>Average debt</t>
  </si>
  <si>
    <t>Average TRV</t>
  </si>
  <si>
    <t>Opening:</t>
  </si>
  <si>
    <t>Cshflow:</t>
  </si>
  <si>
    <t>Return on in year cashflow:</t>
  </si>
  <si>
    <t>Return on in year opening:</t>
  </si>
  <si>
    <t>Closing:</t>
  </si>
  <si>
    <t>Cashflow</t>
  </si>
  <si>
    <t>Opening TRV incl. return</t>
  </si>
  <si>
    <t xml:space="preserve">DAV </t>
  </si>
  <si>
    <t xml:space="preserve">PA </t>
  </si>
  <si>
    <t>Domestic/Very Small IC</t>
  </si>
  <si>
    <t>V Dom/Very Small IC Tariff (&lt;2,500 tpa) (P1)</t>
  </si>
  <si>
    <t>V Small/Med Tariff IC (2,500 - 25k tpa) (P2)</t>
  </si>
  <si>
    <t>Small/Medium IC</t>
  </si>
  <si>
    <t>V Large Tariff (25k tpa - 75k tpa) (P3)</t>
  </si>
  <si>
    <t>V Contract IC (&gt;75k tpa) (P4)</t>
  </si>
  <si>
    <t>P Dom/Very Small IC Tariff (&lt;2,500 tpa) (P1)</t>
  </si>
  <si>
    <t>P Small/Med Tariff IC (2,500 - 25k tpa) (P2)</t>
  </si>
  <si>
    <t>P Large Tariff (25k tpa - 75k tpa) (P3)</t>
  </si>
  <si>
    <t>P Contract IC (&gt;75k tpa) (P4)</t>
  </si>
  <si>
    <t xml:space="preserve">Large IC </t>
  </si>
  <si>
    <t>P3</t>
  </si>
  <si>
    <t>P4</t>
  </si>
  <si>
    <t>Real Return</t>
  </si>
  <si>
    <t>Year</t>
  </si>
  <si>
    <t>Opening DAV/TRV (2023)</t>
  </si>
  <si>
    <t>TRV GD17 debt adjusted WACC adjustment</t>
  </si>
  <si>
    <t xml:space="preserve">Rolling </t>
  </si>
  <si>
    <t>Opening DAV (excl Rolling Capex Incentive)</t>
  </si>
  <si>
    <t>Total Volume</t>
  </si>
  <si>
    <t>Profile adjustment movement</t>
  </si>
  <si>
    <t>Financial Year Corporation Tax Rate:</t>
  </si>
  <si>
    <t>Calendar Year Corporation Tax Rate:</t>
  </si>
  <si>
    <t>Revenue:</t>
  </si>
  <si>
    <t>Less opex:</t>
  </si>
  <si>
    <t>Less interest:</t>
  </si>
  <si>
    <t>Less capital allowances:</t>
  </si>
  <si>
    <t>Profits attributable to corporation tax:</t>
  </si>
  <si>
    <t>Capital Allowances</t>
  </si>
  <si>
    <t>Total For Capital Allowances</t>
  </si>
  <si>
    <t>Capital Allowances Pro-Rata Percentages</t>
  </si>
  <si>
    <t>Plant &amp; Machinery (inc ECA) 18%</t>
  </si>
  <si>
    <t>Long Life Assets - Plant &amp; Machinery 6%</t>
  </si>
  <si>
    <t>Assets not qualifying for capital allowances or revenue deductions</t>
  </si>
  <si>
    <t>GENERAL POOL</t>
  </si>
  <si>
    <t>General Pool Brought Forward</t>
  </si>
  <si>
    <t>Total</t>
  </si>
  <si>
    <t>Capital Allowances at 18%</t>
  </si>
  <si>
    <t>General Pool Closing Balance</t>
  </si>
  <si>
    <t>SUPER DEDUCTION POOL</t>
  </si>
  <si>
    <t>Additions</t>
  </si>
  <si>
    <t>Capital Allowances at 130%</t>
  </si>
  <si>
    <t>LONG LIFE ASSET POOL</t>
  </si>
  <si>
    <t>Long Life Pool Brought Forward</t>
  </si>
  <si>
    <t>Capital Allowances at 6%</t>
  </si>
  <si>
    <t>LLA Closing Balance</t>
  </si>
  <si>
    <t>Total Allowances</t>
  </si>
  <si>
    <t>Losses brought forward</t>
  </si>
  <si>
    <t>Losses used in the period</t>
  </si>
  <si>
    <t>Losses carried forward</t>
  </si>
  <si>
    <t>Adjusted profit</t>
  </si>
  <si>
    <t>Revenue</t>
  </si>
  <si>
    <t>Funds from operations (FFO)</t>
  </si>
  <si>
    <t>FFO</t>
  </si>
  <si>
    <t>FFO Excluding Interest</t>
  </si>
  <si>
    <t>FFO Interest Cover</t>
  </si>
  <si>
    <t>Post Maintenance FFO</t>
  </si>
  <si>
    <t>Net Debt</t>
  </si>
  <si>
    <t>FFO / Net Debt</t>
  </si>
  <si>
    <t>RCV</t>
  </si>
  <si>
    <t>Gearing</t>
  </si>
  <si>
    <t>Financeability Summary</t>
  </si>
  <si>
    <t>Operating  costs</t>
  </si>
  <si>
    <t>General</t>
  </si>
  <si>
    <t>Long life</t>
  </si>
  <si>
    <t>Tax Assumptions</t>
  </si>
  <si>
    <t>General Pool Opening Balance</t>
  </si>
  <si>
    <t>General Pool %</t>
  </si>
  <si>
    <t>Super Deduction Pool %</t>
  </si>
  <si>
    <t>Long Life Pool Opening Balance</t>
  </si>
  <si>
    <t xml:space="preserve">Assets Qualifying for 100% FYA </t>
  </si>
  <si>
    <t>Long Life Pool %</t>
  </si>
  <si>
    <t>SR Pool %</t>
  </si>
  <si>
    <t>SBA Pool Opening Balance</t>
  </si>
  <si>
    <t>Structures &amp; Buildings %</t>
  </si>
  <si>
    <t>Discounted DAV2046</t>
  </si>
  <si>
    <t>Additions in the year</t>
  </si>
  <si>
    <t>General Pool 2021 for Super deduction</t>
  </si>
  <si>
    <t>Assets Qualifying for 100% AIA</t>
  </si>
  <si>
    <t>Annual Investment Allowance</t>
  </si>
  <si>
    <t>Special Rate Pool</t>
  </si>
  <si>
    <t>Contributions</t>
  </si>
  <si>
    <t>Remaining balance for pools</t>
  </si>
  <si>
    <t>Capital Allowances at 50%</t>
  </si>
  <si>
    <t>Addback remaining balance from SR Pool</t>
  </si>
  <si>
    <t>Super Deduction Pool</t>
  </si>
  <si>
    <t>SR Pool</t>
  </si>
  <si>
    <t>TOTAL ALLOWANCES</t>
  </si>
  <si>
    <t>Tax Losses B/F</t>
  </si>
  <si>
    <t>Total Capex</t>
  </si>
  <si>
    <t>Capex 40 Year</t>
  </si>
  <si>
    <t>Capex 15 Year</t>
  </si>
  <si>
    <t>Capex 5 Year</t>
  </si>
  <si>
    <t>Annual Depreciation Capex 40 Year</t>
  </si>
  <si>
    <t>Annual Depreciation Capex 15 Year</t>
  </si>
  <si>
    <t>Annual Depreciation Capex 5 Year</t>
  </si>
  <si>
    <t>Depreciation Capex 40 Year</t>
  </si>
  <si>
    <t>Depreciation Capex 15 Year</t>
  </si>
  <si>
    <t>Depreciation Capex 5 Year</t>
  </si>
  <si>
    <t>Depreciation Opening DAV</t>
  </si>
  <si>
    <t>Opening DAV</t>
  </si>
  <si>
    <t>Actual Capex - 2020 Prices</t>
  </si>
  <si>
    <t>Underspend /  Overspend</t>
  </si>
  <si>
    <t>m</t>
  </si>
  <si>
    <t>n</t>
  </si>
  <si>
    <t>q</t>
  </si>
  <si>
    <t>RPI</t>
  </si>
  <si>
    <t>Designated Parameters</t>
  </si>
  <si>
    <t>Determined Values</t>
  </si>
  <si>
    <t>i = 1</t>
  </si>
  <si>
    <t>i = 2</t>
  </si>
  <si>
    <t>i = 3</t>
  </si>
  <si>
    <t>i = 4</t>
  </si>
  <si>
    <t>Assumed Geaing</t>
  </si>
  <si>
    <t>Nominal Cost of Debt</t>
  </si>
  <si>
    <t>Contributions (Capital) (Based on total Figure)</t>
  </si>
  <si>
    <r>
      <t>Additions (Based on Net Figure</t>
    </r>
    <r>
      <rPr>
        <sz val="10"/>
        <rFont val="Arial Narrow"/>
        <family val="2"/>
      </rPr>
      <t>)</t>
    </r>
  </si>
  <si>
    <t>Additional TRV and PA calculations on an annual basis</t>
  </si>
  <si>
    <t>Average</t>
  </si>
  <si>
    <t>GD23</t>
  </si>
  <si>
    <t xml:space="preserve">Draft </t>
  </si>
  <si>
    <t>GDN</t>
  </si>
  <si>
    <t>Price Control</t>
  </si>
  <si>
    <t>Determination</t>
  </si>
  <si>
    <t xml:space="preserve">Gearing </t>
  </si>
  <si>
    <t>Nominal interest rate</t>
  </si>
  <si>
    <t xml:space="preserve">Firmus </t>
  </si>
  <si>
    <t>Firm Contract</t>
  </si>
  <si>
    <t>Interruptible Contract</t>
  </si>
  <si>
    <t>P5</t>
  </si>
  <si>
    <t>P6</t>
  </si>
  <si>
    <t>10% Additions Qualifying</t>
  </si>
  <si>
    <t>Super Deduction Pool Allocation %</t>
  </si>
  <si>
    <t>General Pool Allocation %</t>
  </si>
  <si>
    <t>Special Rate Pool Allocation %</t>
  </si>
  <si>
    <t>Non Qualifying CA Allocation</t>
  </si>
  <si>
    <t>GENERAL POOL ALLOCATIONS FOR SPECIALS</t>
  </si>
  <si>
    <t>Allocate to super deduction pool</t>
  </si>
  <si>
    <t>Allocate remaninder to general pool</t>
  </si>
  <si>
    <t>Special Rate Pool FYA % Allocation</t>
  </si>
  <si>
    <t>SPECIAL RATE POOL ALLOCATIONS FOR SPECIALS</t>
  </si>
  <si>
    <t>Allocate to additional 50% SR pool</t>
  </si>
  <si>
    <t>Allocate remaninder direct to special rate pool</t>
  </si>
  <si>
    <t>Capital Rolling Incentive</t>
  </si>
  <si>
    <t>Discount Factor (Mid Year)</t>
  </si>
  <si>
    <t>V Firm Contract (&gt;75k tpa) (P5)</t>
  </si>
  <si>
    <t>V Int Contract (&gt;75k tpa) (P6)</t>
  </si>
  <si>
    <t>Additions Total</t>
  </si>
  <si>
    <t>First 5m allowable loss</t>
  </si>
  <si>
    <t>50% Profits exceeding 5m available for loss</t>
  </si>
  <si>
    <t>Total Profits available for loss relief</t>
  </si>
  <si>
    <t>Losses unused in the period</t>
  </si>
  <si>
    <t xml:space="preserve"> </t>
  </si>
  <si>
    <t>GD17 UM Adjustments - 2014 Prices</t>
  </si>
  <si>
    <t>GD17 Determined - 2014 Prices</t>
  </si>
  <si>
    <t>GD17 Adjusted - 2014 Prices</t>
  </si>
  <si>
    <t>Actual Capex - 2014 Prices</t>
  </si>
  <si>
    <t>The last year of the current control period, before the new control period starts</t>
  </si>
  <si>
    <t>w</t>
  </si>
  <si>
    <t>The incentive period - number of formula years of benefit</t>
  </si>
  <si>
    <t>l</t>
  </si>
  <si>
    <t>The notional asset life for incentive depreciation</t>
  </si>
  <si>
    <t>r(B)</t>
  </si>
  <si>
    <t>The assessed cost of capital - Best available info at this review</t>
  </si>
  <si>
    <t>r(E)</t>
  </si>
  <si>
    <t>The assessed cost of capital - Established value, determined at the last review</t>
  </si>
  <si>
    <t>f(B,t)</t>
  </si>
  <si>
    <t>The averaging factor applied to the rate of return - Best available</t>
  </si>
  <si>
    <t>f(E,t)</t>
  </si>
  <si>
    <t>The averaging factor applied to the rate of return - Established value</t>
  </si>
  <si>
    <t>h</t>
  </si>
  <si>
    <t>Designated parameter established at the preceding review (CRI On/Off)</t>
  </si>
  <si>
    <t>d</t>
  </si>
  <si>
    <t>Designated parameter established at the preceding review (Depn Adj On/Off)</t>
  </si>
  <si>
    <t>Capex Saving</t>
  </si>
  <si>
    <t>t</t>
  </si>
  <si>
    <t>Allowed Capex - C(E,t)</t>
  </si>
  <si>
    <t>Average 2014</t>
  </si>
  <si>
    <t>Inflation adjustment - RPI(B)/RPI( E)</t>
  </si>
  <si>
    <t>Allowed Capex</t>
  </si>
  <si>
    <t>Actual Capex - C(B,t)</t>
  </si>
  <si>
    <t>Capex Saving C(S,t)</t>
  </si>
  <si>
    <t>CRI Summary</t>
  </si>
  <si>
    <t>Term 1</t>
  </si>
  <si>
    <t>Term 2</t>
  </si>
  <si>
    <t>Term 3</t>
  </si>
  <si>
    <t>Term 4</t>
  </si>
  <si>
    <t>Term 5a</t>
  </si>
  <si>
    <t>Term 5b</t>
  </si>
  <si>
    <t>CRI</t>
  </si>
  <si>
    <t>Main equation terms</t>
  </si>
  <si>
    <t>Summation</t>
  </si>
  <si>
    <t>y=n+1</t>
  </si>
  <si>
    <t>to</t>
  </si>
  <si>
    <t>y=t+w-1</t>
  </si>
  <si>
    <t>Number of periods under consideration in discounting</t>
  </si>
  <si>
    <t>y-n</t>
  </si>
  <si>
    <t>Finance benefit and discount factor</t>
  </si>
  <si>
    <t>y=t+w+1</t>
  </si>
  <si>
    <t>y=n</t>
  </si>
  <si>
    <t>n-y</t>
  </si>
  <si>
    <t>Adjustment for in-year discounting (rather than end-of-year)</t>
  </si>
  <si>
    <t>t=n-w+1</t>
  </si>
  <si>
    <t>t=n</t>
  </si>
  <si>
    <t>t+w-n</t>
  </si>
  <si>
    <t>Adjustment to finance benefit and discount factor</t>
  </si>
  <si>
    <t>Individual components in the summation</t>
  </si>
  <si>
    <t>t=0</t>
  </si>
  <si>
    <t>t=n-w</t>
  </si>
  <si>
    <t>n-(t+w)</t>
  </si>
  <si>
    <t>Depreciation component</t>
  </si>
  <si>
    <t>w/l</t>
  </si>
  <si>
    <t>Depreciation adjustment and discount factor</t>
  </si>
  <si>
    <t>Capex Rolling Incentive</t>
  </si>
  <si>
    <t>Totex</t>
  </si>
  <si>
    <t>Totex to TRV</t>
  </si>
  <si>
    <t>Tariff allocation relative to P1</t>
  </si>
  <si>
    <t>Solved</t>
  </si>
  <si>
    <t>GD17 FD</t>
  </si>
  <si>
    <t>Separate Excel</t>
  </si>
  <si>
    <t>Actual Depreciation</t>
  </si>
  <si>
    <t>Determined Depreciation</t>
  </si>
  <si>
    <t>Dav Pi</t>
  </si>
  <si>
    <t>GD14 Final</t>
  </si>
  <si>
    <t>GD17 UM</t>
  </si>
  <si>
    <t>Opex incl RoR</t>
  </si>
  <si>
    <t>Inflation factor</t>
  </si>
  <si>
    <t>TRV indexation</t>
  </si>
  <si>
    <t>Nominal Post Maintenance FFO</t>
  </si>
  <si>
    <t>Nominal PMICR</t>
  </si>
  <si>
    <t>Capex RoR only</t>
  </si>
  <si>
    <t>GD14 Determined - 2012 Prices</t>
  </si>
  <si>
    <t>CRI working example</t>
  </si>
  <si>
    <t>Average 2012</t>
  </si>
  <si>
    <t>2012 to 2014</t>
  </si>
  <si>
    <t>Adjusted  - 2020 Prices</t>
  </si>
  <si>
    <t>GD14 UM Final</t>
  </si>
  <si>
    <t>GD14 UM Adjustments - 2012 Prices</t>
  </si>
  <si>
    <t>GD14 Adjusted - 2012 Prices</t>
  </si>
  <si>
    <t>GD14 Adjusted - 2014 Prices</t>
  </si>
  <si>
    <t xml:space="preserve">Opening DAV and TRV </t>
  </si>
  <si>
    <t>GD23 Inputs</t>
  </si>
  <si>
    <t>Inflation Assumptions</t>
  </si>
  <si>
    <t>Historical Index</t>
  </si>
  <si>
    <t>RPI (Year Average)</t>
  </si>
  <si>
    <t>RPI (Year End)</t>
  </si>
  <si>
    <t>2020 RPI</t>
  </si>
  <si>
    <t>GD14 FD</t>
  </si>
  <si>
    <t>GD14 UM</t>
  </si>
  <si>
    <t>Actual Capex - Nominal Prices</t>
  </si>
  <si>
    <t>Actual Capex - 2012 Prices</t>
  </si>
  <si>
    <t>2020 Prices</t>
  </si>
  <si>
    <t>Operating costs</t>
  </si>
  <si>
    <t>Core Asset depreciation</t>
  </si>
  <si>
    <t>Profile Adjustment</t>
  </si>
  <si>
    <t>Nominal Prices</t>
  </si>
  <si>
    <t>Act</t>
  </si>
  <si>
    <t>Forecast</t>
  </si>
  <si>
    <t>Annual Inflation</t>
  </si>
  <si>
    <t>g</t>
  </si>
  <si>
    <t>Value</t>
  </si>
  <si>
    <t>CPIH (Year Average)</t>
  </si>
  <si>
    <t>CPIH (Year End)</t>
  </si>
  <si>
    <t>RPI  to CPIH Switch</t>
  </si>
  <si>
    <t>Opex roller switch</t>
  </si>
  <si>
    <t>Capex roller switch</t>
  </si>
  <si>
    <t>Depreciation switch</t>
  </si>
  <si>
    <t>Deemed asset life</t>
  </si>
  <si>
    <t>Rate of return</t>
  </si>
  <si>
    <t>Trigger for review</t>
  </si>
  <si>
    <t>Trigger for previous review</t>
  </si>
  <si>
    <t>Forecasting horizon</t>
  </si>
  <si>
    <t>Indexation base</t>
  </si>
  <si>
    <t>Averaging factor</t>
  </si>
  <si>
    <t>Incentive period</t>
  </si>
  <si>
    <t>Description</t>
  </si>
  <si>
    <t>CPIH</t>
  </si>
  <si>
    <t>Volume (therms)</t>
  </si>
  <si>
    <t>Capital Expenditure</t>
  </si>
  <si>
    <t>Operarting Expenditure</t>
  </si>
  <si>
    <t>Depreciation</t>
  </si>
  <si>
    <t>Revenue per unit</t>
  </si>
  <si>
    <t>Total Revenue</t>
  </si>
  <si>
    <t>Depreciated Asset Value</t>
  </si>
  <si>
    <t>Total Regulated Value</t>
  </si>
  <si>
    <r>
      <t>V</t>
    </r>
    <r>
      <rPr>
        <i/>
        <vertAlign val="subscript"/>
        <sz val="10"/>
        <rFont val="Arial Narrow"/>
        <family val="2"/>
      </rPr>
      <t>E,I,t</t>
    </r>
  </si>
  <si>
    <r>
      <t>C</t>
    </r>
    <r>
      <rPr>
        <i/>
        <vertAlign val="subscript"/>
        <sz val="10"/>
        <rFont val="Arial Narrow"/>
        <family val="2"/>
      </rPr>
      <t>E,t</t>
    </r>
  </si>
  <si>
    <r>
      <t>O</t>
    </r>
    <r>
      <rPr>
        <i/>
        <vertAlign val="subscript"/>
        <sz val="10"/>
        <rFont val="Arial Narrow"/>
        <family val="2"/>
      </rPr>
      <t>E,t</t>
    </r>
  </si>
  <si>
    <r>
      <t>D</t>
    </r>
    <r>
      <rPr>
        <i/>
        <vertAlign val="subscript"/>
        <sz val="10"/>
        <rFont val="Arial Narrow"/>
        <family val="2"/>
      </rPr>
      <t>E,t</t>
    </r>
  </si>
  <si>
    <r>
      <t>F</t>
    </r>
    <r>
      <rPr>
        <i/>
        <vertAlign val="subscript"/>
        <sz val="10"/>
        <rFont val="Arial Narrow"/>
        <family val="2"/>
      </rPr>
      <t>E,t</t>
    </r>
  </si>
  <si>
    <t>t=</t>
  </si>
  <si>
    <r>
      <t>P</t>
    </r>
    <r>
      <rPr>
        <i/>
        <vertAlign val="subscript"/>
        <sz val="10"/>
        <rFont val="Arial Narrow"/>
        <family val="2"/>
      </rPr>
      <t>E,I,t</t>
    </r>
  </si>
  <si>
    <r>
      <t>R</t>
    </r>
    <r>
      <rPr>
        <i/>
        <vertAlign val="subscript"/>
        <sz val="10"/>
        <rFont val="Arial Narrow"/>
        <family val="2"/>
      </rPr>
      <t>E,t</t>
    </r>
  </si>
  <si>
    <r>
      <t>DAV</t>
    </r>
    <r>
      <rPr>
        <i/>
        <vertAlign val="subscript"/>
        <sz val="10"/>
        <rFont val="Arial Narrow"/>
        <family val="2"/>
      </rPr>
      <t>E,t</t>
    </r>
  </si>
  <si>
    <r>
      <t>TRV</t>
    </r>
    <r>
      <rPr>
        <i/>
        <vertAlign val="subscript"/>
        <sz val="10"/>
        <rFont val="Arial Narrow"/>
        <family val="2"/>
      </rPr>
      <t>E,m</t>
    </r>
  </si>
  <si>
    <r>
      <t>PA</t>
    </r>
    <r>
      <rPr>
        <i/>
        <vertAlign val="subscript"/>
        <sz val="10"/>
        <rFont val="Arial Narrow"/>
        <family val="2"/>
      </rPr>
      <t>E,m</t>
    </r>
  </si>
  <si>
    <r>
      <t>r</t>
    </r>
    <r>
      <rPr>
        <i/>
        <vertAlign val="subscript"/>
        <sz val="10"/>
        <rFont val="Arial Narrow"/>
        <family val="2"/>
      </rPr>
      <t>t</t>
    </r>
  </si>
  <si>
    <r>
      <t>f</t>
    </r>
    <r>
      <rPr>
        <i/>
        <vertAlign val="subscript"/>
        <sz val="10"/>
        <rFont val="Arial Narrow"/>
        <family val="2"/>
      </rPr>
      <t>t</t>
    </r>
  </si>
  <si>
    <r>
      <t xml:space="preserve">Goal Seek to 0 by running Macro -  </t>
    </r>
    <r>
      <rPr>
        <b/>
        <sz val="10"/>
        <color rgb="FF0066FF"/>
        <rFont val="Arial Narrow"/>
        <family val="2"/>
      </rPr>
      <t>Ctrl + f</t>
    </r>
  </si>
  <si>
    <t>i = 5</t>
  </si>
  <si>
    <t>i = 6</t>
  </si>
  <si>
    <t>2020 CPIH</t>
  </si>
  <si>
    <t xml:space="preserve">Pre-tax, Real (CPIH)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</si>
</sst>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2]* #,##0.00_-;\-[$€-2]* #,##0.00_-;_-[$€-2]* &quot;-&quot;??_-"/>
    <numFmt numFmtId="170" formatCode="0.0000"/>
    <numFmt numFmtId="171" formatCode="#,##0;\(#,##0\)"/>
    <numFmt numFmtId="172" formatCode="[$$-409]#,##0.00"/>
    <numFmt numFmtId="173" formatCode="#,##0.0\ ;\(#,##0.0\)"/>
    <numFmt numFmtId="174" formatCode="&quot;$&quot;#,##0.00_);[Red]\(&quot;$&quot;#,##0.00\)"/>
    <numFmt numFmtId="175" formatCode="#,##0_);[Red]\(#,##0\);&quot;-&quot;"/>
    <numFmt numFmtId="176" formatCode="mmmm\ d\,\ yyyy"/>
    <numFmt numFmtId="177" formatCode="_(&quot;$&quot;#,##0_)&quot;millions&quot;;\(&quot;$&quot;#,##0\)&quot; millions&quot;"/>
    <numFmt numFmtId="178" formatCode="&quot;$&quot;#,##0.00_)\ \ \ ;\(&quot;$&quot;#,##0.00\)\ \ \ "/>
    <numFmt numFmtId="179" formatCode="&quot;$&quot;#,##0.00&quot;*&quot;\ \ ;\(&quot;$&quot;#,##0.00\)&quot;*&quot;\ \ "/>
    <numFmt numFmtId="180" formatCode="&quot;$&quot;#,##0.00\A_)\ ;\(&quot;$&quot;#,##0.00\A\)\ \ "/>
    <numFmt numFmtId="181" formatCode="&quot;$&quot;@\ "/>
    <numFmt numFmtId="182" formatCode="[$-809]d\ mmmm\ yyyy;@"/>
    <numFmt numFmtId="183" formatCode="000\-00\-0000\ "/>
    <numFmt numFmtId="184" formatCode="0.0%"/>
    <numFmt numFmtId="185" formatCode="_(* #,##0_);_(* \(#,##0\);_(* &quot;-&quot;_);_(@_)"/>
    <numFmt numFmtId="186" formatCode="_(* #,##0_);_(* \(#,##0\);_(* &quot;0&quot;_);_(@_)"/>
    <numFmt numFmtId="187" formatCode="#,##0.0_);\(#,##0.0\)"/>
    <numFmt numFmtId="188" formatCode="&quot;$&quot;_(#,##0.00_);&quot;$&quot;\(#,##0.00\)"/>
    <numFmt numFmtId="189" formatCode="_-&quot;$&quot;* #,##0.0_-;\-&quot;$&quot;* #,##0.0_-;_-&quot;$&quot;* &quot;-&quot;??_-;_-@_-"/>
    <numFmt numFmtId="190" formatCode="#,##0_);\(#,##0\);&quot;-  &quot;;&quot; &quot;@&quot; &quot;"/>
    <numFmt numFmtId="191" formatCode="#,##0.0_)\x;\(#,##0.0\)\x"/>
    <numFmt numFmtId="192" formatCode="&quot;$&quot;#,##0"/>
    <numFmt numFmtId="193" formatCode="#,##0.0_)_x;\(#,##0.0\)_x"/>
    <numFmt numFmtId="194" formatCode="_(&quot;$&quot;* #,##0_);_(&quot;$&quot;* \(#,##0\);_(&quot;$&quot;* &quot;-&quot;??_);_(@_)"/>
    <numFmt numFmtId="195" formatCode="0.0_)\%;\(0.0\)\%"/>
    <numFmt numFmtId="196" formatCode="_-* #,##0.000_-;\-* #,##0.000_-;_-* &quot;-&quot;??_-;_-@_-"/>
    <numFmt numFmtId="197" formatCode="#,##0.0_)_%;\(#,##0.0\)_%"/>
    <numFmt numFmtId="198" formatCode="_(&quot;$&quot;* #,##0.0_);_(&quot;$&quot;* \(#,##0.0\);_(&quot;$&quot;* &quot;-&quot;?_);_(@_)"/>
    <numFmt numFmtId="199" formatCode="#,##0.0_);[Red]\(#,##0.0\)"/>
    <numFmt numFmtId="200" formatCode="_-&quot;£&quot;* #,##0.0_-;_-&quot;£&quot;* \(#,##0.0\)"/>
    <numFmt numFmtId="201" formatCode="\£\ #,##0_);[Red]\(\£\ #,##0\)"/>
    <numFmt numFmtId="202" formatCode="#,##0.00;[Red]\(#,##0.00\);\-"/>
    <numFmt numFmtId="203" formatCode="\¥\ #,##0_);[Red]\(\¥\ #,##0\)"/>
    <numFmt numFmtId="204" formatCode="_-\€* #,##0.0_-;_-\€* \(#,##0.0\)"/>
    <numFmt numFmtId="205" formatCode="0;[Red]\(0\);\-"/>
    <numFmt numFmtId="206" formatCode="#,##0;[Red]\(#,##0\);\-"/>
    <numFmt numFmtId="207" formatCode="#,##0,_);[Red]\(#,##0,\)"/>
    <numFmt numFmtId="208" formatCode="0.0;\(0.0\);\-"/>
    <numFmt numFmtId="209" formatCode="0.00;\(0.00\);\-"/>
    <numFmt numFmtId="210" formatCode="0.00;[Red]\(0.00\);\-"/>
    <numFmt numFmtId="211" formatCode="0.000;\(0.000\);\-"/>
    <numFmt numFmtId="212" formatCode="_-&quot;£&quot;* #,##0.000_-;\-&quot;£&quot;* #,##0.000_-;_-&quot;£&quot;* &quot;-&quot;??_-;_-@_-"/>
    <numFmt numFmtId="213" formatCode="0\A"/>
    <numFmt numFmtId="214" formatCode="m\-d\-yy"/>
    <numFmt numFmtId="215" formatCode="0.0_)"/>
    <numFmt numFmtId="216" formatCode="#,##0;[Red]\-#,##0;\-"/>
    <numFmt numFmtId="217" formatCode="_ &quot;R&quot;\ * #,##0_ ;_ &quot;R&quot;\ * \-#,##0_ ;_ &quot;R&quot;\ * &quot;-&quot;_ ;_ @_ "/>
    <numFmt numFmtId="218" formatCode="0.00\ "/>
    <numFmt numFmtId="219" formatCode="#,##0.0,,,&quot;bn&quot;"/>
    <numFmt numFmtId="220" formatCode="0.0%_);[Red]\(0.0%\)"/>
    <numFmt numFmtId="221" formatCode="0.0%;\(0.0\)%"/>
    <numFmt numFmtId="222" formatCode="0&quot; bp&quot;"/>
    <numFmt numFmtId="223" formatCode="#,##0;&quot;(&quot;#,##0&quot;)&quot;;&quot;-&quot;"/>
    <numFmt numFmtId="224" formatCode="_(* #,##0.0_);_(* \(#,##0.0\);_(* &quot;-&quot;?_);@_)"/>
    <numFmt numFmtId="225" formatCode="\•\ \ @"/>
    <numFmt numFmtId="226" formatCode="#,##0_);[Red]\(#,##0\);&quot;-&quot;_);[Blue]&quot;Error-&quot;@"/>
    <numFmt numFmtId="227" formatCode="#,##0.0_);[Red]\(#,##0.0\);&quot;-&quot;_);[Blue]&quot;Error-&quot;@"/>
    <numFmt numFmtId="228" formatCode="#,##0.00_);[Red]\(#,##0.00\);&quot;-&quot;_);[Blue]&quot;Error-&quot;@"/>
    <numFmt numFmtId="229" formatCode="&quot;£&quot;* #,##0_);[Red]&quot;£&quot;* \(#,##0\);&quot;£&quot;* &quot;-&quot;_);[Blue]&quot;Error-&quot;@"/>
    <numFmt numFmtId="230" formatCode="&quot;£&quot;* #,##0.0_);[Red]&quot;£&quot;* \(#,##0.0\);&quot;£&quot;* &quot;-&quot;_);[Blue]&quot;Error-&quot;@"/>
    <numFmt numFmtId="231" formatCode="&quot;£&quot;* #,##0.00_);[Red]&quot;£&quot;* \(#,##0.00\);&quot;£&quot;* &quot;-&quot;_);[Blue]&quot;Error-&quot;@"/>
    <numFmt numFmtId="232" formatCode="dd\ mmm\ yyyy_)"/>
    <numFmt numFmtId="233" formatCode="dd/mm/yy_)"/>
    <numFmt numFmtId="234" formatCode="0%_);[Red]\-0%_);0%_);[Blue]&quot;Error-&quot;@"/>
    <numFmt numFmtId="235" formatCode="0.0%_);[Red]\-0.0%_);0.0%_);[Blue]&quot;Error-&quot;@"/>
    <numFmt numFmtId="236" formatCode="0.00%_);[Red]\-0.00%_);0.00%_);[Blue]&quot;Error-&quot;@"/>
    <numFmt numFmtId="237" formatCode="_-* #,##0_-;* \(#,##0\)_-;_-@_-"/>
    <numFmt numFmtId="238" formatCode="dd\-mmm\-yyyy"/>
    <numFmt numFmtId="239" formatCode="&quot;£&quot;#,###_);[Red]\(&quot;£&quot;#,###\);&quot;£&quot;0"/>
    <numFmt numFmtId="240" formatCode="&quot;£&quot;#,###_);[Red]\(&quot;£&quot;#,###\);"/>
    <numFmt numFmtId="241" formatCode="&quot;£&quot;#,##0.00_);[Red]\(&quot;£&quot;#,##0.00\);&quot;£&quot;0.00"/>
    <numFmt numFmtId="242" formatCode="&quot;£&quot;#,##0.00_);[Red]\(&quot;£&quot;#,##0.00\);"/>
    <numFmt numFmtId="243" formatCode="0.0"/>
    <numFmt numFmtId="244" formatCode="0.000_)"/>
    <numFmt numFmtId="245" formatCode="#,###_);[Red]\(#,###\);0"/>
    <numFmt numFmtId="246" formatCode="#,###_);[Red]\(#,###\);"/>
    <numFmt numFmtId="247" formatCode="##,##0.00_);[Red]\(##,##0.00\);0.00"/>
    <numFmt numFmtId="248" formatCode="#,##0.00_);[Red]\(#,##0.00\);&quot;- &quot;"/>
    <numFmt numFmtId="249" formatCode="#,##0.00_);[Red]\(#,##0.00\);&quot;Nil &quot;"/>
    <numFmt numFmtId="250" formatCode="#,##0.00_);[Red]\(#,##0.00\);"/>
    <numFmt numFmtId="251" formatCode="#,##0_);[Red]\(#,##0\);"/>
    <numFmt numFmtId="252" formatCode="#,##0.000;[Red]\(#,##0.000\);\-"/>
    <numFmt numFmtId="253" formatCode="#,##0_%_);\(#,##0\)_%;**;@_%_)"/>
    <numFmt numFmtId="254" formatCode="#,##0.000_ ;\-#,##0.000\ "/>
    <numFmt numFmtId="255" formatCode="\$#,##0.0,,,&quot;bn&quot;"/>
    <numFmt numFmtId="256" formatCode="_-* #,##0.0000_-;\-* #,##0.0000_-;_-* &quot;-&quot;??_-;_-@_-"/>
    <numFmt numFmtId="257" formatCode="0.0_x_)_);&quot;NM&quot;_x_)_);0.0_x_)_);@_%_)"/>
    <numFmt numFmtId="258" formatCode="0.0\ \x;\(0.0\ \x\)"/>
    <numFmt numFmtId="259" formatCode="#,##0_);[Red]\(#,##0\);&quot;- &quot;"/>
    <numFmt numFmtId="260" formatCode="#,##0_);[Red]\(#,##0\);&quot;Nil &quot;"/>
    <numFmt numFmtId="261" formatCode="0.0_ ;\(0.0\)_ \ "/>
    <numFmt numFmtId="262" formatCode="#,##0.0_);\(#,##0.0\);&quot;--&quot;_)"/>
    <numFmt numFmtId="263" formatCode="#,##0.00_);\(#,##0.00\);&quot;--&quot;_)"/>
    <numFmt numFmtId="264" formatCode="General_)"/>
    <numFmt numFmtId="265" formatCode="0.000;[Red]\-0.000;\-"/>
    <numFmt numFmtId="266" formatCode="#&quot; mins&quot;"/>
    <numFmt numFmtId="267" formatCode="&quot;$&quot;#,##0_);[Red]\(&quot;$&quot;#,##0\)"/>
    <numFmt numFmtId="268" formatCode="&quot;£&quot;#,##0.00_);[Red]\(&quot;£&quot;#,##0.00\);&quot;£&quot;0.00_)"/>
    <numFmt numFmtId="269" formatCode="&quot;£&quot;#,##0.00_);[Red]\(&quot;£&quot;#,##0.00\);&quot;- &quot;"/>
    <numFmt numFmtId="270" formatCode="&quot;£&quot;#,##0.00_);[Red]\(&quot;£&quot;#,##0.00\);&quot;Nil &quot;"/>
    <numFmt numFmtId="271" formatCode="&quot;£&quot;#,##0_);[Red]\(&quot;£&quot;#,##0\);"/>
    <numFmt numFmtId="272" formatCode="_(&quot;$&quot;* #,##0_);_(&quot;$&quot;* \(#,##0\);_(&quot;$&quot;* &quot;-&quot;_);_(@_)"/>
    <numFmt numFmtId="273" formatCode="&quot;£&quot;#,##0.00;\(&quot;£&quot;#,##0.00\)"/>
    <numFmt numFmtId="274" formatCode="m/d"/>
    <numFmt numFmtId="275" formatCode="&quot;£&quot;#,##0_);[Red]\(&quot;£&quot;#,##0\);&quot;- &quot;"/>
    <numFmt numFmtId="276" formatCode="&quot;£&quot;#,##0_);[Red]\(&quot;£&quot;#,##0\);&quot;Nil &quot;"/>
    <numFmt numFmtId="277" formatCode="0.0\ \ \x\ ;\(0.0\)\ \ \x\ "/>
    <numFmt numFmtId="278" formatCode="@\ \ \ \ \ "/>
    <numFmt numFmtId="279" formatCode="\ \ _•\–\ \ \ \ @"/>
    <numFmt numFmtId="280" formatCode="0.00_ ;[Red]\-0.00\ "/>
    <numFmt numFmtId="281" formatCode="000"/>
    <numFmt numFmtId="282" formatCode="#,##0.0;[Red]\(#,##0.0\);\-"/>
    <numFmt numFmtId="283" formatCode="d\-mmm\-yyyy"/>
    <numFmt numFmtId="284" formatCode="&quot;$&quot;#,##0.0;[Red]&quot;$&quot;#,##0.0"/>
    <numFmt numFmtId="285" formatCode="dd/mm/yyyy;;&quot;-&quot;"/>
    <numFmt numFmtId="286" formatCode="dd/mmm/yyyy_);;&quot;-  &quot;;&quot; &quot;@"/>
    <numFmt numFmtId="287" formatCode="dd/mmm/yy_);;&quot;-  &quot;;&quot; &quot;@"/>
    <numFmt numFmtId="288" formatCode="0.00,,;[Red]\(0.00,,\);\-"/>
    <numFmt numFmtId="289" formatCode="_-* #,##0\ _D_M_-;\-* #,##0\ _D_M_-;_-* &quot;-&quot;\ _D_M_-;_-@_-"/>
    <numFmt numFmtId="290" formatCode="_-* #,##0.00\ _D_M_-;\-* #,##0.00\ _D_M_-;_-* &quot;-&quot;??\ _D_M_-;_-@_-"/>
    <numFmt numFmtId="291" formatCode="#,##0.00_)\ \ \ \ \ ;\(#,##0.00\)\ \ \ \ \ "/>
    <numFmt numFmtId="292" formatCode="&quot;$&quot;#,##0.00_)\ \ \ \ \ ;\(&quot;$&quot;#,##0.00\)\ \ \ \ \ "/>
    <numFmt numFmtId="293" formatCode="&quot;$&quot;#,##0.00\A\ \ \ \ ;\(&quot;$&quot;#,##0.00\A\)\ \ \ \ "/>
    <numFmt numFmtId="294" formatCode="&quot;$&quot;#,##0.00&quot;E&quot;\ \ \ \ ;\(&quot;$&quot;#,##0.00&quot;E&quot;\)\ \ \ \ "/>
    <numFmt numFmtId="295" formatCode="#,##0.00\A\ \ \ \ ;\(#,##0.00\A\)\ \ \ \ "/>
    <numFmt numFmtId="296" formatCode="#,##0.00&quot;E&quot;\ \ \ \ ;\(#,##0.00&quot;E&quot;\)\ \ \ \ "/>
    <numFmt numFmtId="297" formatCode="\€#,##0.0,,,&quot;bn&quot;"/>
    <numFmt numFmtId="298" formatCode="\€#,##0.0,,&quot;m&quot;"/>
    <numFmt numFmtId="299" formatCode="\€#,##0.0,&quot;k&quot;"/>
    <numFmt numFmtId="300" formatCode="[Magenta]&quot;Err&quot;;[Magenta]&quot;Err&quot;;[Blue]&quot;OK&quot;"/>
    <numFmt numFmtId="301" formatCode="#,##0.0000_);\(#,##0.0000\);&quot;-  &quot;;&quot; &quot;@"/>
    <numFmt numFmtId="302" formatCode="0;0;&quot;&quot;"/>
    <numFmt numFmtId="303" formatCode="\ ;\ ;"/>
    <numFmt numFmtId="304" formatCode="_-#,##0&quot; hours&quot;"/>
    <numFmt numFmtId="305" formatCode="0.000"/>
    <numFmt numFmtId="306" formatCode="#,##0_);[Red]\(#,##0\);\-_)"/>
    <numFmt numFmtId="307" formatCode="0,&quot; K&quot;_);[Red]\(0,&quot; K&quot;\)"/>
    <numFmt numFmtId="308" formatCode="0.00,&quot; K&quot;_);[Red]\(0.00,&quot; K&quot;\)"/>
    <numFmt numFmtId="309" formatCode="0,,&quot; M&quot;_);[Red]\(0,,&quot; M&quot;\)"/>
    <numFmt numFmtId="310" formatCode="0.00,,&quot; M&quot;_);[Red]\(0.00,,&quot; M&quot;\)"/>
    <numFmt numFmtId="311" formatCode="_-#,##0.0&quot; max&quot;"/>
    <numFmt numFmtId="312" formatCode="_ * #,##0_ ;_ * \-#,##0_ ;_ * &quot;-&quot;_ ;_ @_ "/>
    <numFmt numFmtId="313" formatCode="_ * #,##0.00_ ;_ * \-#,##0.00_ ;_ * &quot;-&quot;??_ ;_ @_ "/>
    <numFmt numFmtId="314" formatCode="&quot;£&quot;#,##0,,&quot;M&quot;_);[Red]\(&quot;£&quot;#,##0,,&quot;M&quot;\);&quot;£&quot;0,,&quot;M&quot;_)"/>
    <numFmt numFmtId="315" formatCode="&quot;£&quot;#,##0.00,,&quot;M&quot;_);[Red]\(&quot;£&quot;#,##0.00,,&quot;M&quot;\);&quot;£&quot;0.00,,&quot;M&quot;_)"/>
    <numFmt numFmtId="316" formatCode="_ &quot;R&quot;\ * #,##0.00_ ;_ &quot;R&quot;\ * \-#,##0.00_ ;_ &quot;R&quot;\ * &quot;-&quot;??_ ;_ @_ "/>
    <numFmt numFmtId="317" formatCode="_-#,##0&quot; months&quot;"/>
    <numFmt numFmtId="318" formatCode="_-#,##0&quot;MW&quot;"/>
    <numFmt numFmtId="319" formatCode="_-#,##0&quot;MWth&quot;"/>
    <numFmt numFmtId="320" formatCode="0.00_)"/>
    <numFmt numFmtId="321" formatCode="##_);[Red]\(##\);0"/>
    <numFmt numFmtId="322" formatCode="##_);[Red]\(##\);"/>
    <numFmt numFmtId="323" formatCode="##0.00_);[Red]\(##0.00\);0.00"/>
    <numFmt numFmtId="324" formatCode="###0.00_);[Red]\(###0.00\);"/>
    <numFmt numFmtId="325" formatCode="_-* #,##0\ ;* \(#,##0\);_-* &quot;-&quot;_-;_-@_-"/>
    <numFmt numFmtId="326" formatCode="#,##0_);[Red]\(#,##0\);\-_0_)"/>
    <numFmt numFmtId="327" formatCode="d\ mmm\ yy"/>
    <numFmt numFmtId="328" formatCode="#,##0.0,,_);[Red]\(#,##0.0,,\);\-_0_)"/>
    <numFmt numFmtId="329" formatCode="&quot;£&quot;#,##0.0,,_)&quot;m&quot;;[Red]\(&quot;£&quot;#,##0.0,,_)&quot;m&quot;\);&quot;£&quot;\-_0_)\ &quot;m&quot;"/>
    <numFmt numFmtId="330" formatCode="#,##0.000,,_);[Red]\(#,##0.000,,\);\-_0_)"/>
    <numFmt numFmtId="331" formatCode="#,##0.0,_);[Red]\(#,##0.0,\);\-_0_)"/>
    <numFmt numFmtId="332" formatCode="dd\ mmm\ yy"/>
    <numFmt numFmtId="333" formatCode="mmm\ yy"/>
    <numFmt numFmtId="334" formatCode="#,##0.0,;\(#,##0.0,\);\-_)_0"/>
    <numFmt numFmtId="335" formatCode="0.00%;\(0.00%\)"/>
    <numFmt numFmtId="336" formatCode="0%;\-0%;&quot;-&quot;"/>
    <numFmt numFmtId="337" formatCode="#,##0.00\x_);\(#,##0.00\x\);&quot;-  &quot;;&quot;  &quot;@"/>
    <numFmt numFmtId="338" formatCode="0.0000%"/>
    <numFmt numFmtId="339" formatCode="m/d/yy\ h:mm:ss"/>
    <numFmt numFmtId="340" formatCode="_(* #,##0.00%_);_(* \(#,##0.00%\);_(* #,##0.00%_);_(@_)"/>
    <numFmt numFmtId="341" formatCode="_-#,##0&quot; t&quot;"/>
    <numFmt numFmtId="342" formatCode="&quot;£&quot;#,##0,&quot;K&quot;_);[Red]\(&quot;£&quot;#,##0,&quot;K&quot;\);&quot;£&quot;0,&quot;K&quot;_)"/>
    <numFmt numFmtId="343" formatCode="&quot;£&quot;#,##0.00,&quot;K&quot;_);[Red]\(&quot;£&quot;#,##0.00,&quot;K&quot;\);&quot;£&quot;0.00,&quot;K&quot;_)"/>
    <numFmt numFmtId="344" formatCode="_-* #,##0\ &quot;TL&quot;_-;\-* #,##0\ &quot;TL&quot;_-;_-* &quot;-&quot;\ &quot;TL&quot;_-;_-@_-"/>
    <numFmt numFmtId="345" formatCode="_-* #,##0.00\ &quot;TL&quot;_-;\-* #,##0.00\ &quot;TL&quot;_-;_-* &quot;-&quot;??\ &quot;TL&quot;_-;_-@_-"/>
    <numFmt numFmtId="346" formatCode="0.00%;[Red]\-0.00%;0.00%"/>
    <numFmt numFmtId="347" formatCode="yyyy"/>
    <numFmt numFmtId="348" formatCode="_-#,##0&quot; years&quot;"/>
    <numFmt numFmtId="349" formatCode="&quot;yes&quot;;&quot;ERROR&quot;;&quot;no&quot;"/>
    <numFmt numFmtId="350" formatCode="#,##0;\(#,##0\);\-"/>
    <numFmt numFmtId="351" formatCode="0.00000"/>
    <numFmt numFmtId="352" formatCode="0.000000"/>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name val="Arial"/>
      <family val="2"/>
    </font>
    <font>
      <b/>
      <sz val="10"/>
      <name val="Arial"/>
      <family val="2"/>
    </font>
    <font>
      <sz val="9"/>
      <name val="Arial"/>
      <family val="2"/>
    </font>
    <font>
      <b/>
      <sz val="10"/>
      <name val="Tms Rmn"/>
    </font>
    <font>
      <sz val="10"/>
      <name val="GillSans"/>
      <family val="2"/>
    </font>
    <font>
      <sz val="10"/>
      <name val="Times New Roman"/>
      <family val="1"/>
    </font>
    <font>
      <sz val="11"/>
      <name val="CG Omega"/>
      <family val="2"/>
    </font>
    <font>
      <sz val="12"/>
      <name val="Arial"/>
      <family val="2"/>
    </font>
    <font>
      <sz val="10"/>
      <color indexed="8"/>
      <name val="MS Sans Serif"/>
      <family val="2"/>
    </font>
    <font>
      <sz val="12"/>
      <name val="Times New Roman"/>
      <family val="1"/>
    </font>
    <font>
      <b/>
      <sz val="10"/>
      <name val="Garamond"/>
      <family val="1"/>
    </font>
    <font>
      <sz val="9"/>
      <name val="Times"/>
      <family val="1"/>
    </font>
    <font>
      <sz val="10"/>
      <name val="Helv"/>
      <charset val="204"/>
    </font>
    <font>
      <sz val="10"/>
      <name val="MS Sans Serif"/>
      <family val="2"/>
    </font>
    <font>
      <sz val="10"/>
      <name val="Geneva"/>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b/>
      <sz val="12"/>
      <name val="Arial"/>
      <family val="2"/>
    </font>
    <font>
      <b/>
      <sz val="14"/>
      <name val="Arial"/>
      <family val="2"/>
    </font>
    <font>
      <sz val="10"/>
      <name val="Tms Rmn"/>
    </font>
    <font>
      <sz val="10"/>
      <name val="Times"/>
      <family val="1"/>
    </font>
    <font>
      <sz val="10"/>
      <color indexed="8"/>
      <name val="Arial"/>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sz val="8"/>
      <name val="Trebuchet MS"/>
      <family val="2"/>
    </font>
    <font>
      <sz val="10"/>
      <name val="Courier New"/>
      <family val="3"/>
    </font>
    <font>
      <b/>
      <sz val="9"/>
      <name val="Helv"/>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sz val="6"/>
      <color indexed="10"/>
      <name val="Trebuchet MS"/>
      <family val="2"/>
    </font>
    <font>
      <b/>
      <sz val="11"/>
      <color indexed="9"/>
      <name val="Calibri"/>
      <family val="2"/>
    </font>
    <font>
      <b/>
      <sz val="9"/>
      <color indexed="18"/>
      <name val="Arial"/>
      <family val="2"/>
    </font>
    <font>
      <b/>
      <sz val="8"/>
      <name val="Arial"/>
      <family val="2"/>
    </font>
    <font>
      <sz val="8"/>
      <name val="Palatino"/>
      <family val="1"/>
    </font>
    <font>
      <sz val="10"/>
      <color indexed="8"/>
      <name val="Verdana"/>
      <family val="2"/>
    </font>
    <font>
      <sz val="10"/>
      <color theme="1"/>
      <name val="Verdana"/>
      <family val="2"/>
    </font>
    <font>
      <sz val="1"/>
      <color indexed="8"/>
      <name val="Courier"/>
      <family val="3"/>
    </font>
    <font>
      <i/>
      <sz val="9"/>
      <name val="MS Sans Serif"/>
      <family val="2"/>
    </font>
    <font>
      <sz val="10"/>
      <name val="MS Serif"/>
      <family val="1"/>
    </font>
    <font>
      <b/>
      <sz val="14"/>
      <color indexed="8"/>
      <name val="Arial"/>
      <family val="2"/>
    </font>
    <font>
      <sz val="10"/>
      <color indexed="10"/>
      <name val="Arial"/>
      <family val="2"/>
    </font>
    <font>
      <sz val="10"/>
      <color indexed="62"/>
      <name val="Arial"/>
      <family val="2"/>
    </font>
    <font>
      <sz val="10"/>
      <color indexed="62"/>
      <name val="Book Antiqua"/>
      <family val="1"/>
    </font>
    <font>
      <sz val="10"/>
      <color indexed="18"/>
      <name val="Arial"/>
      <family val="2"/>
    </font>
    <font>
      <b/>
      <sz val="12"/>
      <color indexed="18"/>
      <name val="Arial"/>
      <family val="2"/>
    </font>
    <font>
      <i/>
      <sz val="10"/>
      <name val="Arial"/>
      <family val="2"/>
    </font>
    <font>
      <b/>
      <sz val="10"/>
      <color indexed="12"/>
      <name val="Arial"/>
      <family val="2"/>
    </font>
    <font>
      <sz val="10"/>
      <name val="Palatino"/>
      <family val="1"/>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sz val="9"/>
      <color indexed="12"/>
      <name val="Arial"/>
      <family val="2"/>
    </font>
    <font>
      <b/>
      <sz val="8"/>
      <color indexed="12"/>
      <name val="Arial"/>
      <family val="2"/>
    </font>
    <font>
      <b/>
      <sz val="10"/>
      <color indexed="43"/>
      <name val="Times New Roman"/>
      <family val="1"/>
    </font>
    <font>
      <sz val="10"/>
      <color indexed="62"/>
      <name val="Times New Roman"/>
      <family val="1"/>
    </font>
    <font>
      <sz val="10"/>
      <color indexed="12"/>
      <name val="Times New Roman"/>
      <family val="1"/>
    </font>
    <font>
      <b/>
      <sz val="12"/>
      <color indexed="9"/>
      <name val="Arial"/>
      <family val="2"/>
    </font>
    <font>
      <b/>
      <sz val="12"/>
      <color indexed="9"/>
      <name val="Trebuchet MS"/>
      <family val="2"/>
    </font>
    <font>
      <b/>
      <sz val="10"/>
      <color indexed="9"/>
      <name val="Arial"/>
      <family val="2"/>
    </font>
    <font>
      <b/>
      <sz val="14"/>
      <name val="Times New Roman"/>
      <family val="1"/>
    </font>
    <font>
      <b/>
      <sz val="10"/>
      <color indexed="9"/>
      <name val="Times New Roman"/>
      <family val="1"/>
    </font>
    <font>
      <b/>
      <sz val="11"/>
      <color indexed="9"/>
      <name val="Arial"/>
      <family val="2"/>
    </font>
    <font>
      <sz val="10"/>
      <color indexed="20"/>
      <name val="Times New Roman"/>
      <family val="1"/>
    </font>
    <font>
      <sz val="10"/>
      <name val="Stone Sans"/>
      <family val="2"/>
    </font>
    <font>
      <sz val="10"/>
      <name val="Optim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8"/>
      <color indexed="56"/>
      <name val="Arial"/>
      <family val="2"/>
    </font>
    <font>
      <b/>
      <sz val="8"/>
      <name val="Times New Roman"/>
      <family val="1"/>
    </font>
    <font>
      <b/>
      <sz val="18"/>
      <color indexed="18"/>
      <name val="Arial"/>
      <family val="2"/>
    </font>
    <font>
      <sz val="12"/>
      <name val="Optima"/>
      <family val="2"/>
    </font>
    <font>
      <b/>
      <i/>
      <sz val="16"/>
      <name val="Helv"/>
    </font>
    <font>
      <sz val="10"/>
      <color rgb="FF000000"/>
      <name val="Verdana"/>
      <family val="2"/>
    </font>
    <font>
      <sz val="10"/>
      <color indexed="14"/>
      <name val="Arial"/>
      <family val="2"/>
    </font>
    <font>
      <b/>
      <sz val="12"/>
      <name val="Stone Sans"/>
      <family val="2"/>
    </font>
    <font>
      <b/>
      <sz val="18"/>
      <name val="Arial"/>
      <family val="2"/>
    </font>
    <font>
      <b/>
      <sz val="14"/>
      <name val="Stone Sans"/>
      <family val="2"/>
    </font>
    <font>
      <sz val="10"/>
      <name val="Stone Sans"/>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sz val="10"/>
      <color indexed="12"/>
      <name val="Arial"/>
      <family val="2"/>
    </font>
    <font>
      <b/>
      <sz val="10"/>
      <color indexed="32"/>
      <name val="Palatino"/>
      <family val="1"/>
    </font>
    <font>
      <i/>
      <sz val="8"/>
      <color indexed="60"/>
      <name val="Times New Roman"/>
      <family val="1"/>
    </font>
    <font>
      <sz val="12"/>
      <color indexed="8"/>
      <name val="Times New Roman"/>
      <family val="1"/>
    </font>
    <font>
      <sz val="14"/>
      <name val="Arial"/>
      <family val="2"/>
    </font>
    <font>
      <b/>
      <sz val="9"/>
      <name val="Arial"/>
      <family val="2"/>
    </font>
    <font>
      <sz val="18"/>
      <name val="Arial"/>
      <family val="2"/>
    </font>
    <font>
      <b/>
      <sz val="14"/>
      <color indexed="9"/>
      <name val="Book Antiqua"/>
      <family val="1"/>
    </font>
    <font>
      <b/>
      <sz val="18"/>
      <color indexed="62"/>
      <name val="Cambria"/>
      <family val="2"/>
    </font>
    <font>
      <b/>
      <sz val="20"/>
      <color indexed="10"/>
      <name val="Arial"/>
      <family val="2"/>
    </font>
    <font>
      <sz val="12"/>
      <color indexed="10"/>
      <name val="Times New Roman"/>
      <family val="1"/>
    </font>
    <font>
      <b/>
      <sz val="10"/>
      <color indexed="62"/>
      <name val="Arial"/>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11"/>
      <name val="Arial"/>
      <family val="2"/>
    </font>
    <font>
      <sz val="9"/>
      <color indexed="8"/>
      <name val="Arial"/>
      <family val="2"/>
    </font>
    <font>
      <u/>
      <sz val="10"/>
      <name val="Arial"/>
      <family val="2"/>
    </font>
    <font>
      <sz val="7"/>
      <name val="Arial"/>
      <family val="2"/>
    </font>
    <font>
      <b/>
      <sz val="16"/>
      <color indexed="9"/>
      <name val="Arial"/>
      <family val="2"/>
    </font>
    <font>
      <b/>
      <sz val="14"/>
      <color indexed="32"/>
      <name val="Arial"/>
      <family val="2"/>
    </font>
    <font>
      <b/>
      <sz val="10"/>
      <name val="Helv"/>
    </font>
    <font>
      <b/>
      <sz val="10"/>
      <color indexed="41"/>
      <name val="Arial"/>
      <family val="2"/>
    </font>
    <font>
      <sz val="10"/>
      <color theme="1"/>
      <name val="Arial Narrow"/>
      <family val="2"/>
    </font>
    <font>
      <b/>
      <sz val="10"/>
      <color theme="1"/>
      <name val="Arial Narrow"/>
      <family val="2"/>
    </font>
    <font>
      <sz val="10"/>
      <name val="Arial Narrow"/>
      <family val="2"/>
    </font>
    <font>
      <b/>
      <sz val="10"/>
      <name val="Arial Narrow"/>
      <family val="2"/>
    </font>
    <font>
      <sz val="10"/>
      <color rgb="FF7030A0"/>
      <name val="Arial Narrow"/>
      <family val="2"/>
    </font>
    <font>
      <sz val="10"/>
      <color rgb="FF000000"/>
      <name val="Arial Narrow"/>
      <family val="2"/>
    </font>
    <font>
      <u/>
      <sz val="10"/>
      <name val="Arial Narrow"/>
      <family val="2"/>
    </font>
    <font>
      <u/>
      <sz val="10"/>
      <color theme="1"/>
      <name val="Arial Narrow"/>
      <family val="2"/>
    </font>
    <font>
      <b/>
      <sz val="10"/>
      <color indexed="8"/>
      <name val="Arial"/>
      <family val="2"/>
    </font>
    <font>
      <i/>
      <sz val="10"/>
      <color indexed="8"/>
      <name val="Arial"/>
      <family val="2"/>
    </font>
    <font>
      <b/>
      <sz val="14"/>
      <color theme="0"/>
      <name val="Arial"/>
      <family val="2"/>
    </font>
    <font>
      <sz val="14"/>
      <color theme="0"/>
      <name val="Arial"/>
      <family val="2"/>
    </font>
    <font>
      <b/>
      <sz val="10"/>
      <color theme="0"/>
      <name val="Arial"/>
      <family val="2"/>
    </font>
    <font>
      <b/>
      <i/>
      <sz val="10"/>
      <color indexed="8"/>
      <name val="Arial"/>
      <family val="2"/>
    </font>
    <font>
      <b/>
      <sz val="10"/>
      <color rgb="FF156579"/>
      <name val="Arial"/>
      <family val="2"/>
    </font>
    <font>
      <i/>
      <sz val="10"/>
      <color theme="0" tint="-0.249977111117893"/>
      <name val="Arial"/>
      <family val="2"/>
    </font>
    <font>
      <sz val="10"/>
      <color theme="0"/>
      <name val="Arial"/>
      <family val="2"/>
    </font>
    <font>
      <b/>
      <sz val="12"/>
      <color indexed="8"/>
      <name val="Arial"/>
      <family val="2"/>
    </font>
    <font>
      <sz val="11"/>
      <color rgb="FF3F3F76"/>
      <name val="Calibri"/>
      <family val="2"/>
      <scheme val="minor"/>
    </font>
    <font>
      <i/>
      <vertAlign val="subscript"/>
      <sz val="10"/>
      <name val="Arial Narrow"/>
      <family val="2"/>
    </font>
    <font>
      <i/>
      <sz val="10"/>
      <name val="Arial Narrow"/>
      <family val="2"/>
    </font>
    <font>
      <b/>
      <sz val="10"/>
      <color rgb="FF0066FF"/>
      <name val="Arial Narrow"/>
      <family val="2"/>
    </font>
  </fonts>
  <fills count="89">
    <fill>
      <patternFill patternType="none"/>
    </fill>
    <fill>
      <patternFill patternType="gray125"/>
    </fill>
    <fill>
      <patternFill patternType="solid">
        <fgColor theme="4" tint="0.59999389629810485"/>
        <bgColor indexed="65"/>
      </patternFill>
    </fill>
    <fill>
      <patternFill patternType="solid">
        <fgColor rgb="FFFFC7CE"/>
      </patternFill>
    </fill>
    <fill>
      <patternFill patternType="solid">
        <fgColor indexed="21"/>
        <bgColor indexed="21"/>
      </patternFill>
    </fill>
    <fill>
      <patternFill patternType="solid">
        <fgColor indexed="22"/>
        <bgColor indexed="64"/>
      </patternFill>
    </fill>
    <fill>
      <patternFill patternType="solid">
        <fgColor indexed="43"/>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61"/>
        <bgColor indexed="61"/>
      </patternFill>
    </fill>
    <fill>
      <patternFill patternType="solid">
        <fgColor indexed="31"/>
        <bgColor indexed="31"/>
      </patternFill>
    </fill>
    <fill>
      <patternFill patternType="solid">
        <fgColor indexed="22"/>
        <bgColor indexed="22"/>
      </patternFill>
    </fill>
    <fill>
      <patternFill patternType="solid">
        <fgColor indexed="44"/>
        <bgColor indexed="44"/>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1"/>
        <bgColor indexed="41"/>
      </patternFill>
    </fill>
    <fill>
      <patternFill patternType="solid">
        <fgColor indexed="54"/>
        <bgColor indexed="54"/>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3"/>
      </patternFill>
    </fill>
    <fill>
      <patternFill patternType="solid">
        <fgColor indexed="10"/>
        <bgColor indexed="64"/>
      </patternFill>
    </fill>
    <fill>
      <patternFill patternType="solid">
        <fgColor indexed="44"/>
        <bgColor indexed="64"/>
      </patternFill>
    </fill>
    <fill>
      <patternFill patternType="solid">
        <fgColor indexed="53"/>
        <bgColor indexed="64"/>
      </patternFill>
    </fill>
    <fill>
      <patternFill patternType="solid">
        <fgColor indexed="45"/>
        <bgColor indexed="45"/>
      </patternFill>
    </fill>
    <fill>
      <patternFill patternType="solid">
        <fgColor indexed="38"/>
        <bgColor indexed="64"/>
      </patternFill>
    </fill>
    <fill>
      <patternFill patternType="solid">
        <fgColor indexed="32"/>
        <bgColor indexed="64"/>
      </patternFill>
    </fill>
    <fill>
      <patternFill patternType="solid">
        <fgColor indexed="45"/>
        <bgColor indexed="64"/>
      </patternFill>
    </fill>
    <fill>
      <patternFill patternType="solid">
        <fgColor indexed="30"/>
        <bgColor indexed="64"/>
      </patternFill>
    </fill>
    <fill>
      <patternFill patternType="solid">
        <fgColor indexed="9"/>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7"/>
        <bgColor indexed="64"/>
      </patternFill>
    </fill>
    <fill>
      <patternFill patternType="solid">
        <fgColor indexed="18"/>
        <bgColor indexed="64"/>
      </patternFill>
    </fill>
    <fill>
      <patternFill patternType="solid">
        <fgColor indexed="62"/>
        <bgColor indexed="64"/>
      </patternFill>
    </fill>
    <fill>
      <patternFill patternType="solid">
        <fgColor indexed="12"/>
        <bgColor indexed="64"/>
      </patternFill>
    </fill>
    <fill>
      <patternFill patternType="solid">
        <fgColor indexed="43"/>
      </patternFill>
    </fill>
    <fill>
      <patternFill patternType="solid">
        <fgColor indexed="50"/>
        <bgColor indexed="64"/>
      </patternFill>
    </fill>
    <fill>
      <patternFill patternType="solid">
        <fgColor indexed="55"/>
        <bgColor indexed="64"/>
      </patternFill>
    </fill>
    <fill>
      <patternFill patternType="solid">
        <fgColor indexed="8"/>
        <bgColor indexed="64"/>
      </patternFill>
    </fill>
    <fill>
      <patternFill patternType="solid">
        <fgColor indexed="46"/>
        <bgColor indexed="64"/>
      </patternFill>
    </fill>
    <fill>
      <patternFill patternType="solid">
        <fgColor indexed="48"/>
        <bgColor indexed="64"/>
      </patternFill>
    </fill>
    <fill>
      <patternFill patternType="solid">
        <fgColor indexed="23"/>
        <bgColor indexed="64"/>
      </patternFill>
    </fill>
    <fill>
      <patternFill patternType="solid">
        <fgColor indexed="11"/>
        <bgColor indexed="8"/>
      </patternFill>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15657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83F35"/>
        <bgColor indexed="64"/>
      </patternFill>
    </fill>
    <fill>
      <patternFill patternType="solid">
        <fgColor rgb="FF99BFC2"/>
        <bgColor indexed="64"/>
      </patternFill>
    </fill>
    <fill>
      <patternFill patternType="solid">
        <fgColor rgb="FFFFCC99"/>
      </patternFill>
    </fill>
  </fills>
  <borders count="8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medium">
        <color indexed="2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top/>
      <bottom style="thick">
        <color indexed="22"/>
      </bottom>
      <diagonal/>
    </border>
    <border>
      <left style="double">
        <color indexed="57"/>
      </left>
      <right style="double">
        <color indexed="57"/>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64"/>
      </right>
      <top/>
      <bottom/>
      <diagonal/>
    </border>
    <border>
      <left/>
      <right/>
      <top style="thin">
        <color auto="1"/>
      </top>
      <bottom style="thin">
        <color auto="1"/>
      </bottom>
      <diagonal/>
    </border>
    <border>
      <left/>
      <right/>
      <top style="thin">
        <color indexed="63"/>
      </top>
      <bottom/>
      <diagonal/>
    </border>
    <border>
      <left/>
      <right/>
      <top style="thin">
        <color indexed="64"/>
      </top>
      <bottom style="thin">
        <color indexed="64"/>
      </bottom>
      <diagonal/>
    </border>
    <border>
      <left/>
      <right/>
      <top style="medium">
        <color indexed="63"/>
      </top>
      <bottom style="double">
        <color indexed="63"/>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3"/>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thin">
        <color rgb="FF7F7F7F"/>
      </left>
      <right style="thin">
        <color rgb="FF7F7F7F"/>
      </right>
      <top style="thin">
        <color rgb="FF7F7F7F"/>
      </top>
      <bottom style="thin">
        <color rgb="FF7F7F7F"/>
      </bottom>
      <diagonal/>
    </border>
  </borders>
  <cellStyleXfs count="16710">
    <xf numFmtId="0" fontId="0" fillId="0" borderId="0"/>
    <xf numFmtId="165" fontId="18" fillId="0" borderId="0" applyFont="0" applyFill="0" applyBorder="0" applyAlignment="0" applyProtection="0"/>
    <xf numFmtId="43" fontId="18" fillId="0" borderId="0" applyFont="0" applyFill="0" applyBorder="0" applyAlignment="0" applyProtection="0"/>
    <xf numFmtId="0" fontId="19" fillId="0" borderId="0"/>
    <xf numFmtId="9" fontId="18"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0" fontId="18" fillId="0" borderId="0"/>
    <xf numFmtId="44" fontId="14" fillId="0" borderId="0" applyFont="0" applyFill="0" applyBorder="0" applyAlignment="0" applyProtection="0"/>
    <xf numFmtId="0" fontId="14" fillId="0" borderId="0"/>
    <xf numFmtId="0" fontId="14" fillId="0" borderId="0"/>
    <xf numFmtId="0" fontId="20" fillId="0" borderId="0"/>
    <xf numFmtId="9" fontId="14"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8" fillId="0" borderId="0"/>
    <xf numFmtId="4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8" fillId="0" borderId="0"/>
    <xf numFmtId="43"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lignment vertical="top"/>
    </xf>
    <xf numFmtId="172" fontId="18" fillId="0" borderId="0">
      <alignment vertical="top"/>
    </xf>
    <xf numFmtId="173" fontId="23" fillId="0" borderId="0"/>
    <xf numFmtId="174" fontId="24" fillId="4" borderId="2">
      <alignment horizontal="center"/>
      <protection locked="0"/>
    </xf>
    <xf numFmtId="175" fontId="18" fillId="0" borderId="0"/>
    <xf numFmtId="175" fontId="18" fillId="0" borderId="0"/>
    <xf numFmtId="175" fontId="18" fillId="0" borderId="0"/>
    <xf numFmtId="175" fontId="18" fillId="0" borderId="0"/>
    <xf numFmtId="175" fontId="18" fillId="0" borderId="0"/>
    <xf numFmtId="172" fontId="25" fillId="0" borderId="0"/>
    <xf numFmtId="173" fontId="23" fillId="0" borderId="0"/>
    <xf numFmtId="175" fontId="18" fillId="0" borderId="0"/>
    <xf numFmtId="175" fontId="18" fillId="0" borderId="0"/>
    <xf numFmtId="175" fontId="18" fillId="0" borderId="0"/>
    <xf numFmtId="175" fontId="18" fillId="0" borderId="0"/>
    <xf numFmtId="175" fontId="18" fillId="0" borderId="0"/>
    <xf numFmtId="176" fontId="26" fillId="0" borderId="0" applyFont="0" applyFill="0" applyBorder="0" applyAlignment="0" applyProtection="0">
      <protection locked="0"/>
    </xf>
    <xf numFmtId="177" fontId="25" fillId="0" borderId="0">
      <alignment horizontal="right"/>
    </xf>
    <xf numFmtId="178" fontId="25" fillId="5" borderId="0"/>
    <xf numFmtId="179" fontId="25" fillId="5" borderId="0"/>
    <xf numFmtId="180" fontId="25" fillId="5" borderId="0"/>
    <xf numFmtId="181" fontId="25" fillId="5" borderId="0">
      <alignment horizontal="right"/>
    </xf>
    <xf numFmtId="0" fontId="18" fillId="0" borderId="0"/>
    <xf numFmtId="0" fontId="27" fillId="0" borderId="0"/>
    <xf numFmtId="182" fontId="27" fillId="0" borderId="0"/>
    <xf numFmtId="182"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169" fontId="18" fillId="0" borderId="0"/>
    <xf numFmtId="169" fontId="18" fillId="0" borderId="0"/>
    <xf numFmtId="0" fontId="18" fillId="0" borderId="0"/>
    <xf numFmtId="173" fontId="18" fillId="0" borderId="0"/>
    <xf numFmtId="179"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172" fontId="18" fillId="0" borderId="0"/>
    <xf numFmtId="0" fontId="18" fillId="0" borderId="0"/>
    <xf numFmtId="172" fontId="27" fillId="0" borderId="0"/>
    <xf numFmtId="172" fontId="18" fillId="0" borderId="0"/>
    <xf numFmtId="172" fontId="18" fillId="0" borderId="0"/>
    <xf numFmtId="172"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28" fillId="6" borderId="0" applyBorder="0">
      <alignment vertical="center"/>
    </xf>
    <xf numFmtId="0" fontId="18" fillId="0" borderId="0"/>
    <xf numFmtId="0" fontId="18" fillId="0" borderId="0"/>
    <xf numFmtId="172"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172" fontId="27" fillId="0" borderId="0"/>
    <xf numFmtId="0" fontId="18" fillId="0" borderId="0"/>
    <xf numFmtId="0" fontId="18" fillId="0" borderId="0"/>
    <xf numFmtId="0" fontId="18" fillId="0" borderId="0"/>
    <xf numFmtId="18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172"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172" fontId="18" fillId="0" borderId="0" applyBorder="0"/>
    <xf numFmtId="184" fontId="28" fillId="6" borderId="0" applyBorder="0">
      <alignment vertical="center"/>
    </xf>
    <xf numFmtId="172" fontId="29" fillId="0" borderId="0" applyNumberFormat="0" applyFont="0" applyFill="0" applyBorder="0" applyAlignment="0" applyProtection="0"/>
    <xf numFmtId="9" fontId="18" fillId="0" borderId="0">
      <alignment horizontal="center"/>
    </xf>
    <xf numFmtId="185" fontId="18" fillId="0" borderId="0" applyFont="0" applyFill="0" applyBorder="0" applyAlignment="0" applyProtection="0"/>
    <xf numFmtId="172" fontId="30" fillId="0" borderId="0" applyNumberFormat="0" applyFill="0" applyBorder="0" applyAlignment="0" applyProtection="0">
      <alignment vertical="top"/>
      <protection locked="0"/>
    </xf>
    <xf numFmtId="16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applyNumberFormat="0" applyFill="0" applyBorder="0" applyAlignment="0" applyProtection="0"/>
    <xf numFmtId="0" fontId="31" fillId="0" borderId="0" applyNumberFormat="0" applyFill="0" applyBorder="0" applyAlignment="0" applyProtection="0"/>
    <xf numFmtId="186" fontId="32"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applyFont="0" applyFill="0" applyBorder="0" applyAlignment="0" applyProtection="0"/>
    <xf numFmtId="0" fontId="31" fillId="0" borderId="0" applyNumberForma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38" fontId="34" fillId="0" borderId="0" applyFont="0" applyFill="0" applyBorder="0" applyAlignment="0" applyProtection="0"/>
    <xf numFmtId="38" fontId="34" fillId="0" borderId="0" applyFont="0" applyFill="0" applyBorder="0" applyAlignment="0" applyProtection="0"/>
    <xf numFmtId="172" fontId="33" fillId="0" borderId="0"/>
    <xf numFmtId="172" fontId="18" fillId="0" borderId="0" applyFont="0" applyFill="0" applyBorder="0" applyAlignment="0" applyProtection="0"/>
    <xf numFmtId="172" fontId="33" fillId="0" borderId="0"/>
    <xf numFmtId="172" fontId="33"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applyFont="0" applyFill="0" applyBorder="0" applyAlignment="0" applyProtection="0"/>
    <xf numFmtId="0" fontId="33" fillId="0" borderId="0"/>
    <xf numFmtId="172" fontId="18" fillId="0" borderId="0"/>
    <xf numFmtId="172" fontId="18"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34" fillId="0" borderId="0" applyFont="0" applyFill="0" applyBorder="0" applyAlignment="0" applyProtection="0"/>
    <xf numFmtId="187" fontId="18" fillId="0" borderId="0" applyFont="0" applyFill="0" applyBorder="0" applyAlignment="0" applyProtection="0"/>
    <xf numFmtId="172" fontId="23" fillId="0" borderId="0" applyFont="0" applyFill="0" applyBorder="0" applyAlignment="0" applyProtection="0"/>
    <xf numFmtId="187" fontId="18" fillId="0" borderId="0" applyFont="0" applyFill="0" applyBorder="0" applyAlignment="0" applyProtection="0"/>
    <xf numFmtId="172" fontId="18" fillId="0" borderId="0"/>
    <xf numFmtId="172" fontId="18" fillId="0" borderId="0"/>
    <xf numFmtId="0" fontId="18" fillId="0" borderId="0"/>
    <xf numFmtId="172" fontId="33"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35" fillId="0" borderId="0"/>
    <xf numFmtId="0" fontId="18" fillId="0" borderId="0" applyFont="0" applyFill="0" applyBorder="0" applyAlignment="0" applyProtection="0"/>
    <xf numFmtId="188" fontId="18" fillId="0" borderId="0" applyFont="0" applyFill="0" applyBorder="0" applyAlignment="0" applyProtection="0"/>
    <xf numFmtId="172" fontId="23" fillId="0" borderId="0" applyFont="0" applyFill="0" applyBorder="0" applyAlignment="0" applyProtection="0"/>
    <xf numFmtId="189"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39" fontId="18" fillId="0" borderId="0" applyFont="0" applyFill="0" applyBorder="0" applyAlignment="0" applyProtection="0"/>
    <xf numFmtId="172" fontId="23" fillId="0" borderId="0" applyFont="0" applyFill="0" applyBorder="0" applyAlignment="0" applyProtection="0"/>
    <xf numFmtId="39" fontId="18" fillId="0" borderId="0" applyFont="0" applyFill="0" applyBorder="0" applyAlignment="0" applyProtection="0"/>
    <xf numFmtId="172"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3" fillId="0" borderId="0"/>
    <xf numFmtId="172" fontId="33" fillId="0" borderId="0"/>
    <xf numFmtId="172" fontId="30" fillId="0" borderId="0"/>
    <xf numFmtId="172" fontId="30" fillId="0" borderId="0"/>
    <xf numFmtId="38" fontId="34" fillId="0" borderId="0" applyAlignment="0" applyProtection="0"/>
    <xf numFmtId="38" fontId="34" fillId="0" borderId="0" applyFont="0" applyBorder="0" applyAlignment="0" applyProtection="0"/>
    <xf numFmtId="190" fontId="18" fillId="0" borderId="0" applyFont="0" applyFill="0" applyBorder="0" applyProtection="0">
      <alignment vertical="top"/>
    </xf>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3" fillId="0" borderId="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3" fillId="0" borderId="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33" fillId="0" borderId="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38" fontId="36" fillId="0" borderId="0" applyAlignment="0" applyProtection="0"/>
    <xf numFmtId="0" fontId="18" fillId="0" borderId="0" applyFont="0" applyFill="0" applyBorder="0" applyAlignment="0" applyProtection="0"/>
    <xf numFmtId="190" fontId="18" fillId="0" borderId="0" applyFont="0" applyFill="0" applyBorder="0" applyProtection="0">
      <alignment vertical="top"/>
    </xf>
    <xf numFmtId="38" fontId="36" fillId="0" borderId="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18" fillId="0" borderId="0"/>
    <xf numFmtId="172" fontId="33" fillId="0" borderId="0"/>
    <xf numFmtId="191" fontId="18" fillId="0" borderId="0" applyFont="0" applyFill="0" applyBorder="0" applyAlignment="0" applyProtection="0"/>
    <xf numFmtId="172" fontId="23" fillId="0" borderId="0" applyFont="0" applyFill="0" applyBorder="0" applyAlignment="0" applyProtection="0"/>
    <xf numFmtId="192"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72" fontId="23" fillId="0" borderId="0" applyFont="0" applyFill="0" applyBorder="0" applyAlignment="0" applyProtection="0"/>
    <xf numFmtId="19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0" fontId="18" fillId="0" borderId="0" applyFont="0" applyFill="0" applyBorder="0" applyAlignment="0" applyProtection="0"/>
    <xf numFmtId="172" fontId="33" fillId="0" borderId="0"/>
    <xf numFmtId="172" fontId="33" fillId="0" borderId="0"/>
    <xf numFmtId="172" fontId="18" fillId="0" borderId="0"/>
    <xf numFmtId="0" fontId="18" fillId="0" borderId="0" applyFont="0" applyFill="0" applyBorder="0" applyAlignment="0" applyProtection="0"/>
    <xf numFmtId="172" fontId="33" fillId="0" borderId="0"/>
    <xf numFmtId="38" fontId="36" fillId="0" borderId="0" applyAlignment="0" applyProtection="0"/>
    <xf numFmtId="0" fontId="35" fillId="0" borderId="0"/>
    <xf numFmtId="0" fontId="35" fillId="0" borderId="0"/>
    <xf numFmtId="172" fontId="18" fillId="0" borderId="0"/>
    <xf numFmtId="172" fontId="18" fillId="0" borderId="0"/>
    <xf numFmtId="38" fontId="34" fillId="0" borderId="0" applyFont="0" applyFill="0" applyBorder="0" applyAlignment="0" applyProtection="0"/>
    <xf numFmtId="38" fontId="34" fillId="0" borderId="0" applyFont="0" applyFill="0" applyBorder="0" applyAlignment="0" applyProtection="0"/>
    <xf numFmtId="0" fontId="18" fillId="0" borderId="0"/>
    <xf numFmtId="0" fontId="18" fillId="0" borderId="0"/>
    <xf numFmtId="0" fontId="18" fillId="0" borderId="0"/>
    <xf numFmtId="0" fontId="18" fillId="0" borderId="0"/>
    <xf numFmtId="195" fontId="18" fillId="0" borderId="0" applyFont="0" applyFill="0" applyBorder="0" applyAlignment="0" applyProtection="0"/>
    <xf numFmtId="172" fontId="23" fillId="0" borderId="0" applyFont="0" applyFill="0" applyBorder="0" applyAlignment="0" applyProtection="0"/>
    <xf numFmtId="196"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172" fontId="23" fillId="0" borderId="0" applyFont="0" applyFill="0" applyBorder="0" applyAlignment="0" applyProtection="0"/>
    <xf numFmtId="198"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72" fontId="37" fillId="0" borderId="0"/>
    <xf numFmtId="172" fontId="37" fillId="0" borderId="0"/>
    <xf numFmtId="172" fontId="37" fillId="0" borderId="0"/>
    <xf numFmtId="172" fontId="18" fillId="0" borderId="0" applyFont="0" applyFill="0" applyBorder="0" applyAlignment="0" applyProtection="0"/>
    <xf numFmtId="0" fontId="1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xf numFmtId="0" fontId="35" fillId="0" borderId="0"/>
    <xf numFmtId="0" fontId="35" fillId="0" borderId="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0" fontId="18" fillId="0" borderId="0" applyFont="0" applyFill="0" applyBorder="0" applyAlignment="0" applyProtection="0"/>
    <xf numFmtId="172" fontId="38" fillId="0" borderId="0" applyNumberFormat="0" applyFill="0" applyBorder="0" applyProtection="0">
      <alignment horizontal="left"/>
    </xf>
    <xf numFmtId="172" fontId="39" fillId="0" borderId="0" applyNumberFormat="0" applyFill="0" applyBorder="0" applyProtection="0">
      <alignment horizontal="centerContinuous"/>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37" fillId="0" borderId="0"/>
    <xf numFmtId="172" fontId="37" fillId="0" borderId="0"/>
    <xf numFmtId="199" fontId="40" fillId="0" borderId="0"/>
    <xf numFmtId="172" fontId="30" fillId="0" borderId="0"/>
    <xf numFmtId="172" fontId="30" fillId="0" borderId="0"/>
    <xf numFmtId="172" fontId="37" fillId="0" borderId="0"/>
    <xf numFmtId="172" fontId="37" fillId="0" borderId="0"/>
    <xf numFmtId="172" fontId="37" fillId="0" borderId="0"/>
    <xf numFmtId="0" fontId="18" fillId="0" borderId="0" applyFont="0" applyFill="0" applyBorder="0" applyAlignment="0" applyProtection="0"/>
    <xf numFmtId="172" fontId="18" fillId="0" borderId="0"/>
    <xf numFmtId="172" fontId="33" fillId="0" borderId="0"/>
    <xf numFmtId="199" fontId="4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200" fontId="41" fillId="0" borderId="0" applyFont="0" applyFill="0" applyBorder="0" applyAlignment="0" applyProtection="0"/>
    <xf numFmtId="201" fontId="30" fillId="0" borderId="0" applyFont="0" applyFill="0" applyBorder="0" applyAlignment="0" applyProtection="0"/>
    <xf numFmtId="202" fontId="42" fillId="0" borderId="0"/>
    <xf numFmtId="203" fontId="30" fillId="0" borderId="0" applyFont="0" applyFill="0" applyBorder="0" applyAlignment="0" applyProtection="0"/>
    <xf numFmtId="204" fontId="41" fillId="0" borderId="0" applyFont="0" applyFill="0" applyBorder="0" applyAlignment="0" applyProtection="0"/>
    <xf numFmtId="0" fontId="27" fillId="0" borderId="0"/>
    <xf numFmtId="0" fontId="18" fillId="0" borderId="0"/>
    <xf numFmtId="0" fontId="18" fillId="0" borderId="0"/>
    <xf numFmtId="0" fontId="18" fillId="0" borderId="0"/>
    <xf numFmtId="169"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0" fontId="27" fillId="0" borderId="0">
      <alignment vertical="justify"/>
    </xf>
    <xf numFmtId="172" fontId="18" fillId="0" borderId="0"/>
    <xf numFmtId="171" fontId="18" fillId="0" borderId="0" applyBorder="0"/>
    <xf numFmtId="0" fontId="18" fillId="0" borderId="0"/>
    <xf numFmtId="0" fontId="18" fillId="0" borderId="0"/>
    <xf numFmtId="172" fontId="18" fillId="0" borderId="0" applyBorder="0"/>
    <xf numFmtId="171" fontId="18" fillId="0" borderId="0" applyBorder="0"/>
    <xf numFmtId="199" fontId="40" fillId="0" borderId="0"/>
    <xf numFmtId="205" fontId="42" fillId="0" borderId="0"/>
    <xf numFmtId="205" fontId="43" fillId="0" borderId="0"/>
    <xf numFmtId="206" fontId="42" fillId="0" borderId="0"/>
    <xf numFmtId="207" fontId="26" fillId="0" borderId="0" applyFont="0" applyFill="0" applyBorder="0" applyAlignment="0" applyProtection="0">
      <protection locked="0"/>
    </xf>
    <xf numFmtId="0" fontId="44" fillId="0" borderId="0" applyNumberFormat="0" applyFill="0" applyBorder="0" applyAlignment="0" applyProtection="0"/>
    <xf numFmtId="0" fontId="45" fillId="0" borderId="0" applyNumberFormat="0" applyFill="0" applyBorder="0" applyAlignment="0" applyProtection="0"/>
    <xf numFmtId="208" fontId="46" fillId="0" borderId="0"/>
    <xf numFmtId="172" fontId="43" fillId="0" borderId="0"/>
    <xf numFmtId="208" fontId="47" fillId="0" borderId="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48"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9" fontId="49" fillId="8"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8"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9" fontId="49" fillId="10"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4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9" fontId="49" fillId="12"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8"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69" fontId="49" fillId="16"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8" fillId="10"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169" fontId="49" fillId="17" borderId="0" applyNumberFormat="0" applyBorder="0" applyAlignment="0" applyProtection="0"/>
    <xf numFmtId="209" fontId="42" fillId="0" borderId="0"/>
    <xf numFmtId="210" fontId="43" fillId="0" borderId="0"/>
    <xf numFmtId="209" fontId="50" fillId="0" borderId="0"/>
    <xf numFmtId="0" fontId="18" fillId="0" borderId="0"/>
    <xf numFmtId="0" fontId="18" fillId="0" borderId="0"/>
    <xf numFmtId="211" fontId="42" fillId="0" borderId="0"/>
    <xf numFmtId="0" fontId="12" fillId="2"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2" fillId="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48"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9" fontId="49" fillId="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8"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69" fontId="49" fillId="20"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48"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9" fontId="49" fillId="14"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8" fillId="18"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9" fontId="49" fillId="15"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8" fillId="1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169" fontId="49" fillId="22"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1" fillId="18"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169" fontId="53" fillId="23"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169" fontId="53" fillId="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9" fontId="53" fillId="20"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1" fillId="21"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1" fillId="18"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1" fillId="1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9" fontId="53" fillId="26" borderId="0" applyNumberFormat="0" applyBorder="0" applyAlignment="0" applyProtection="0"/>
    <xf numFmtId="0" fontId="23" fillId="0" borderId="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169" fontId="53" fillId="3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169" fontId="53" fillId="37" borderId="0" applyNumberFormat="0" applyBorder="0" applyAlignment="0" applyProtection="0"/>
    <xf numFmtId="0" fontId="20" fillId="27"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52" fillId="30"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3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9" fontId="53" fillId="19"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52" fillId="3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4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9" fontId="53" fillId="24" borderId="0" applyNumberFormat="0" applyBorder="0" applyAlignment="0" applyProtection="0"/>
    <xf numFmtId="0" fontId="20" fillId="27" borderId="0" applyNumberFormat="0" applyBorder="0" applyAlignment="0" applyProtection="0"/>
    <xf numFmtId="0" fontId="20" fillId="41" borderId="0" applyNumberFormat="0" applyBorder="0" applyAlignment="0" applyProtection="0"/>
    <xf numFmtId="0" fontId="20" fillId="27" borderId="0" applyNumberFormat="0" applyBorder="0" applyAlignment="0" applyProtection="0"/>
    <xf numFmtId="0" fontId="20" fillId="42" borderId="0" applyNumberFormat="0" applyBorder="0" applyAlignment="0" applyProtection="0"/>
    <xf numFmtId="0" fontId="52" fillId="31"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43"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9" fontId="53" fillId="2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27"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69" fontId="53" fillId="47" borderId="0" applyNumberFormat="0" applyBorder="0" applyAlignment="0" applyProtection="0"/>
    <xf numFmtId="212" fontId="18" fillId="48" borderId="3" applyFont="0" applyFill="0" applyBorder="0" applyAlignment="0" applyProtection="0"/>
    <xf numFmtId="213" fontId="54" fillId="0" borderId="4">
      <alignment horizontal="centerContinuous"/>
    </xf>
    <xf numFmtId="214" fontId="22" fillId="49" borderId="5">
      <alignment horizontal="center" vertical="center"/>
    </xf>
    <xf numFmtId="171" fontId="26" fillId="0" borderId="0" applyFont="0" applyFill="0" applyBorder="0" applyAlignment="0" applyProtection="0"/>
    <xf numFmtId="172" fontId="26" fillId="0" borderId="0" applyFont="0" applyFill="0" applyBorder="0" applyAlignment="0" applyProtection="0"/>
    <xf numFmtId="0" fontId="35" fillId="0" borderId="0"/>
    <xf numFmtId="199" fontId="55" fillId="0" borderId="0" applyNumberFormat="0" applyFont="0" applyFill="0" applyBorder="0" applyProtection="0">
      <alignment horizontal="center"/>
    </xf>
    <xf numFmtId="215" fontId="56" fillId="0" borderId="0">
      <alignment horizontal="left"/>
    </xf>
    <xf numFmtId="0" fontId="46" fillId="0" borderId="0"/>
    <xf numFmtId="0" fontId="57" fillId="0" borderId="6">
      <alignment horizontal="center" vertical="center"/>
    </xf>
    <xf numFmtId="216" fontId="26" fillId="50" borderId="7" applyNumberFormat="0" applyFont="0" applyAlignment="0" applyProtection="0">
      <alignment vertical="center"/>
    </xf>
    <xf numFmtId="217" fontId="58" fillId="0" borderId="0" applyFont="0" applyFill="0" applyBorder="0" applyAlignment="0" applyProtection="0"/>
    <xf numFmtId="172" fontId="26" fillId="0" borderId="0" applyFont="0" applyFill="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1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169" fontId="61" fillId="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169" fontId="63" fillId="10" borderId="0" applyNumberFormat="0" applyBorder="0" applyAlignment="0" applyProtection="0"/>
    <xf numFmtId="218" fontId="64" fillId="52" borderId="8" applyNumberFormat="0" applyBorder="0" applyAlignment="0">
      <alignment horizontal="centerContinuous" vertical="center"/>
      <protection hidden="1"/>
    </xf>
    <xf numFmtId="1" fontId="65" fillId="53" borderId="3" applyNumberFormat="0" applyBorder="0" applyAlignment="0">
      <alignment horizontal="center" vertical="top" wrapText="1"/>
      <protection hidden="1"/>
    </xf>
    <xf numFmtId="219" fontId="18" fillId="0" borderId="0" applyFont="0" applyFill="0" applyBorder="0" applyAlignment="0" applyProtection="0"/>
    <xf numFmtId="187" fontId="18" fillId="0" borderId="0" applyNumberFormat="0" applyFont="0" applyAlignment="0" applyProtection="0"/>
    <xf numFmtId="216" fontId="26" fillId="54" borderId="9" applyNumberFormat="0" applyFont="0" applyAlignment="0" applyProtection="0">
      <alignment vertical="center"/>
    </xf>
    <xf numFmtId="172" fontId="66" fillId="55" borderId="0">
      <alignment horizontal="left"/>
    </xf>
    <xf numFmtId="220" fontId="67" fillId="0" borderId="0" applyFill="0" applyBorder="0" applyAlignment="0" applyProtection="0"/>
    <xf numFmtId="2" fontId="68" fillId="56" borderId="10" applyProtection="0">
      <alignment horizontal="left"/>
      <protection locked="0"/>
    </xf>
    <xf numFmtId="172" fontId="22" fillId="49" borderId="0" applyNumberFormat="0" applyFont="0" applyAlignment="0">
      <alignment horizontal="center"/>
    </xf>
    <xf numFmtId="221" fontId="44" fillId="49" borderId="0" applyFont="0" applyFill="0" applyBorder="0" applyAlignment="0" applyProtection="0"/>
    <xf numFmtId="172" fontId="69" fillId="0" borderId="0" applyNumberFormat="0" applyFill="0" applyBorder="0" applyAlignment="0" applyProtection="0"/>
    <xf numFmtId="172" fontId="70" fillId="0" borderId="4" applyNumberFormat="0" applyFill="0" applyAlignment="0" applyProtection="0"/>
    <xf numFmtId="172" fontId="42" fillId="0" borderId="0"/>
    <xf numFmtId="222" fontId="71" fillId="6" borderId="0" applyFont="0" applyFill="0" applyBorder="0" applyAlignment="0" applyProtection="0"/>
    <xf numFmtId="223" fontId="18" fillId="0" borderId="0" applyFont="0" applyFill="0" applyBorder="0" applyAlignment="0" applyProtection="0"/>
    <xf numFmtId="224" fontId="23" fillId="0" borderId="0" applyAlignment="0" applyProtection="0"/>
    <xf numFmtId="49" fontId="40" fillId="0" borderId="0" applyNumberFormat="0" applyAlignment="0" applyProtection="0">
      <alignment horizontal="left"/>
    </xf>
    <xf numFmtId="49" fontId="72" fillId="0" borderId="11" applyNumberFormat="0" applyAlignment="0" applyProtection="0">
      <alignment horizontal="left" wrapText="1"/>
    </xf>
    <xf numFmtId="49" fontId="73" fillId="0" borderId="0" applyAlignment="0" applyProtection="0">
      <alignment horizontal="left"/>
    </xf>
    <xf numFmtId="225" fontId="30" fillId="0" borderId="0" applyFont="0" applyFill="0" applyBorder="0" applyAlignment="0" applyProtection="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4" fillId="0" borderId="0"/>
    <xf numFmtId="172" fontId="75" fillId="0" borderId="0"/>
    <xf numFmtId="226" fontId="23" fillId="0" borderId="0"/>
    <xf numFmtId="227" fontId="23" fillId="0" borderId="0"/>
    <xf numFmtId="228" fontId="23" fillId="0" borderId="0"/>
    <xf numFmtId="226" fontId="23" fillId="0" borderId="12"/>
    <xf numFmtId="227" fontId="23" fillId="0" borderId="12"/>
    <xf numFmtId="227" fontId="23" fillId="0" borderId="12"/>
    <xf numFmtId="228" fontId="23" fillId="0" borderId="12"/>
    <xf numFmtId="228" fontId="23" fillId="0" borderId="12"/>
    <xf numFmtId="226" fontId="23" fillId="0" borderId="12"/>
    <xf numFmtId="229" fontId="23" fillId="0" borderId="0"/>
    <xf numFmtId="172" fontId="26" fillId="0" borderId="0" applyFill="0" applyBorder="0" applyAlignment="0"/>
    <xf numFmtId="230" fontId="23" fillId="0" borderId="0"/>
    <xf numFmtId="231" fontId="23" fillId="0" borderId="0"/>
    <xf numFmtId="229" fontId="23" fillId="0" borderId="12"/>
    <xf numFmtId="230" fontId="23" fillId="0" borderId="12"/>
    <xf numFmtId="230" fontId="23" fillId="0" borderId="12"/>
    <xf numFmtId="231" fontId="23" fillId="0" borderId="12"/>
    <xf numFmtId="231" fontId="23" fillId="0" borderId="12"/>
    <xf numFmtId="229" fontId="23" fillId="0" borderId="12"/>
    <xf numFmtId="232" fontId="23" fillId="0" borderId="0">
      <alignment horizontal="right"/>
      <protection locked="0"/>
    </xf>
    <xf numFmtId="233" fontId="23" fillId="0" borderId="0">
      <alignment horizontal="right"/>
      <protection locked="0"/>
    </xf>
    <xf numFmtId="234" fontId="23" fillId="0" borderId="0"/>
    <xf numFmtId="235" fontId="23" fillId="0" borderId="0"/>
    <xf numFmtId="236" fontId="23" fillId="0" borderId="0"/>
    <xf numFmtId="234" fontId="23" fillId="0" borderId="12"/>
    <xf numFmtId="235" fontId="23" fillId="0" borderId="12"/>
    <xf numFmtId="235" fontId="23" fillId="0" borderId="12"/>
    <xf numFmtId="236" fontId="23" fillId="0" borderId="12"/>
    <xf numFmtId="236" fontId="23" fillId="0" borderId="12"/>
    <xf numFmtId="234" fontId="23" fillId="0" borderId="12"/>
    <xf numFmtId="0" fontId="18" fillId="0" borderId="0"/>
    <xf numFmtId="0" fontId="18" fillId="0" borderId="0" applyBorder="0"/>
    <xf numFmtId="2" fontId="18" fillId="0" borderId="0"/>
    <xf numFmtId="170" fontId="18" fillId="0" borderId="0"/>
    <xf numFmtId="237" fontId="18" fillId="5" borderId="0"/>
    <xf numFmtId="172" fontId="18" fillId="0" borderId="0">
      <alignment vertical="center"/>
    </xf>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6" fillId="57" borderId="13" applyNumberFormat="0" applyAlignment="0" applyProtection="0"/>
    <xf numFmtId="0" fontId="77" fillId="21" borderId="13" applyNumberFormat="0" applyAlignment="0" applyProtection="0"/>
    <xf numFmtId="238" fontId="26" fillId="0" borderId="9" applyAlignment="0">
      <alignment vertical="center"/>
    </xf>
    <xf numFmtId="239" fontId="18" fillId="0" borderId="14" applyFont="0" applyFill="0" applyBorder="0" applyAlignment="0" applyProtection="0"/>
    <xf numFmtId="240" fontId="18" fillId="0" borderId="14" applyFont="0" applyFill="0" applyBorder="0" applyAlignment="0" applyProtection="0"/>
    <xf numFmtId="241" fontId="18" fillId="0" borderId="15" applyFont="0" applyFill="0" applyBorder="0" applyAlignment="0" applyProtection="0"/>
    <xf numFmtId="242" fontId="18" fillId="0" borderId="14" applyFont="0" applyFill="0" applyBorder="0" applyAlignment="0" applyProtection="0"/>
    <xf numFmtId="38" fontId="78" fillId="0" borderId="0" applyNumberFormat="0" applyFill="0" applyBorder="0" applyAlignment="0" applyProtection="0"/>
    <xf numFmtId="0" fontId="79" fillId="35" borderId="16" applyNumberFormat="0" applyAlignment="0" applyProtection="0"/>
    <xf numFmtId="0" fontId="79" fillId="58" borderId="16" applyNumberFormat="0" applyAlignment="0" applyProtection="0"/>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8" fontId="18" fillId="0" borderId="0" applyNumberFormat="0" applyFill="0" applyBorder="0" applyAlignment="0" applyProtection="0">
      <protection locked="0"/>
    </xf>
    <xf numFmtId="37" fontId="22" fillId="0" borderId="4">
      <alignment horizontal="center"/>
    </xf>
    <xf numFmtId="37" fontId="22" fillId="0" borderId="0">
      <alignment horizontal="center" vertical="center" wrapText="1"/>
    </xf>
    <xf numFmtId="1" fontId="80" fillId="0" borderId="17">
      <alignment vertical="top"/>
    </xf>
    <xf numFmtId="243" fontId="81" fillId="0" borderId="0" applyBorder="0">
      <alignment horizontal="right"/>
    </xf>
    <xf numFmtId="243" fontId="81" fillId="0" borderId="1" applyAlignment="0">
      <alignment horizontal="right"/>
    </xf>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244" fontId="30" fillId="0" borderId="0"/>
    <xf numFmtId="38" fontId="18" fillId="0" borderId="0" applyFont="0" applyFill="0" applyBorder="0" applyAlignment="0" applyProtection="0"/>
    <xf numFmtId="245" fontId="18" fillId="0" borderId="14" applyFont="0" applyFill="0" applyBorder="0" applyAlignment="0" applyProtection="0"/>
    <xf numFmtId="246" fontId="18" fillId="0" borderId="14" applyFont="0" applyFill="0" applyBorder="0" applyAlignment="0" applyProtection="0"/>
    <xf numFmtId="199" fontId="26" fillId="0" borderId="0" applyFont="0" applyFill="0" applyBorder="0" applyAlignment="0" applyProtection="0">
      <protection locked="0"/>
    </xf>
    <xf numFmtId="40" fontId="26" fillId="0" borderId="0" applyFont="0" applyFill="0" applyBorder="0" applyAlignment="0" applyProtection="0">
      <protection locked="0"/>
    </xf>
    <xf numFmtId="247" fontId="18" fillId="0" borderId="14" applyFont="0" applyFill="0" applyBorder="0" applyAlignment="0" applyProtection="0"/>
    <xf numFmtId="248" fontId="26" fillId="0" borderId="0" applyFont="0" applyFill="0" applyBorder="0" applyAlignment="0" applyProtection="0"/>
    <xf numFmtId="249" fontId="26" fillId="0" borderId="0" applyFont="0" applyFill="0" applyBorder="0" applyAlignment="0" applyProtection="0"/>
    <xf numFmtId="247" fontId="18" fillId="0" borderId="14" applyFont="0" applyFill="0" applyBorder="0" applyAlignment="0" applyProtection="0"/>
    <xf numFmtId="250" fontId="18" fillId="0" borderId="14" applyFont="0" applyFill="0" applyBorder="0" applyAlignment="0" applyProtection="0"/>
    <xf numFmtId="251" fontId="26" fillId="0" borderId="0" applyFont="0" applyFill="0" applyBorder="0" applyAlignment="0" applyProtection="0"/>
    <xf numFmtId="0" fontId="18" fillId="0" borderId="0" applyNumberFormat="0" applyFont="0" applyBorder="0" applyAlignment="0"/>
    <xf numFmtId="202" fontId="42" fillId="0" borderId="0"/>
    <xf numFmtId="252" fontId="46" fillId="0" borderId="0"/>
    <xf numFmtId="172" fontId="82" fillId="0" borderId="0" applyFont="0" applyFill="0" applyBorder="0" applyAlignment="0" applyProtection="0">
      <alignment horizontal="right"/>
    </xf>
    <xf numFmtId="253" fontId="82" fillId="0" borderId="0" applyFont="0" applyFill="0" applyBorder="0" applyAlignment="0" applyProtection="0"/>
    <xf numFmtId="172" fontId="82" fillId="0" borderId="0" applyFont="0" applyFill="0" applyBorder="0" applyAlignment="0" applyProtection="0">
      <alignment horizontal="right"/>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7" fillId="0" borderId="0" applyFont="0" applyFill="0" applyBorder="0" applyAlignment="0" applyProtection="0"/>
    <xf numFmtId="252" fontId="27" fillId="0" borderId="0" applyFont="0" applyFill="0" applyBorder="0" applyAlignment="0" applyProtection="0"/>
    <xf numFmtId="182" fontId="27" fillId="0" borderId="0" applyFont="0" applyFill="0" applyBorder="0" applyAlignment="0" applyProtection="0"/>
    <xf numFmtId="187" fontId="27" fillId="0" borderId="0" applyFont="0" applyFill="0" applyBorder="0" applyAlignment="0" applyProtection="0"/>
    <xf numFmtId="18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254" fontId="27" fillId="0" borderId="0" applyFont="0" applyFill="0" applyBorder="0" applyAlignment="0" applyProtection="0"/>
    <xf numFmtId="255" fontId="27" fillId="0" borderId="0" applyFont="0" applyFill="0" applyBorder="0" applyAlignment="0" applyProtection="0"/>
    <xf numFmtId="255" fontId="27" fillId="0" borderId="0" applyFont="0" applyFill="0" applyBorder="0" applyAlignment="0" applyProtection="0"/>
    <xf numFmtId="243" fontId="27" fillId="0" borderId="0" applyFont="0" applyFill="0" applyBorder="0" applyAlignment="0" applyProtection="0"/>
    <xf numFmtId="181"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56" fontId="27" fillId="0" borderId="0" applyFont="0" applyFill="0" applyBorder="0" applyAlignment="0" applyProtection="0"/>
    <xf numFmtId="243" fontId="27" fillId="0" borderId="0" applyFont="0" applyFill="0" applyBorder="0" applyAlignment="0" applyProtection="0"/>
    <xf numFmtId="243"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8" fillId="0" borderId="0" applyFont="0" applyFill="0" applyBorder="0" applyAlignment="0" applyProtection="0"/>
    <xf numFmtId="165" fontId="26"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18"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257" fontId="18"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2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84"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258" fontId="18" fillId="0" borderId="0" applyFont="0" applyFill="0" applyBorder="0" applyAlignment="0" applyProtection="0"/>
    <xf numFmtId="165" fontId="4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8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18" fillId="0" borderId="0" applyFont="0" applyFill="0" applyBorder="0" applyAlignment="0" applyProtection="0"/>
    <xf numFmtId="165" fontId="84"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65" fontId="2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259" fontId="26" fillId="0" borderId="0" applyFont="0" applyFill="0" applyBorder="0" applyAlignment="0" applyProtection="0"/>
    <xf numFmtId="260" fontId="26" fillId="0" borderId="0" applyFont="0" applyFill="0" applyBorder="0" applyAlignment="0" applyProtection="0"/>
    <xf numFmtId="261" fontId="18" fillId="0" borderId="0" applyFont="0" applyFill="0" applyBorder="0" applyAlignment="0" applyProtection="0"/>
    <xf numFmtId="38" fontId="30" fillId="0" borderId="0" applyFill="0" applyBorder="0" applyProtection="0">
      <alignment horizontal="center"/>
    </xf>
    <xf numFmtId="172" fontId="85" fillId="0" borderId="0">
      <protection locked="0"/>
    </xf>
    <xf numFmtId="262" fontId="18" fillId="0" borderId="0" applyBorder="0"/>
    <xf numFmtId="263" fontId="40" fillId="0" borderId="0" applyBorder="0"/>
    <xf numFmtId="172" fontId="86" fillId="0" borderId="0"/>
    <xf numFmtId="264" fontId="18" fillId="0" borderId="0" applyFill="0" applyBorder="0">
      <alignment horizontal="left"/>
    </xf>
    <xf numFmtId="172" fontId="87" fillId="0" borderId="0" applyNumberFormat="0" applyAlignment="0">
      <alignment horizontal="left"/>
    </xf>
    <xf numFmtId="37" fontId="18" fillId="59" borderId="0" applyFont="0" applyBorder="0" applyAlignment="0" applyProtection="0"/>
    <xf numFmtId="187" fontId="37" fillId="59" borderId="0" applyFont="0" applyBorder="0" applyAlignment="0" applyProtection="0"/>
    <xf numFmtId="39" fontId="37" fillId="59" borderId="0" applyFont="0" applyBorder="0" applyAlignment="0" applyProtection="0"/>
    <xf numFmtId="168" fontId="88" fillId="0" borderId="0"/>
    <xf numFmtId="265" fontId="26" fillId="0" borderId="0" applyFont="0" applyFill="0" applyBorder="0" applyProtection="0">
      <alignment horizontal="right" vertical="center"/>
    </xf>
    <xf numFmtId="266" fontId="18" fillId="0" borderId="0" applyFont="0" applyFill="0" applyBorder="0" applyAlignment="0" applyProtection="0"/>
    <xf numFmtId="267" fontId="26" fillId="0" borderId="0" applyFont="0" applyFill="0" applyBorder="0" applyAlignment="0" applyProtection="0">
      <protection locked="0"/>
    </xf>
    <xf numFmtId="174" fontId="26" fillId="0" borderId="0" applyFont="0" applyFill="0" applyBorder="0" applyAlignment="0" applyProtection="0">
      <protection locked="0"/>
    </xf>
    <xf numFmtId="268" fontId="26" fillId="0" borderId="0" applyFont="0" applyFill="0" applyBorder="0" applyAlignment="0" applyProtection="0"/>
    <xf numFmtId="269" fontId="26" fillId="0" borderId="0" applyFont="0" applyFill="0" applyBorder="0" applyAlignment="0" applyProtection="0"/>
    <xf numFmtId="270" fontId="26" fillId="0" borderId="0" applyFont="0" applyFill="0" applyBorder="0" applyAlignment="0" applyProtection="0"/>
    <xf numFmtId="242" fontId="26" fillId="0" borderId="0" applyFont="0" applyFill="0" applyBorder="0" applyAlignment="0" applyProtection="0"/>
    <xf numFmtId="271" fontId="26" fillId="0" borderId="0" applyFont="0" applyFill="0" applyBorder="0" applyAlignment="0" applyProtection="0"/>
    <xf numFmtId="272" fontId="18" fillId="0" borderId="0">
      <alignment horizontal="right"/>
    </xf>
    <xf numFmtId="171" fontId="89" fillId="0" borderId="0" applyFill="0" applyBorder="0">
      <protection locked="0"/>
    </xf>
    <xf numFmtId="273" fontId="18" fillId="0" borderId="0" applyFill="0" applyBorder="0"/>
    <xf numFmtId="273" fontId="89" fillId="0" borderId="0" applyFill="0" applyBorder="0">
      <protection locked="0"/>
    </xf>
    <xf numFmtId="172" fontId="8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74" fontId="18" fillId="0" borderId="0" applyFont="0" applyFill="0" applyBorder="0" applyAlignment="0" applyProtection="0"/>
    <xf numFmtId="172" fontId="82" fillId="0" borderId="0" applyFont="0" applyFill="0" applyBorder="0" applyAlignment="0" applyProtection="0">
      <alignment horizontal="right"/>
    </xf>
    <xf numFmtId="164" fontId="12" fillId="0" borderId="0" applyFont="0" applyFill="0" applyBorder="0" applyAlignment="0" applyProtection="0"/>
    <xf numFmtId="164" fontId="12" fillId="0" borderId="0" applyFont="0" applyFill="0" applyBorder="0" applyAlignment="0" applyProtection="0"/>
    <xf numFmtId="264" fontId="1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4" fontId="12" fillId="0" borderId="0" applyFont="0" applyFill="0" applyBorder="0" applyAlignment="0" applyProtection="0"/>
    <xf numFmtId="275" fontId="26" fillId="0" borderId="0" applyFont="0" applyFill="0" applyBorder="0" applyAlignment="0" applyProtection="0"/>
    <xf numFmtId="276" fontId="26" fillId="0" borderId="0" applyFont="0" applyFill="0" applyBorder="0" applyAlignment="0" applyProtection="0"/>
    <xf numFmtId="277" fontId="18" fillId="0" borderId="0" applyFont="0" applyFill="0" applyBorder="0" applyAlignment="0" applyProtection="0"/>
    <xf numFmtId="172" fontId="18" fillId="0" borderId="0" applyFont="0" applyFill="0" applyBorder="0" applyAlignment="0" applyProtection="0"/>
    <xf numFmtId="278" fontId="25" fillId="5" borderId="10">
      <alignment horizontal="right"/>
    </xf>
    <xf numFmtId="279" fontId="30" fillId="0" borderId="0" applyFont="0" applyFill="0" applyBorder="0" applyAlignment="0" applyProtection="0"/>
    <xf numFmtId="226" fontId="23" fillId="6" borderId="6">
      <protection locked="0"/>
    </xf>
    <xf numFmtId="227" fontId="23" fillId="6" borderId="6">
      <protection locked="0"/>
    </xf>
    <xf numFmtId="228" fontId="23" fillId="6" borderId="6">
      <protection locked="0"/>
    </xf>
    <xf numFmtId="229" fontId="23" fillId="6" borderId="6">
      <protection locked="0"/>
    </xf>
    <xf numFmtId="230" fontId="23" fillId="6" borderId="6">
      <protection locked="0"/>
    </xf>
    <xf numFmtId="231" fontId="23" fillId="6" borderId="6">
      <protection locked="0"/>
    </xf>
    <xf numFmtId="232" fontId="23" fillId="60" borderId="6">
      <alignment horizontal="right"/>
      <protection locked="0"/>
    </xf>
    <xf numFmtId="233" fontId="23" fillId="60" borderId="6">
      <alignment horizontal="right"/>
      <protection locked="0"/>
    </xf>
    <xf numFmtId="0" fontId="90" fillId="6" borderId="7">
      <alignment horizontal="right"/>
    </xf>
    <xf numFmtId="280" fontId="23" fillId="61" borderId="6">
      <alignment horizontal="left"/>
      <protection locked="0"/>
    </xf>
    <xf numFmtId="49" fontId="23" fillId="62" borderId="6">
      <alignment horizontal="left" vertical="top" wrapText="1"/>
      <protection locked="0"/>
    </xf>
    <xf numFmtId="234" fontId="23" fillId="6" borderId="6">
      <protection locked="0"/>
    </xf>
    <xf numFmtId="235" fontId="23" fillId="6" borderId="6">
      <protection locked="0"/>
    </xf>
    <xf numFmtId="236" fontId="23" fillId="6" borderId="6">
      <protection locked="0"/>
    </xf>
    <xf numFmtId="0" fontId="44" fillId="0" borderId="0"/>
    <xf numFmtId="49" fontId="23" fillId="62" borderId="6">
      <alignment horizontal="left"/>
      <protection locked="0"/>
    </xf>
    <xf numFmtId="281" fontId="23" fillId="6" borderId="6">
      <alignment horizontal="left" indent="1"/>
      <protection locked="0"/>
    </xf>
    <xf numFmtId="282" fontId="91" fillId="6" borderId="7">
      <protection locked="0"/>
    </xf>
    <xf numFmtId="283" fontId="18" fillId="0" borderId="0" applyFill="0" applyBorder="0"/>
    <xf numFmtId="283" fontId="18" fillId="0" borderId="0" applyFill="0" applyBorder="0"/>
    <xf numFmtId="172" fontId="82" fillId="0" borderId="0" applyFont="0" applyFill="0" applyBorder="0" applyAlignment="0" applyProtection="0"/>
    <xf numFmtId="284" fontId="18" fillId="0" borderId="0" applyFont="0" applyFill="0" applyBorder="0" applyAlignment="0" applyProtection="0"/>
    <xf numFmtId="172" fontId="82" fillId="0" borderId="0" applyFont="0" applyFill="0" applyBorder="0" applyAlignment="0" applyProtection="0"/>
    <xf numFmtId="15" fontId="92" fillId="63" borderId="7">
      <alignment horizontal="center" vertical="center"/>
    </xf>
    <xf numFmtId="172" fontId="81" fillId="56" borderId="0">
      <alignment horizontal="left"/>
    </xf>
    <xf numFmtId="15" fontId="89" fillId="0" borderId="0" applyFill="0" applyBorder="0">
      <protection locked="0"/>
    </xf>
    <xf numFmtId="283" fontId="18" fillId="0" borderId="0" applyFill="0" applyBorder="0"/>
    <xf numFmtId="285" fontId="18" fillId="0" borderId="0" applyFont="0" applyFill="0" applyBorder="0" applyAlignment="0" applyProtection="0"/>
    <xf numFmtId="15" fontId="93" fillId="0" borderId="0"/>
    <xf numFmtId="286" fontId="18" fillId="0" borderId="0" applyFont="0" applyFill="0" applyBorder="0" applyAlignment="0" applyProtection="0"/>
    <xf numFmtId="287" fontId="18" fillId="0" borderId="0" applyFont="0" applyFill="0" applyBorder="0" applyAlignment="0" applyProtection="0"/>
    <xf numFmtId="206" fontId="46" fillId="0" borderId="0">
      <alignment horizontal="right"/>
    </xf>
    <xf numFmtId="202" fontId="46" fillId="0" borderId="0">
      <alignment horizontal="right"/>
      <protection locked="0"/>
    </xf>
    <xf numFmtId="202" fontId="46" fillId="0" borderId="0"/>
    <xf numFmtId="288" fontId="46" fillId="0" borderId="0">
      <alignment horizontal="right"/>
      <protection locked="0"/>
    </xf>
    <xf numFmtId="202" fontId="47" fillId="0" borderId="0"/>
    <xf numFmtId="1" fontId="18" fillId="0" borderId="0" applyFill="0" applyBorder="0">
      <alignment horizontal="right"/>
    </xf>
    <xf numFmtId="2" fontId="18" fillId="0" borderId="0" applyFill="0" applyBorder="0">
      <alignment horizontal="right"/>
    </xf>
    <xf numFmtId="2" fontId="89" fillId="0" borderId="0" applyFill="0" applyBorder="0">
      <protection locked="0"/>
    </xf>
    <xf numFmtId="170" fontId="18" fillId="0" borderId="0" applyFill="0" applyBorder="0">
      <alignment horizontal="right"/>
    </xf>
    <xf numFmtId="170" fontId="89" fillId="0" borderId="0" applyFill="0" applyBorder="0">
      <protection locked="0"/>
    </xf>
    <xf numFmtId="289" fontId="18" fillId="0" borderId="0" applyFont="0" applyFill="0" applyBorder="0" applyAlignment="0" applyProtection="0"/>
    <xf numFmtId="290" fontId="18" fillId="0" borderId="0" applyFont="0" applyFill="0" applyBorder="0" applyAlignment="0" applyProtection="0"/>
    <xf numFmtId="199" fontId="55" fillId="5" borderId="0" applyNumberFormat="0" applyFont="0" applyBorder="0" applyAlignment="0" applyProtection="0"/>
    <xf numFmtId="174" fontId="30" fillId="0" borderId="0" applyFill="0" applyBorder="0" applyProtection="0">
      <alignment horizontal="center"/>
    </xf>
    <xf numFmtId="267" fontId="30" fillId="0" borderId="0">
      <alignment horizontal="center"/>
    </xf>
    <xf numFmtId="174" fontId="30" fillId="0" borderId="0" applyFill="0" applyBorder="0" applyProtection="0">
      <alignment horizontal="center"/>
    </xf>
    <xf numFmtId="264" fontId="94" fillId="0" borderId="0">
      <alignment horizontal="center"/>
    </xf>
    <xf numFmtId="172" fontId="82" fillId="0" borderId="18" applyNumberFormat="0" applyFont="0" applyFill="0" applyAlignment="0" applyProtection="0"/>
    <xf numFmtId="171" fontId="95" fillId="0" borderId="12"/>
    <xf numFmtId="205" fontId="46" fillId="0" borderId="0"/>
    <xf numFmtId="9" fontId="96" fillId="6" borderId="15">
      <alignment horizontal="center"/>
    </xf>
    <xf numFmtId="9" fontId="96" fillId="6" borderId="19">
      <alignment horizontal="center"/>
    </xf>
    <xf numFmtId="9" fontId="96" fillId="6" borderId="19">
      <alignment horizontal="center"/>
    </xf>
    <xf numFmtId="38" fontId="34" fillId="0" borderId="0" applyFont="0" applyFill="0" applyBorder="0" applyAlignment="0" applyProtection="0"/>
    <xf numFmtId="172" fontId="97" fillId="0" borderId="0" applyFont="0" applyFill="0" applyBorder="0" applyAlignment="0" applyProtection="0"/>
    <xf numFmtId="0" fontId="98" fillId="64" borderId="0" applyNumberFormat="0" applyBorder="0" applyAlignment="0" applyProtection="0"/>
    <xf numFmtId="0" fontId="98" fillId="65" borderId="0" applyNumberFormat="0" applyBorder="0" applyAlignment="0" applyProtection="0"/>
    <xf numFmtId="0" fontId="98" fillId="66" borderId="0" applyNumberFormat="0" applyBorder="0" applyAlignment="0" applyProtection="0"/>
    <xf numFmtId="172" fontId="99" fillId="0" borderId="0" applyNumberFormat="0" applyAlignment="0">
      <alignment horizontal="left"/>
    </xf>
    <xf numFmtId="291" fontId="25" fillId="0" borderId="0"/>
    <xf numFmtId="292" fontId="25" fillId="0" borderId="0"/>
    <xf numFmtId="293" fontId="25" fillId="0" borderId="0"/>
    <xf numFmtId="294" fontId="25" fillId="0" borderId="0"/>
    <xf numFmtId="295" fontId="25" fillId="0" borderId="0"/>
    <xf numFmtId="296" fontId="25" fillId="0" borderId="0"/>
    <xf numFmtId="169" fontId="26" fillId="0" borderId="0" applyFont="0" applyFill="0" applyBorder="0" applyAlignment="0" applyProtection="0"/>
    <xf numFmtId="169" fontId="18" fillId="0" borderId="0" applyFont="0" applyFill="0" applyBorder="0" applyAlignment="0" applyProtection="0"/>
    <xf numFmtId="297" fontId="18" fillId="0" borderId="0" applyFont="0" applyFill="0" applyBorder="0" applyAlignment="0" applyProtection="0"/>
    <xf numFmtId="298" fontId="18" fillId="0" borderId="0" applyFont="0" applyFill="0" applyBorder="0" applyAlignment="0" applyProtection="0"/>
    <xf numFmtId="299" fontId="18" fillId="0" borderId="0" applyFont="0" applyFill="0" applyBorder="0" applyAlignment="0" applyProtection="0"/>
    <xf numFmtId="172" fontId="18"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72" fontId="30" fillId="58" borderId="0" applyNumberFormat="0" applyFont="0" applyBorder="0" applyAlignment="0" applyProtection="0"/>
    <xf numFmtId="172" fontId="102" fillId="0" borderId="0" applyNumberFormat="0" applyFill="0" applyBorder="0" applyAlignment="0" applyProtection="0"/>
    <xf numFmtId="300" fontId="103" fillId="0" borderId="0" applyFill="0" applyBorder="0"/>
    <xf numFmtId="15" fontId="48" fillId="0" borderId="0" applyFill="0" applyBorder="0" applyProtection="0">
      <alignment horizontal="center"/>
    </xf>
    <xf numFmtId="172" fontId="30" fillId="10" borderId="0" applyNumberFormat="0" applyFont="0" applyBorder="0" applyAlignment="0" applyProtection="0"/>
    <xf numFmtId="301" fontId="18" fillId="0" borderId="0" applyFont="0" applyFill="0" applyBorder="0" applyAlignment="0" applyProtection="0"/>
    <xf numFmtId="302" fontId="104" fillId="67" borderId="0" applyBorder="0" applyAlignment="0">
      <alignment vertical="center"/>
    </xf>
    <xf numFmtId="3" fontId="105" fillId="60" borderId="7" applyNumberFormat="0" applyFont="0" applyAlignment="0" applyProtection="0">
      <alignment vertical="center"/>
    </xf>
    <xf numFmtId="238" fontId="106" fillId="12" borderId="9" applyAlignment="0">
      <alignment vertical="center"/>
    </xf>
    <xf numFmtId="0" fontId="34" fillId="0" borderId="0" applyFont="0" applyFill="0" applyBorder="0" applyAlignment="0" applyProtection="0"/>
    <xf numFmtId="0" fontId="107" fillId="48" borderId="0"/>
    <xf numFmtId="1" fontId="108" fillId="68" borderId="20" applyNumberFormat="0"/>
    <xf numFmtId="0" fontId="109" fillId="69" borderId="0" applyNumberFormat="0" applyBorder="0" applyAlignment="0">
      <alignment vertical="top"/>
    </xf>
    <xf numFmtId="0" fontId="70" fillId="0" borderId="0" applyNumberFormat="0" applyFill="0" applyBorder="0" applyProtection="0">
      <alignment vertical="center"/>
    </xf>
    <xf numFmtId="0" fontId="110" fillId="0" borderId="0" applyNumberFormat="0" applyFill="0" applyBorder="0" applyProtection="0">
      <alignment vertical="center"/>
    </xf>
    <xf numFmtId="3" fontId="107" fillId="68" borderId="0" applyNumberFormat="0" applyAlignment="0">
      <alignment vertical="center"/>
    </xf>
    <xf numFmtId="3" fontId="22" fillId="49" borderId="0" applyNumberFormat="0" applyBorder="0" applyAlignment="0" applyProtection="0">
      <alignment vertical="center"/>
    </xf>
    <xf numFmtId="0" fontId="111" fillId="69" borderId="0"/>
    <xf numFmtId="4" fontId="109" fillId="70" borderId="0" applyNumberFormat="0" applyAlignment="0">
      <alignment horizontal="left" vertical="center"/>
    </xf>
    <xf numFmtId="303" fontId="51" fillId="0" borderId="0" applyAlignment="0">
      <alignment horizontal="right"/>
      <protection hidden="1"/>
    </xf>
    <xf numFmtId="0" fontId="37" fillId="0" borderId="0" applyFont="0" applyFill="0" applyBorder="0" applyAlignment="0" applyProtection="0">
      <alignment horizontal="left"/>
    </xf>
    <xf numFmtId="304" fontId="40" fillId="0" borderId="0" applyFill="0" applyBorder="0"/>
    <xf numFmtId="10" fontId="18" fillId="71" borderId="0" applyBorder="0" applyProtection="0"/>
    <xf numFmtId="10" fontId="18" fillId="0" borderId="0" applyBorder="0"/>
    <xf numFmtId="305" fontId="18" fillId="0" borderId="0"/>
    <xf numFmtId="0" fontId="112" fillId="37" borderId="0"/>
    <xf numFmtId="3" fontId="18" fillId="0" borderId="21" applyFill="0" applyBorder="0"/>
    <xf numFmtId="10" fontId="18" fillId="0" borderId="21" applyFont="0" applyFill="0" applyBorder="0"/>
    <xf numFmtId="15" fontId="18" fillId="0" borderId="0">
      <alignment horizontal="center"/>
    </xf>
    <xf numFmtId="216" fontId="26" fillId="21" borderId="9" applyAlignment="0">
      <alignment vertical="center"/>
    </xf>
    <xf numFmtId="216" fontId="113" fillId="72" borderId="9" applyNumberFormat="0" applyAlignment="0">
      <alignment vertical="center"/>
    </xf>
    <xf numFmtId="0" fontId="114" fillId="0" borderId="0" applyFont="0" applyFill="0" applyBorder="0" applyAlignment="0" applyProtection="0"/>
    <xf numFmtId="0" fontId="115" fillId="0" borderId="0"/>
    <xf numFmtId="216" fontId="106" fillId="71" borderId="9" applyAlignment="0">
      <alignment vertical="center"/>
      <protection locked="0"/>
    </xf>
    <xf numFmtId="10" fontId="106" fillId="6" borderId="7">
      <alignment vertical="center"/>
      <protection locked="0"/>
    </xf>
    <xf numFmtId="306" fontId="90" fillId="73" borderId="7" applyNumberFormat="0" applyAlignment="0">
      <alignment vertical="top"/>
    </xf>
    <xf numFmtId="216" fontId="106" fillId="6" borderId="9" applyAlignment="0">
      <alignment vertical="center"/>
      <protection locked="0"/>
    </xf>
    <xf numFmtId="1" fontId="115" fillId="0" borderId="0"/>
    <xf numFmtId="0" fontId="115" fillId="0" borderId="0" applyFont="0" applyFill="0" applyBorder="0" applyAlignment="0" applyProtection="0"/>
    <xf numFmtId="307" fontId="26" fillId="0" borderId="0" applyFont="0" applyFill="0" applyBorder="0" applyAlignment="0" applyProtection="0"/>
    <xf numFmtId="308" fontId="26" fillId="0" borderId="0" applyFont="0" applyFill="0" applyBorder="0" applyAlignment="0" applyProtection="0"/>
    <xf numFmtId="38" fontId="116" fillId="0" borderId="0"/>
    <xf numFmtId="38" fontId="117" fillId="0" borderId="0"/>
    <xf numFmtId="38" fontId="118" fillId="0" borderId="0"/>
    <xf numFmtId="38" fontId="119" fillId="0" borderId="0"/>
    <xf numFmtId="0" fontId="58" fillId="0" borderId="0"/>
    <xf numFmtId="0" fontId="58" fillId="0" borderId="0"/>
    <xf numFmtId="0" fontId="28" fillId="56" borderId="0" applyFill="0" applyBorder="0">
      <alignment wrapText="1"/>
    </xf>
    <xf numFmtId="0" fontId="23" fillId="0" borderId="0"/>
    <xf numFmtId="0" fontId="120" fillId="0" borderId="0"/>
    <xf numFmtId="0" fontId="121" fillId="0" borderId="0">
      <alignment horizontal="center"/>
    </xf>
    <xf numFmtId="0" fontId="122" fillId="0" borderId="0"/>
    <xf numFmtId="171" fontId="123" fillId="0" borderId="2" applyNumberFormat="0" applyFont="0" applyFill="0" applyAlignment="0">
      <alignment horizontal="left" vertical="center"/>
    </xf>
    <xf numFmtId="2" fontId="94" fillId="0" borderId="7"/>
    <xf numFmtId="3" fontId="105" fillId="74" borderId="0" applyNumberFormat="0" applyFont="0" applyBorder="0" applyAlignment="0" applyProtection="0">
      <alignment vertical="center"/>
    </xf>
    <xf numFmtId="309" fontId="26" fillId="0" borderId="0" applyFont="0" applyFill="0" applyBorder="0" applyAlignment="0" applyProtection="0"/>
    <xf numFmtId="310" fontId="26" fillId="0" borderId="0" applyFont="0" applyFill="0" applyBorder="0" applyAlignment="0" applyProtection="0"/>
    <xf numFmtId="216" fontId="26" fillId="75" borderId="7" applyNumberFormat="0" applyAlignment="0">
      <alignment vertical="center"/>
      <protection locked="0"/>
    </xf>
    <xf numFmtId="0" fontId="124" fillId="0" borderId="0" applyNumberFormat="0" applyBorder="0" applyProtection="0">
      <alignment vertical="top"/>
    </xf>
    <xf numFmtId="311" fontId="40" fillId="0" borderId="0" applyFill="0" applyBorder="0" applyProtection="0"/>
    <xf numFmtId="312" fontId="18" fillId="0" borderId="0" applyFont="0" applyFill="0" applyBorder="0" applyAlignment="0" applyProtection="0"/>
    <xf numFmtId="313" fontId="18" fillId="0" borderId="0" applyFont="0" applyFill="0" applyBorder="0" applyAlignment="0" applyProtection="0"/>
    <xf numFmtId="314" fontId="26" fillId="0" borderId="0" applyFont="0" applyFill="0" applyBorder="0" applyAlignment="0" applyProtection="0"/>
    <xf numFmtId="315" fontId="26" fillId="0" borderId="0" applyFont="0" applyFill="0" applyBorder="0" applyAlignment="0" applyProtection="0"/>
    <xf numFmtId="0" fontId="40" fillId="0" borderId="0"/>
    <xf numFmtId="217" fontId="18" fillId="0" borderId="0" applyFont="0" applyFill="0" applyBorder="0" applyAlignment="0" applyProtection="0"/>
    <xf numFmtId="316" fontId="18" fillId="0" borderId="0" applyFont="0" applyFill="0" applyBorder="0" applyAlignment="0" applyProtection="0"/>
    <xf numFmtId="0" fontId="125" fillId="0" borderId="0" applyFont="0" applyFill="0" applyBorder="0" applyAlignment="0" applyProtection="0"/>
    <xf numFmtId="17" fontId="22" fillId="0" borderId="0">
      <alignment horizontal="center"/>
    </xf>
    <xf numFmtId="317" fontId="40" fillId="0" borderId="0" applyFill="0" applyBorder="0"/>
    <xf numFmtId="318" fontId="40" fillId="0" borderId="0"/>
    <xf numFmtId="319" fontId="40" fillId="0" borderId="0" applyFill="0" applyAlignment="0"/>
    <xf numFmtId="320" fontId="126" fillId="0" borderId="0"/>
    <xf numFmtId="321" fontId="18" fillId="0" borderId="14" applyFont="0" applyFill="0" applyBorder="0" applyAlignment="0" applyProtection="0"/>
    <xf numFmtId="322" fontId="18" fillId="0" borderId="14" applyFont="0" applyFill="0" applyBorder="0" applyAlignment="0" applyProtection="0"/>
    <xf numFmtId="323" fontId="18" fillId="0" borderId="14" applyFont="0" applyFill="0" applyBorder="0" applyAlignment="0" applyProtection="0"/>
    <xf numFmtId="324" fontId="18" fillId="0" borderId="14"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4"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8" fillId="0" borderId="0" applyFont="0" applyFill="0" applyBorder="0" applyAlignment="0" applyProtection="0"/>
    <xf numFmtId="0" fontId="84" fillId="0" borderId="0"/>
    <xf numFmtId="0" fontId="18" fillId="0" borderId="0"/>
    <xf numFmtId="0" fontId="1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2" fillId="0" borderId="0"/>
    <xf numFmtId="0" fontId="27" fillId="0" borderId="0"/>
    <xf numFmtId="0" fontId="12" fillId="0" borderId="0"/>
    <xf numFmtId="0" fontId="18" fillId="0" borderId="0"/>
    <xf numFmtId="0" fontId="12" fillId="0" borderId="0"/>
    <xf numFmtId="0" fontId="12" fillId="0" borderId="0"/>
    <xf numFmtId="0" fontId="27" fillId="0" borderId="0"/>
    <xf numFmtId="0" fontId="20" fillId="0" borderId="0"/>
    <xf numFmtId="0" fontId="27" fillId="0" borderId="0"/>
    <xf numFmtId="0" fontId="18" fillId="0" borderId="0"/>
    <xf numFmtId="0" fontId="12" fillId="0" borderId="0"/>
    <xf numFmtId="0" fontId="12" fillId="0" borderId="0"/>
    <xf numFmtId="0" fontId="127" fillId="0" borderId="0"/>
    <xf numFmtId="0" fontId="12" fillId="0" borderId="0"/>
    <xf numFmtId="0" fontId="12" fillId="0" borderId="0"/>
    <xf numFmtId="0" fontId="12" fillId="0" borderId="0"/>
    <xf numFmtId="0" fontId="27" fillId="0" borderId="0">
      <alignment vertical="top"/>
    </xf>
    <xf numFmtId="0" fontId="12" fillId="0" borderId="0"/>
    <xf numFmtId="0" fontId="27" fillId="0" borderId="0">
      <alignment vertical="top"/>
    </xf>
    <xf numFmtId="0" fontId="89" fillId="0" borderId="0" applyFill="0" applyBorder="0">
      <protection locked="0"/>
    </xf>
    <xf numFmtId="0" fontId="18" fillId="0" borderId="0"/>
    <xf numFmtId="0" fontId="28" fillId="6" borderId="19" applyBorder="0">
      <alignment horizontal="right" vertical="center"/>
    </xf>
    <xf numFmtId="0" fontId="28" fillId="6" borderId="0">
      <alignment vertical="center"/>
    </xf>
    <xf numFmtId="305" fontId="28" fillId="6" borderId="0"/>
    <xf numFmtId="325" fontId="26" fillId="0" borderId="0">
      <alignment horizontal="right"/>
    </xf>
    <xf numFmtId="167" fontId="18" fillId="6" borderId="7"/>
    <xf numFmtId="0" fontId="128" fillId="0" borderId="0">
      <alignment horizontal="left"/>
    </xf>
    <xf numFmtId="326" fontId="18" fillId="0" borderId="0" applyFill="0" applyBorder="0" applyAlignment="0" applyProtection="0"/>
    <xf numFmtId="327" fontId="18" fillId="0" borderId="0" applyAlignment="0" applyProtection="0"/>
    <xf numFmtId="0" fontId="45" fillId="0" borderId="4" applyNumberFormat="0" applyFill="0" applyBorder="0" applyAlignment="0" applyProtection="0"/>
    <xf numFmtId="0" fontId="45" fillId="0" borderId="4" applyNumberFormat="0" applyFill="0" applyBorder="0" applyAlignment="0" applyProtection="0"/>
    <xf numFmtId="0" fontId="129" fillId="0" borderId="0" applyFill="0" applyBorder="0" applyAlignment="0">
      <alignment horizontal="left"/>
    </xf>
    <xf numFmtId="0" fontId="44" fillId="0" borderId="0" applyNumberFormat="0" applyFill="0" applyBorder="0" applyAlignment="0"/>
    <xf numFmtId="0" fontId="130" fillId="0" borderId="0">
      <alignment horizontal="left"/>
    </xf>
    <xf numFmtId="0" fontId="131" fillId="0" borderId="0" applyFill="0" applyBorder="0" applyProtection="0">
      <alignment horizontal="center"/>
    </xf>
    <xf numFmtId="328" fontId="18" fillId="0" borderId="0" applyFill="0" applyBorder="0" applyAlignment="0" applyProtection="0"/>
    <xf numFmtId="329" fontId="132" fillId="0" borderId="0" applyFill="0" applyBorder="0" applyAlignment="0" applyProtection="0"/>
    <xf numFmtId="330" fontId="23" fillId="0" borderId="0">
      <alignment horizontal="center" vertical="top" wrapText="1"/>
    </xf>
    <xf numFmtId="331" fontId="18" fillId="0" borderId="0" applyAlignment="0" applyProtection="0"/>
    <xf numFmtId="0" fontId="94" fillId="0" borderId="0"/>
    <xf numFmtId="331" fontId="18" fillId="0" borderId="0" applyFont="0" applyFill="0" applyBorder="0" applyAlignment="0" applyProtection="0"/>
    <xf numFmtId="10" fontId="18" fillId="0" borderId="10"/>
    <xf numFmtId="3" fontId="18" fillId="13" borderId="7" applyFill="0" applyBorder="0"/>
    <xf numFmtId="0" fontId="58" fillId="56" borderId="19" applyBorder="0"/>
    <xf numFmtId="0" fontId="58" fillId="56" borderId="19" applyBorder="0"/>
    <xf numFmtId="0" fontId="133" fillId="0" borderId="0" applyNumberFormat="0" applyFill="0" applyBorder="0" applyAlignment="0" applyProtection="0"/>
    <xf numFmtId="0" fontId="134" fillId="0" borderId="0" applyNumberFormat="0" applyFill="0" applyBorder="0" applyAlignment="0" applyProtection="0"/>
    <xf numFmtId="332" fontId="18" fillId="0" borderId="0" applyFont="0" applyFill="0" applyBorder="0" applyAlignment="0" applyProtection="0"/>
    <xf numFmtId="333" fontId="18" fillId="0" borderId="0" applyFont="0" applyFill="0" applyBorder="0" applyAlignment="0" applyProtection="0"/>
    <xf numFmtId="0" fontId="135" fillId="0" borderId="0" applyNumberFormat="0" applyFill="0" applyBorder="0" applyAlignment="0" applyProtection="0"/>
    <xf numFmtId="334" fontId="18"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8" fillId="0" borderId="0" applyNumberFormat="0" applyFont="0" applyFill="0" applyAlignment="0" applyProtection="0"/>
    <xf numFmtId="10" fontId="18" fillId="0" borderId="0" applyFont="0" applyFill="0" applyBorder="0" applyAlignment="0" applyProtection="0"/>
    <xf numFmtId="305" fontId="114" fillId="0" borderId="0" applyFont="0" applyFill="0" applyBorder="0" applyAlignment="0" applyProtection="0"/>
    <xf numFmtId="184" fontId="28" fillId="56" borderId="0"/>
    <xf numFmtId="0" fontId="28" fillId="0" borderId="0" applyFill="0" applyBorder="0">
      <alignment vertical="center"/>
    </xf>
    <xf numFmtId="0" fontId="28" fillId="56" borderId="0"/>
    <xf numFmtId="2" fontId="28" fillId="56" borderId="0" applyBorder="0"/>
    <xf numFmtId="216" fontId="26" fillId="0" borderId="0" applyFont="0" applyFill="0" applyBorder="0" applyAlignment="0" applyProtection="0">
      <alignment vertical="center"/>
    </xf>
    <xf numFmtId="216" fontId="26" fillId="0" borderId="0" applyAlignment="0">
      <alignment vertical="center"/>
    </xf>
    <xf numFmtId="0" fontId="28" fillId="0" borderId="0" applyNumberFormat="0" applyFont="0" applyAlignment="0" applyProtection="0"/>
    <xf numFmtId="10" fontId="18"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335" fontId="18" fillId="0" borderId="0" applyFill="0" applyBorder="0"/>
    <xf numFmtId="335" fontId="89" fillId="0" borderId="0" applyFill="0" applyBorder="0">
      <protection locked="0"/>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8" fillId="0" borderId="0"/>
    <xf numFmtId="336" fontId="18" fillId="0" borderId="0"/>
    <xf numFmtId="171" fontId="138" fillId="6" borderId="0">
      <alignment horizontal="right"/>
    </xf>
    <xf numFmtId="0" fontId="40" fillId="0" borderId="0">
      <alignment horizontal="center"/>
    </xf>
    <xf numFmtId="3" fontId="18" fillId="0" borderId="0"/>
    <xf numFmtId="1" fontId="139" fillId="0" borderId="0" applyNumberFormat="0" applyFont="0" applyFill="0">
      <alignment horizontal="center"/>
    </xf>
    <xf numFmtId="3" fontId="140" fillId="0" borderId="0" applyNumberFormat="0" applyAlignment="0">
      <alignment vertical="center"/>
    </xf>
    <xf numFmtId="337" fontId="18" fillId="0" borderId="0">
      <alignment vertical="top"/>
    </xf>
    <xf numFmtId="338" fontId="30" fillId="0" borderId="0" applyFont="0" applyFill="0" applyBorder="0" applyAlignment="0" applyProtection="0"/>
    <xf numFmtId="0" fontId="30" fillId="0" borderId="22" applyNumberFormat="0" applyFont="0" applyFill="0" applyAlignment="0" applyProtection="0"/>
    <xf numFmtId="0" fontId="30" fillId="0" borderId="23" applyNumberFormat="0" applyFont="0" applyFill="0" applyAlignment="0" applyProtection="0"/>
    <xf numFmtId="0" fontId="30" fillId="0" borderId="24" applyNumberFormat="0" applyFont="0" applyFill="0" applyAlignment="0" applyProtection="0"/>
    <xf numFmtId="0" fontId="30" fillId="0" borderId="25"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13" borderId="0" applyNumberFormat="0" applyFont="0" applyBorder="0" applyAlignment="0" applyProtection="0"/>
    <xf numFmtId="0" fontId="30" fillId="0" borderId="27" applyNumberFormat="0" applyFont="0" applyFill="0" applyAlignment="0" applyProtection="0"/>
    <xf numFmtId="0" fontId="30" fillId="0" borderId="28" applyNumberFormat="0" applyFont="0" applyFill="0" applyAlignment="0" applyProtection="0"/>
    <xf numFmtId="46" fontId="30" fillId="0" borderId="0" applyFont="0" applyFill="0" applyBorder="0" applyAlignment="0" applyProtection="0"/>
    <xf numFmtId="0" fontId="141" fillId="0" borderId="0" applyNumberFormat="0" applyFill="0" applyBorder="0" applyAlignment="0" applyProtection="0"/>
    <xf numFmtId="0" fontId="30" fillId="0" borderId="29" applyNumberFormat="0" applyFont="0" applyFill="0" applyAlignment="0" applyProtection="0"/>
    <xf numFmtId="0" fontId="30" fillId="0" borderId="30" applyNumberFormat="0" applyFont="0" applyFill="0" applyAlignment="0" applyProtection="0"/>
    <xf numFmtId="0" fontId="30" fillId="0" borderId="9" applyNumberFormat="0" applyFont="0" applyFill="0" applyAlignment="0" applyProtection="0"/>
    <xf numFmtId="0" fontId="30" fillId="0" borderId="31" applyNumberFormat="0" applyFont="0" applyFill="0" applyAlignment="0" applyProtection="0"/>
    <xf numFmtId="0" fontId="30" fillId="0" borderId="31" applyNumberFormat="0" applyFont="0" applyFill="0" applyAlignment="0" applyProtection="0"/>
    <xf numFmtId="0" fontId="30" fillId="0" borderId="9" applyNumberFormat="0" applyFont="0" applyFill="0" applyAlignment="0" applyProtection="0"/>
    <xf numFmtId="0" fontId="30" fillId="0" borderId="0" applyNumberFormat="0" applyFont="0" applyFill="0" applyBorder="0" applyProtection="0">
      <alignment horizontal="center"/>
    </xf>
    <xf numFmtId="0" fontId="142" fillId="0" borderId="0" applyNumberFormat="0" applyFill="0" applyBorder="0" applyAlignment="0" applyProtection="0"/>
    <xf numFmtId="0" fontId="119" fillId="0" borderId="0" applyNumberFormat="0" applyFill="0" applyBorder="0" applyAlignment="0" applyProtection="0"/>
    <xf numFmtId="0" fontId="143" fillId="0" borderId="0" applyNumberFormat="0" applyFill="0" applyBorder="0" applyProtection="0">
      <alignment horizontal="left"/>
    </xf>
    <xf numFmtId="0" fontId="30" fillId="13" borderId="0" applyNumberFormat="0" applyFont="0" applyBorder="0" applyAlignment="0" applyProtection="0"/>
    <xf numFmtId="0" fontId="144" fillId="0" borderId="0" applyNumberFormat="0" applyFill="0" applyBorder="0" applyAlignment="0" applyProtection="0"/>
    <xf numFmtId="0" fontId="141" fillId="0" borderId="0" applyNumberFormat="0" applyFill="0" applyBorder="0" applyAlignment="0" applyProtection="0"/>
    <xf numFmtId="0" fontId="30" fillId="0" borderId="32" applyNumberFormat="0" applyFont="0" applyFill="0" applyAlignment="0" applyProtection="0"/>
    <xf numFmtId="0" fontId="30" fillId="0" borderId="33" applyNumberFormat="0" applyFont="0" applyFill="0" applyAlignment="0" applyProtection="0"/>
    <xf numFmtId="0" fontId="30" fillId="0" borderId="33" applyNumberFormat="0" applyFont="0" applyFill="0" applyAlignment="0" applyProtection="0"/>
    <xf numFmtId="339" fontId="30" fillId="0" borderId="0" applyFont="0" applyFill="0" applyBorder="0" applyAlignment="0" applyProtection="0"/>
    <xf numFmtId="0" fontId="30" fillId="0" borderId="34" applyNumberFormat="0" applyFont="0" applyFill="0" applyAlignment="0" applyProtection="0"/>
    <xf numFmtId="0" fontId="30" fillId="0" borderId="34" applyNumberFormat="0" applyFont="0" applyFill="0" applyAlignment="0" applyProtection="0"/>
    <xf numFmtId="0" fontId="30" fillId="0" borderId="35" applyNumberFormat="0" applyFont="0" applyFill="0" applyAlignment="0" applyProtection="0"/>
    <xf numFmtId="0" fontId="30" fillId="0" borderId="35" applyNumberFormat="0" applyFont="0" applyFill="0" applyAlignment="0" applyProtection="0"/>
    <xf numFmtId="0" fontId="30" fillId="0" borderId="36" applyNumberFormat="0" applyFont="0" applyFill="0" applyAlignment="0" applyProtection="0"/>
    <xf numFmtId="0" fontId="30" fillId="0" borderId="36"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45" fillId="0" borderId="0"/>
    <xf numFmtId="0" fontId="44" fillId="0" borderId="0"/>
    <xf numFmtId="0" fontId="145" fillId="68" borderId="0"/>
    <xf numFmtId="0" fontId="145" fillId="68" borderId="0">
      <alignment wrapText="1"/>
    </xf>
    <xf numFmtId="0" fontId="18" fillId="0" borderId="0"/>
    <xf numFmtId="0" fontId="146" fillId="0" borderId="0" applyNumberFormat="0" applyFill="0" applyBorder="0" applyAlignment="0" applyProtection="0"/>
    <xf numFmtId="0" fontId="147" fillId="0" borderId="0"/>
    <xf numFmtId="2" fontId="22" fillId="0" borderId="2"/>
    <xf numFmtId="0" fontId="18" fillId="0" borderId="0"/>
    <xf numFmtId="340" fontId="48" fillId="0" borderId="0" applyFill="0" applyBorder="0" applyAlignment="0"/>
    <xf numFmtId="0" fontId="18" fillId="62" borderId="7"/>
    <xf numFmtId="0" fontId="148" fillId="0" borderId="0" applyNumberFormat="0" applyFill="0" applyBorder="0" applyAlignment="0" applyProtection="0"/>
    <xf numFmtId="0" fontId="35" fillId="0" borderId="0"/>
    <xf numFmtId="0" fontId="51" fillId="70" borderId="0"/>
    <xf numFmtId="0" fontId="51" fillId="76" borderId="0"/>
    <xf numFmtId="0" fontId="18" fillId="49" borderId="0"/>
    <xf numFmtId="0" fontId="94" fillId="0" borderId="39" applyBorder="0"/>
    <xf numFmtId="0" fontId="149" fillId="0" borderId="0" applyNumberFormat="0" applyBorder="0" applyAlignment="0">
      <alignment vertical="top"/>
    </xf>
    <xf numFmtId="0" fontId="150" fillId="0" borderId="0" applyNumberFormat="0" applyBorder="0" applyProtection="0">
      <alignment vertical="top"/>
    </xf>
    <xf numFmtId="0" fontId="151" fillId="0" borderId="0">
      <alignment vertical="top"/>
    </xf>
    <xf numFmtId="0" fontId="152" fillId="77" borderId="0"/>
    <xf numFmtId="0" fontId="153" fillId="0" borderId="0"/>
    <xf numFmtId="0" fontId="154" fillId="5" borderId="3"/>
    <xf numFmtId="167" fontId="18" fillId="0" borderId="40"/>
    <xf numFmtId="171" fontId="155" fillId="0" borderId="41">
      <alignment vertical="center"/>
    </xf>
    <xf numFmtId="167" fontId="18" fillId="0" borderId="42"/>
    <xf numFmtId="171" fontId="155" fillId="0" borderId="41">
      <alignment vertical="center"/>
    </xf>
    <xf numFmtId="167" fontId="18" fillId="0" borderId="40"/>
    <xf numFmtId="167" fontId="18" fillId="0" borderId="40"/>
    <xf numFmtId="10" fontId="22" fillId="78" borderId="0" applyNumberFormat="0" applyBorder="0" applyAlignment="0"/>
    <xf numFmtId="0" fontId="156" fillId="5" borderId="7">
      <protection locked="0"/>
    </xf>
    <xf numFmtId="341" fontId="40" fillId="0" borderId="0" applyFill="0" applyBorder="0" applyProtection="0"/>
    <xf numFmtId="0" fontId="157" fillId="0" borderId="0" applyFill="0" applyBorder="0" applyAlignment="0"/>
    <xf numFmtId="0" fontId="22" fillId="6" borderId="10">
      <alignment horizontal="left" vertical="center"/>
    </xf>
    <xf numFmtId="342" fontId="26" fillId="0" borderId="0" applyFont="0" applyFill="0" applyBorder="0" applyAlignment="0" applyProtection="0"/>
    <xf numFmtId="343" fontId="26" fillId="0" borderId="0" applyFont="0" applyFill="0" applyBorder="0" applyAlignment="0" applyProtection="0"/>
    <xf numFmtId="0" fontId="158" fillId="0" borderId="0">
      <alignment horizontal="center"/>
    </xf>
    <xf numFmtId="15" fontId="158" fillId="0" borderId="0">
      <alignment horizontal="center"/>
    </xf>
    <xf numFmtId="167" fontId="18" fillId="0" borderId="0"/>
    <xf numFmtId="171" fontId="159" fillId="53" borderId="0" applyNumberFormat="0">
      <alignment vertical="center"/>
    </xf>
    <xf numFmtId="171" fontId="160" fillId="61" borderId="0" applyNumberFormat="0">
      <alignment vertical="center"/>
    </xf>
    <xf numFmtId="171" fontId="45" fillId="0" borderId="0" applyNumberFormat="0">
      <alignment vertical="center"/>
    </xf>
    <xf numFmtId="171" fontId="155" fillId="0" borderId="0" applyNumberFormat="0">
      <alignment vertical="center"/>
    </xf>
    <xf numFmtId="0" fontId="18" fillId="5" borderId="0" applyNumberFormat="0" applyFont="0" applyBorder="0" applyAlignment="0"/>
    <xf numFmtId="0" fontId="161" fillId="0" borderId="0">
      <alignment vertical="center"/>
    </xf>
    <xf numFmtId="3" fontId="105" fillId="79" borderId="7" applyNumberFormat="0" applyFont="0" applyAlignment="0" applyProtection="0">
      <alignment vertical="center"/>
    </xf>
    <xf numFmtId="171" fontId="155" fillId="0" borderId="43">
      <alignment vertical="center"/>
    </xf>
    <xf numFmtId="171" fontId="155" fillId="0" borderId="41">
      <alignment vertical="center"/>
    </xf>
    <xf numFmtId="171" fontId="155" fillId="0" borderId="41">
      <alignment vertical="center"/>
    </xf>
    <xf numFmtId="171" fontId="22" fillId="0" borderId="42" applyFill="0"/>
    <xf numFmtId="171" fontId="22" fillId="0" borderId="42" applyFill="0"/>
    <xf numFmtId="171" fontId="22" fillId="0" borderId="42" applyFill="0"/>
    <xf numFmtId="171" fontId="22" fillId="0" borderId="42" applyFill="0"/>
    <xf numFmtId="171" fontId="22" fillId="0" borderId="44" applyFill="0"/>
    <xf numFmtId="171" fontId="22" fillId="0" borderId="44" applyFill="0"/>
    <xf numFmtId="171" fontId="22" fillId="0" borderId="44" applyFill="0"/>
    <xf numFmtId="171" fontId="22" fillId="0" borderId="44" applyFill="0"/>
    <xf numFmtId="171" fontId="18" fillId="0" borderId="42" applyFill="0"/>
    <xf numFmtId="171" fontId="18" fillId="0" borderId="42" applyFill="0"/>
    <xf numFmtId="171" fontId="18" fillId="0" borderId="42" applyFill="0"/>
    <xf numFmtId="171" fontId="18" fillId="0" borderId="42" applyFill="0"/>
    <xf numFmtId="171" fontId="18" fillId="0" borderId="44" applyFill="0"/>
    <xf numFmtId="171" fontId="18" fillId="0" borderId="44" applyFill="0"/>
    <xf numFmtId="171" fontId="18" fillId="0" borderId="44" applyFill="0"/>
    <xf numFmtId="171" fontId="18" fillId="0" borderId="44" applyFill="0"/>
    <xf numFmtId="0" fontId="22" fillId="0" borderId="0"/>
    <xf numFmtId="167" fontId="18" fillId="0" borderId="45"/>
    <xf numFmtId="0" fontId="162" fillId="76" borderId="7"/>
    <xf numFmtId="0" fontId="28" fillId="0" borderId="10" applyFill="0" applyBorder="0">
      <alignment horizontal="center" vertical="center"/>
    </xf>
    <xf numFmtId="344" fontId="18" fillId="0" borderId="0" applyFont="0" applyFill="0" applyBorder="0" applyAlignment="0" applyProtection="0"/>
    <xf numFmtId="345" fontId="18" fillId="0" borderId="0" applyFont="0" applyFill="0" applyBorder="0" applyAlignment="0" applyProtection="0"/>
    <xf numFmtId="0" fontId="89" fillId="0" borderId="0" applyNumberFormat="0" applyFill="0" applyBorder="0"/>
    <xf numFmtId="216" fontId="26" fillId="17" borderId="9" applyAlignment="0">
      <alignment vertical="center"/>
    </xf>
    <xf numFmtId="216" fontId="26" fillId="17" borderId="9" applyAlignment="0">
      <alignment vertical="center"/>
    </xf>
    <xf numFmtId="346" fontId="26" fillId="17" borderId="9" applyAlignment="0">
      <alignment vertical="center"/>
    </xf>
    <xf numFmtId="49" fontId="26" fillId="17" borderId="9" applyAlignment="0">
      <alignment vertical="center"/>
    </xf>
    <xf numFmtId="0" fontId="22" fillId="0" borderId="0">
      <alignment horizontal="center"/>
    </xf>
    <xf numFmtId="347" fontId="22" fillId="0" borderId="0"/>
    <xf numFmtId="348" fontId="40" fillId="0" borderId="0" applyFill="0" applyProtection="0"/>
    <xf numFmtId="349" fontId="18" fillId="0" borderId="0" applyFont="0" applyFill="0" applyBorder="0" applyAlignment="0" applyProtection="0"/>
    <xf numFmtId="0" fontId="18" fillId="0" borderId="0"/>
    <xf numFmtId="0" fontId="18" fillId="0" borderId="0"/>
    <xf numFmtId="0" fontId="11" fillId="0" borderId="0"/>
    <xf numFmtId="0" fontId="11" fillId="0" borderId="0"/>
    <xf numFmtId="9" fontId="11" fillId="0" borderId="0" applyFont="0" applyFill="0" applyBorder="0" applyAlignment="0" applyProtection="0"/>
    <xf numFmtId="0" fontId="11" fillId="0" borderId="0"/>
    <xf numFmtId="44" fontId="11"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8" fillId="0" borderId="0"/>
    <xf numFmtId="0" fontId="10" fillId="0" borderId="0"/>
    <xf numFmtId="0" fontId="10" fillId="0" borderId="0"/>
    <xf numFmtId="9" fontId="10"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2"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43" fontId="18"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7" fillId="0" borderId="0"/>
    <xf numFmtId="9"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7" fontId="18" fillId="0" borderId="42"/>
    <xf numFmtId="167" fontId="18" fillId="0" borderId="42"/>
    <xf numFmtId="167" fontId="18" fillId="0" borderId="42"/>
    <xf numFmtId="167" fontId="18" fillId="0" borderId="42"/>
    <xf numFmtId="167" fontId="18" fillId="0" borderId="42"/>
    <xf numFmtId="0" fontId="6" fillId="0" borderId="0"/>
    <xf numFmtId="9" fontId="6" fillId="0" borderId="0" applyFont="0" applyFill="0" applyBorder="0" applyAlignment="0" applyProtection="0"/>
    <xf numFmtId="43" fontId="6" fillId="0" borderId="0" applyFont="0" applyFill="0" applyBorder="0" applyAlignment="0" applyProtection="0"/>
    <xf numFmtId="0" fontId="18"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72" fontId="82" fillId="0" borderId="0" applyFont="0" applyFill="0" applyBorder="0" applyAlignment="0" applyProtection="0">
      <alignment horizontal="right"/>
    </xf>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2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1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2" borderId="0" applyNumberFormat="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1" fontId="22" fillId="0" borderId="40" applyFill="0"/>
    <xf numFmtId="171" fontId="22" fillId="0" borderId="40" applyFill="0"/>
    <xf numFmtId="171" fontId="18" fillId="0" borderId="40" applyFill="0"/>
    <xf numFmtId="171" fontId="18" fillId="0" borderId="40" applyFill="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2"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58" fillId="56" borderId="46" applyBorder="0"/>
    <xf numFmtId="0" fontId="58" fillId="56" borderId="46" applyBorder="0"/>
    <xf numFmtId="9" fontId="96" fillId="6" borderId="46">
      <alignment horizontal="center"/>
    </xf>
    <xf numFmtId="9" fontId="96" fillId="6" borderId="46">
      <alignment horizontal="center"/>
    </xf>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2"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 borderId="0" applyNumberFormat="0" applyBorder="0" applyAlignment="0" applyProtection="0"/>
    <xf numFmtId="0" fontId="4" fillId="2"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9" fontId="4"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40"/>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8"/>
    <xf numFmtId="167" fontId="18" fillId="0" borderId="40"/>
    <xf numFmtId="167" fontId="18" fillId="0" borderId="40"/>
    <xf numFmtId="167" fontId="18" fillId="0" borderId="40"/>
    <xf numFmtId="167" fontId="18" fillId="0" borderId="40"/>
    <xf numFmtId="167" fontId="18" fillId="0" borderId="40"/>
    <xf numFmtId="0" fontId="18"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2"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167" fontId="18" fillId="0" borderId="55"/>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16" fontId="106" fillId="6" borderId="71" applyAlignment="0">
      <alignment vertical="center"/>
      <protection locked="0"/>
    </xf>
    <xf numFmtId="216" fontId="106" fillId="71" borderId="71" applyAlignment="0">
      <alignment vertical="center"/>
      <protection locked="0"/>
    </xf>
    <xf numFmtId="216" fontId="113" fillId="72" borderId="71" applyNumberFormat="0" applyAlignment="0">
      <alignment vertical="center"/>
    </xf>
    <xf numFmtId="216" fontId="26" fillId="21" borderId="71" applyAlignment="0">
      <alignment vertical="center"/>
    </xf>
    <xf numFmtId="238" fontId="106" fillId="12" borderId="71" applyAlignment="0">
      <alignment vertical="center"/>
    </xf>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238" fontId="26" fillId="0" borderId="71" applyAlignment="0">
      <alignment vertical="center"/>
    </xf>
    <xf numFmtId="0" fontId="77" fillId="21"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0" fontId="76" fillId="57" borderId="72" applyNumberFormat="0" applyAlignment="0" applyProtection="0"/>
    <xf numFmtId="216" fontId="26" fillId="54" borderId="71" applyNumberFormat="0" applyFont="0" applyAlignment="0" applyProtection="0">
      <alignment vertical="center"/>
    </xf>
    <xf numFmtId="0" fontId="2" fillId="2" borderId="0" applyNumberFormat="0" applyBorder="0" applyAlignment="0" applyProtection="0"/>
    <xf numFmtId="0" fontId="2" fillId="2" borderId="0" applyNumberFormat="0" applyBorder="0" applyAlignment="0" applyProtection="0"/>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9" fontId="96" fillId="6" borderId="46">
      <alignment horizontal="center"/>
    </xf>
    <xf numFmtId="9" fontId="96" fillId="6" borderId="46">
      <alignment horizontal="center"/>
    </xf>
    <xf numFmtId="0" fontId="58" fillId="56" borderId="46" applyBorder="0"/>
    <xf numFmtId="0" fontId="58" fillId="56" borderId="46" applyBorder="0"/>
    <xf numFmtId="167" fontId="18" fillId="0" borderId="55"/>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57" applyFill="0"/>
    <xf numFmtId="171" fontId="22" fillId="0" borderId="57" applyFill="0"/>
    <xf numFmtId="171" fontId="22" fillId="0" borderId="57" applyFill="0"/>
    <xf numFmtId="171" fontId="22" fillId="0" borderId="57" applyFill="0"/>
    <xf numFmtId="171" fontId="18" fillId="0" borderId="55" applyFill="0"/>
    <xf numFmtId="171" fontId="18" fillId="0" borderId="55" applyFill="0"/>
    <xf numFmtId="171" fontId="18" fillId="0" borderId="55" applyFill="0"/>
    <xf numFmtId="171" fontId="18" fillId="0" borderId="55"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2" fillId="0" borderId="55" applyFill="0"/>
    <xf numFmtId="171" fontId="22" fillId="0" borderId="55" applyFill="0"/>
    <xf numFmtId="171" fontId="18" fillId="0" borderId="55" applyFill="0"/>
    <xf numFmtId="171" fontId="18" fillId="0" borderId="55" applyFill="0"/>
    <xf numFmtId="0" fontId="58" fillId="56" borderId="46" applyBorder="0"/>
    <xf numFmtId="0" fontId="58" fillId="56" borderId="46" applyBorder="0"/>
    <xf numFmtId="9" fontId="96" fillId="6" borderId="46">
      <alignment horizontal="center"/>
    </xf>
    <xf numFmtId="9" fontId="96" fillId="6" borderId="46">
      <alignment horizontal="center"/>
    </xf>
    <xf numFmtId="43" fontId="2" fillId="0" borderId="0" applyFont="0" applyFill="0" applyBorder="0" applyAlignment="0" applyProtection="0"/>
    <xf numFmtId="43" fontId="2" fillId="0" borderId="0" applyFont="0" applyFill="0" applyBorder="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167" fontId="18" fillId="0" borderId="55"/>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22" fillId="0" borderId="57" applyFill="0"/>
    <xf numFmtId="171" fontId="22" fillId="0" borderId="57" applyFill="0"/>
    <xf numFmtId="171" fontId="22" fillId="0" borderId="57" applyFill="0"/>
    <xf numFmtId="171" fontId="22" fillId="0" borderId="57" applyFill="0"/>
    <xf numFmtId="171" fontId="18" fillId="0" borderId="57" applyFill="0"/>
    <xf numFmtId="171" fontId="18" fillId="0" borderId="57" applyFill="0"/>
    <xf numFmtId="171" fontId="18" fillId="0" borderId="57" applyFill="0"/>
    <xf numFmtId="171" fontId="18" fillId="0" borderId="57" applyFill="0"/>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96" fillId="6" borderId="59">
      <alignment horizontal="center"/>
    </xf>
    <xf numFmtId="9" fontId="96" fillId="6" borderId="59">
      <alignment horizont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8" fillId="0" borderId="55"/>
    <xf numFmtId="171" fontId="22" fillId="0" borderId="55" applyFill="0"/>
    <xf numFmtId="171" fontId="22" fillId="0" borderId="55" applyFill="0"/>
    <xf numFmtId="171" fontId="18" fillId="0" borderId="55" applyFill="0"/>
    <xf numFmtId="171" fontId="18" fillId="0" borderId="55" applyFill="0"/>
    <xf numFmtId="0" fontId="58" fillId="56" borderId="59" applyBorder="0"/>
    <xf numFmtId="0" fontId="58" fillId="56" borderId="59" applyBorder="0"/>
    <xf numFmtId="167" fontId="18" fillId="0" borderId="55"/>
    <xf numFmtId="167" fontId="18" fillId="0" borderId="55"/>
    <xf numFmtId="167" fontId="18" fillId="0" borderId="55"/>
    <xf numFmtId="167" fontId="18" fillId="0" borderId="5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55" applyFill="0"/>
    <xf numFmtId="171" fontId="22" fillId="0" borderId="55" applyFill="0"/>
    <xf numFmtId="171" fontId="22" fillId="0" borderId="55" applyFill="0"/>
    <xf numFmtId="171" fontId="22" fillId="0" borderId="55" applyFill="0"/>
    <xf numFmtId="171" fontId="22" fillId="0" borderId="70" applyFill="0"/>
    <xf numFmtId="171" fontId="22" fillId="0" borderId="70" applyFill="0"/>
    <xf numFmtId="171" fontId="22" fillId="0" borderId="70" applyFill="0"/>
    <xf numFmtId="171" fontId="22" fillId="0" borderId="70" applyFill="0"/>
    <xf numFmtId="171" fontId="18" fillId="0" borderId="55" applyFill="0"/>
    <xf numFmtId="171" fontId="18" fillId="0" borderId="55" applyFill="0"/>
    <xf numFmtId="171" fontId="18" fillId="0" borderId="55" applyFill="0"/>
    <xf numFmtId="171" fontId="18" fillId="0" borderId="55"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55"/>
    <xf numFmtId="167" fontId="18" fillId="0" borderId="55"/>
    <xf numFmtId="167" fontId="18" fillId="0" borderId="55"/>
    <xf numFmtId="167" fontId="18" fillId="0" borderId="55"/>
    <xf numFmtId="167" fontId="18" fillId="0" borderId="55"/>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18" fillId="0" borderId="68"/>
    <xf numFmtId="167" fontId="18" fillId="0" borderId="68"/>
    <xf numFmtId="167" fontId="18" fillId="0" borderId="68"/>
    <xf numFmtId="43" fontId="2" fillId="0" borderId="0" applyFont="0" applyFill="0" applyBorder="0" applyAlignment="0" applyProtection="0"/>
    <xf numFmtId="43" fontId="2" fillId="0" borderId="0" applyFont="0" applyFill="0" applyBorder="0" applyAlignment="0" applyProtection="0"/>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71" fontId="155" fillId="0" borderId="69">
      <alignment vertical="center"/>
    </xf>
    <xf numFmtId="9" fontId="96" fillId="6" borderId="59">
      <alignment horizontal="center"/>
    </xf>
    <xf numFmtId="9" fontId="96" fillId="6" borderId="59">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56" borderId="59" applyBorder="0"/>
    <xf numFmtId="0" fontId="58" fillId="56" borderId="59" applyBorder="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58" fillId="56" borderId="59" applyBorder="0"/>
    <xf numFmtId="0" fontId="58" fillId="56" borderId="59" applyBorder="0"/>
    <xf numFmtId="9" fontId="96" fillId="6" borderId="59">
      <alignment horizontal="center"/>
    </xf>
    <xf numFmtId="9" fontId="96" fillId="6" borderId="59">
      <alignment horizontal="center"/>
    </xf>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8" fillId="0" borderId="0" applyFont="0" applyFill="0" applyBorder="0" applyAlignment="0" applyProtection="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18"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1" fontId="155" fillId="0" borderId="69">
      <alignment vertical="center"/>
    </xf>
    <xf numFmtId="167" fontId="18" fillId="0" borderId="68"/>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2"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7" fontId="18" fillId="0" borderId="68"/>
    <xf numFmtId="167" fontId="18" fillId="0" borderId="68"/>
    <xf numFmtId="167" fontId="18" fillId="0" borderId="68"/>
    <xf numFmtId="167" fontId="18" fillId="0" borderId="68"/>
    <xf numFmtId="167" fontId="18" fillId="0" borderId="68"/>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30" fillId="0" borderId="71" applyNumberFormat="0" applyFont="0" applyFill="0" applyAlignment="0" applyProtection="0"/>
    <xf numFmtId="0" fontId="30" fillId="0" borderId="71" applyNumberFormat="0" applyFont="0" applyFill="0" applyAlignment="0" applyProtection="0"/>
    <xf numFmtId="167" fontId="18" fillId="0" borderId="68"/>
    <xf numFmtId="171" fontId="155" fillId="0" borderId="69">
      <alignment vertical="center"/>
    </xf>
    <xf numFmtId="167" fontId="18" fillId="0" borderId="55"/>
    <xf numFmtId="171" fontId="155" fillId="0" borderId="69">
      <alignment vertical="center"/>
    </xf>
    <xf numFmtId="167" fontId="18" fillId="0" borderId="68"/>
    <xf numFmtId="167" fontId="18" fillId="0" borderId="68"/>
    <xf numFmtId="216" fontId="26" fillId="17" borderId="71" applyAlignment="0">
      <alignment vertical="center"/>
    </xf>
    <xf numFmtId="216" fontId="26" fillId="17" borderId="71" applyAlignment="0">
      <alignment vertical="center"/>
    </xf>
    <xf numFmtId="346" fontId="26" fillId="17" borderId="71" applyAlignment="0">
      <alignment vertical="center"/>
    </xf>
    <xf numFmtId="49" fontId="26" fillId="17" borderId="71" applyAlignment="0">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8" fillId="0" borderId="0"/>
    <xf numFmtId="171" fontId="155" fillId="0" borderId="56">
      <alignment vertical="center"/>
    </xf>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71" fontId="155" fillId="0" borderId="56">
      <alignment vertical="center"/>
    </xf>
    <xf numFmtId="167" fontId="18" fillId="0" borderId="55"/>
    <xf numFmtId="167" fontId="18" fillId="0" borderId="55"/>
    <xf numFmtId="167" fontId="18" fillId="0" borderId="55"/>
    <xf numFmtId="167" fontId="18" fillId="0" borderId="55"/>
    <xf numFmtId="171" fontId="22" fillId="0" borderId="55" applyFill="0"/>
    <xf numFmtId="171" fontId="22" fillId="0" borderId="55" applyFill="0"/>
    <xf numFmtId="171" fontId="18" fillId="0" borderId="55" applyFill="0"/>
    <xf numFmtId="171" fontId="18" fillId="0" borderId="55" applyFill="0"/>
    <xf numFmtId="171" fontId="155" fillId="0" borderId="56">
      <alignment vertical="center"/>
    </xf>
    <xf numFmtId="167" fontId="18" fillId="0" borderId="55"/>
    <xf numFmtId="167" fontId="18" fillId="0" borderId="55"/>
    <xf numFmtId="167" fontId="18" fillId="0" borderId="55"/>
    <xf numFmtId="167" fontId="18" fillId="0" borderId="55"/>
    <xf numFmtId="167" fontId="18" fillId="0" borderId="55"/>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67" fontId="18" fillId="0" borderId="55"/>
    <xf numFmtId="167" fontId="18" fillId="0" borderId="55"/>
    <xf numFmtId="171" fontId="155" fillId="0" borderId="56">
      <alignment vertical="center"/>
    </xf>
    <xf numFmtId="171" fontId="155" fillId="0" borderId="56">
      <alignment vertical="center"/>
    </xf>
    <xf numFmtId="171" fontId="155" fillId="0" borderId="56">
      <alignment vertical="center"/>
    </xf>
    <xf numFmtId="43" fontId="1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8"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0" fontId="1" fillId="2" borderId="0" applyNumberFormat="0" applyBorder="0" applyAlignment="0" applyProtection="0"/>
    <xf numFmtId="0" fontId="1" fillId="2" borderId="0" applyNumberFormat="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9" fontId="96" fillId="6" borderId="59">
      <alignment horizontal="center"/>
    </xf>
    <xf numFmtId="9" fontId="96" fillId="6" borderId="59">
      <alignment horizontal="center"/>
    </xf>
    <xf numFmtId="0" fontId="58" fillId="56" borderId="59" applyBorder="0"/>
    <xf numFmtId="0" fontId="58" fillId="56" borderId="59" applyBorder="0"/>
    <xf numFmtId="167" fontId="18" fillId="0" borderId="68"/>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68" applyFill="0"/>
    <xf numFmtId="171" fontId="22" fillId="0" borderId="68" applyFill="0"/>
    <xf numFmtId="171" fontId="22" fillId="0" borderId="68" applyFill="0"/>
    <xf numFmtId="171" fontId="22" fillId="0" borderId="68" applyFill="0"/>
    <xf numFmtId="171" fontId="22" fillId="0" borderId="70" applyFill="0"/>
    <xf numFmtId="171" fontId="22" fillId="0" borderId="70" applyFill="0"/>
    <xf numFmtId="171" fontId="22" fillId="0" borderId="70" applyFill="0"/>
    <xf numFmtId="171" fontId="22" fillId="0" borderId="70" applyFill="0"/>
    <xf numFmtId="171" fontId="18" fillId="0" borderId="68" applyFill="0"/>
    <xf numFmtId="171" fontId="18" fillId="0" borderId="68" applyFill="0"/>
    <xf numFmtId="171" fontId="18" fillId="0" borderId="68" applyFill="0"/>
    <xf numFmtId="171" fontId="18" fillId="0" borderId="68"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68" applyFill="0"/>
    <xf numFmtId="171" fontId="22" fillId="0" borderId="68" applyFill="0"/>
    <xf numFmtId="171" fontId="18" fillId="0" borderId="68" applyFill="0"/>
    <xf numFmtId="171" fontId="18" fillId="0" borderId="68" applyFill="0"/>
    <xf numFmtId="0" fontId="58" fillId="56" borderId="59" applyBorder="0"/>
    <xf numFmtId="0" fontId="58" fillId="56" borderId="59" applyBorder="0"/>
    <xf numFmtId="9" fontId="96" fillId="6" borderId="59">
      <alignment horizontal="center"/>
    </xf>
    <xf numFmtId="9" fontId="96" fillId="6" borderId="59">
      <alignment horizontal="center"/>
    </xf>
    <xf numFmtId="43" fontId="1" fillId="0" borderId="0" applyFont="0" applyFill="0" applyBorder="0" applyAlignment="0" applyProtection="0"/>
    <xf numFmtId="43" fontId="1" fillId="0" borderId="0" applyFont="0" applyFill="0" applyBorder="0" applyAlignment="0" applyProtection="0"/>
    <xf numFmtId="0" fontId="30" fillId="0" borderId="60" applyNumberFormat="0" applyFont="0" applyFill="0" applyAlignment="0" applyProtection="0"/>
    <xf numFmtId="0" fontId="30" fillId="0" borderId="60" applyNumberFormat="0" applyFont="0" applyFill="0" applyAlignment="0" applyProtection="0"/>
    <xf numFmtId="0" fontId="30" fillId="0" borderId="61" applyNumberFormat="0" applyFont="0" applyFill="0" applyAlignment="0" applyProtection="0"/>
    <xf numFmtId="0" fontId="30" fillId="0" borderId="61" applyNumberFormat="0" applyFont="0" applyFill="0" applyAlignment="0" applyProtection="0"/>
    <xf numFmtId="0" fontId="30" fillId="0" borderId="62" applyNumberFormat="0" applyFont="0" applyFill="0" applyAlignment="0" applyProtection="0"/>
    <xf numFmtId="0" fontId="30" fillId="0" borderId="62" applyNumberFormat="0" applyFont="0" applyFill="0" applyAlignment="0" applyProtection="0"/>
    <xf numFmtId="0" fontId="30" fillId="0" borderId="63" applyNumberFormat="0" applyFont="0" applyFill="0" applyAlignment="0" applyProtection="0"/>
    <xf numFmtId="0" fontId="30" fillId="0" borderId="63" applyNumberFormat="0" applyFont="0" applyFill="0" applyAlignment="0" applyProtection="0"/>
    <xf numFmtId="0" fontId="30" fillId="0" borderId="64" applyNumberFormat="0" applyFont="0" applyFill="0" applyAlignment="0" applyProtection="0"/>
    <xf numFmtId="0" fontId="30" fillId="0" borderId="64" applyNumberFormat="0" applyFont="0" applyFill="0" applyAlignment="0" applyProtection="0"/>
    <xf numFmtId="0" fontId="30" fillId="0" borderId="65" applyNumberFormat="0" applyFont="0" applyFill="0" applyAlignment="0" applyProtection="0"/>
    <xf numFmtId="0" fontId="30" fillId="0" borderId="65" applyNumberFormat="0" applyFont="0" applyFill="0" applyAlignment="0" applyProtection="0"/>
    <xf numFmtId="0" fontId="30" fillId="0" borderId="66" applyNumberFormat="0" applyFont="0" applyFill="0" applyAlignment="0" applyProtection="0"/>
    <xf numFmtId="0" fontId="30" fillId="0" borderId="66" applyNumberFormat="0" applyFont="0" applyFill="0" applyAlignment="0" applyProtection="0"/>
    <xf numFmtId="0" fontId="30" fillId="0" borderId="67" applyNumberFormat="0" applyFont="0" applyFill="0" applyAlignment="0" applyProtection="0"/>
    <xf numFmtId="0" fontId="30" fillId="0" borderId="67" applyNumberFormat="0" applyFont="0" applyFill="0" applyAlignment="0" applyProtection="0"/>
    <xf numFmtId="167" fontId="18" fillId="0" borderId="68"/>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22" fillId="0" borderId="70" applyFill="0"/>
    <xf numFmtId="171" fontId="22" fillId="0" borderId="70" applyFill="0"/>
    <xf numFmtId="171" fontId="22" fillId="0" borderId="70" applyFill="0"/>
    <xf numFmtId="171" fontId="22" fillId="0" borderId="70" applyFill="0"/>
    <xf numFmtId="171" fontId="18" fillId="0" borderId="70" applyFill="0"/>
    <xf numFmtId="171" fontId="18" fillId="0" borderId="70" applyFill="0"/>
    <xf numFmtId="171" fontId="18" fillId="0" borderId="70" applyFill="0"/>
    <xf numFmtId="171" fontId="18" fillId="0" borderId="70" applyFill="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8" fillId="0" borderId="68"/>
    <xf numFmtId="171" fontId="22" fillId="0" borderId="68" applyFill="0"/>
    <xf numFmtId="171" fontId="22" fillId="0" borderId="68" applyFill="0"/>
    <xf numFmtId="171" fontId="18" fillId="0" borderId="68" applyFill="0"/>
    <xf numFmtId="171" fontId="18" fillId="0" borderId="68" applyFill="0"/>
    <xf numFmtId="167" fontId="18" fillId="0" borderId="68"/>
    <xf numFmtId="167" fontId="18" fillId="0" borderId="68"/>
    <xf numFmtId="167" fontId="18" fillId="0" borderId="68"/>
    <xf numFmtId="167" fontId="18" fillId="0" borderId="68"/>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8" fillId="0" borderId="68"/>
    <xf numFmtId="171" fontId="22" fillId="0" borderId="68" applyFill="0"/>
    <xf numFmtId="171" fontId="22" fillId="0" borderId="68" applyFill="0"/>
    <xf numFmtId="171" fontId="22" fillId="0" borderId="68" applyFill="0"/>
    <xf numFmtId="171" fontId="22" fillId="0" borderId="68" applyFill="0"/>
    <xf numFmtId="171" fontId="18" fillId="0" borderId="68" applyFill="0"/>
    <xf numFmtId="171" fontId="18" fillId="0" borderId="68" applyFill="0"/>
    <xf numFmtId="171" fontId="18" fillId="0" borderId="68" applyFill="0"/>
    <xf numFmtId="171" fontId="18" fillId="0" borderId="68" applyFill="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8"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71" fontId="155" fillId="0" borderId="69">
      <alignment vertical="center"/>
    </xf>
    <xf numFmtId="167" fontId="18" fillId="0" borderId="68"/>
    <xf numFmtId="167" fontId="18" fillId="0" borderId="68"/>
    <xf numFmtId="167" fontId="18" fillId="0" borderId="68"/>
    <xf numFmtId="167" fontId="18" fillId="0" borderId="68"/>
    <xf numFmtId="171" fontId="22" fillId="0" borderId="68" applyFill="0"/>
    <xf numFmtId="171" fontId="22" fillId="0" borderId="68" applyFill="0"/>
    <xf numFmtId="171" fontId="18" fillId="0" borderId="68" applyFill="0"/>
    <xf numFmtId="171" fontId="18" fillId="0" borderId="68" applyFill="0"/>
    <xf numFmtId="171" fontId="155" fillId="0" borderId="69">
      <alignment vertical="center"/>
    </xf>
    <xf numFmtId="167" fontId="18" fillId="0" borderId="68"/>
    <xf numFmtId="167" fontId="18" fillId="0" borderId="68"/>
    <xf numFmtId="167" fontId="18" fillId="0" borderId="68"/>
    <xf numFmtId="167" fontId="18" fillId="0" borderId="68"/>
    <xf numFmtId="167" fontId="18" fillId="0" borderId="68"/>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67" fontId="18" fillId="0" borderId="68"/>
    <xf numFmtId="167" fontId="18" fillId="0" borderId="68"/>
    <xf numFmtId="171" fontId="155" fillId="0" borderId="69">
      <alignment vertical="center"/>
    </xf>
    <xf numFmtId="171" fontId="155" fillId="0" borderId="69">
      <alignment vertical="center"/>
    </xf>
    <xf numFmtId="171" fontId="155" fillId="0" borderId="69">
      <alignment vertical="center"/>
    </xf>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7" fontId="18" fillId="0" borderId="68"/>
    <xf numFmtId="171" fontId="155" fillId="0" borderId="69">
      <alignment vertical="center"/>
    </xf>
    <xf numFmtId="43" fontId="18" fillId="0" borderId="0" applyFont="0" applyFill="0" applyBorder="0" applyAlignment="0" applyProtection="0"/>
    <xf numFmtId="0" fontId="181" fillId="88" borderId="81" applyNumberFormat="0" applyAlignment="0" applyProtection="0"/>
    <xf numFmtId="171" fontId="155" fillId="0" borderId="69">
      <alignment vertical="center"/>
    </xf>
    <xf numFmtId="167" fontId="18" fillId="0" borderId="68"/>
    <xf numFmtId="43" fontId="1"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8" fillId="0" borderId="68"/>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29">
    <xf numFmtId="0" fontId="0" fillId="0" borderId="0" xfId="0"/>
    <xf numFmtId="0" fontId="163" fillId="0" borderId="0" xfId="8749" applyFont="1" applyFill="1" applyBorder="1"/>
    <xf numFmtId="0" fontId="163" fillId="0" borderId="0" xfId="8749" applyFont="1" applyFill="1" applyBorder="1" applyAlignment="1">
      <alignment horizontal="center"/>
    </xf>
    <xf numFmtId="0" fontId="163" fillId="0" borderId="0" xfId="8749" applyNumberFormat="1" applyFont="1" applyFill="1" applyBorder="1" applyAlignment="1">
      <alignment horizontal="center"/>
    </xf>
    <xf numFmtId="243" fontId="163" fillId="0" borderId="0" xfId="8749" applyNumberFormat="1" applyFont="1" applyFill="1" applyBorder="1" applyAlignment="1">
      <alignment horizontal="right"/>
    </xf>
    <xf numFmtId="305" fontId="163" fillId="0" borderId="0" xfId="8749" applyNumberFormat="1" applyFont="1" applyFill="1" applyBorder="1"/>
    <xf numFmtId="0" fontId="165" fillId="0" borderId="0" xfId="0" applyFont="1" applyFill="1" applyBorder="1" applyAlignment="1">
      <alignment horizontal="right" vertical="top" wrapText="1"/>
    </xf>
    <xf numFmtId="0" fontId="165" fillId="0" borderId="0" xfId="42" applyFont="1" applyFill="1" applyBorder="1" applyAlignment="1">
      <alignment horizontal="right"/>
    </xf>
    <xf numFmtId="1" fontId="165" fillId="0" borderId="0" xfId="42" applyNumberFormat="1" applyFont="1" applyFill="1" applyBorder="1" applyAlignment="1">
      <alignment horizontal="right"/>
    </xf>
    <xf numFmtId="0" fontId="165" fillId="0" borderId="0" xfId="42" applyFont="1" applyFill="1" applyBorder="1" applyAlignment="1">
      <alignment horizontal="left"/>
    </xf>
    <xf numFmtId="170" fontId="165" fillId="0" borderId="0" xfId="0" applyNumberFormat="1" applyFont="1" applyFill="1" applyBorder="1" applyAlignment="1">
      <alignment horizontal="right"/>
    </xf>
    <xf numFmtId="0" fontId="165" fillId="0" borderId="0" xfId="0" applyFont="1" applyFill="1" applyBorder="1"/>
    <xf numFmtId="0" fontId="165" fillId="0" borderId="0" xfId="0" applyFont="1" applyFill="1" applyBorder="1" applyAlignment="1">
      <alignment horizontal="left" vertical="center" wrapText="1"/>
    </xf>
    <xf numFmtId="1" fontId="165" fillId="0" borderId="0" xfId="0" applyNumberFormat="1" applyFont="1" applyFill="1" applyBorder="1" applyAlignment="1">
      <alignment horizontal="right" vertical="center" wrapText="1"/>
    </xf>
    <xf numFmtId="1" fontId="165" fillId="0" borderId="0" xfId="0" applyNumberFormat="1" applyFont="1" applyFill="1" applyBorder="1" applyAlignment="1">
      <alignment horizontal="right" vertical="top" wrapText="1"/>
    </xf>
    <xf numFmtId="0" fontId="165" fillId="0" borderId="0" xfId="0" applyFont="1" applyFill="1" applyBorder="1" applyAlignment="1">
      <alignment vertical="top" wrapText="1"/>
    </xf>
    <xf numFmtId="170" fontId="165" fillId="0" borderId="0" xfId="0" applyNumberFormat="1" applyFont="1" applyFill="1" applyBorder="1" applyAlignment="1">
      <alignment horizontal="right" vertical="center" wrapText="1"/>
    </xf>
    <xf numFmtId="1" fontId="165" fillId="0" borderId="0" xfId="4444" applyNumberFormat="1" applyFont="1" applyFill="1" applyBorder="1" applyAlignment="1">
      <alignment horizontal="right"/>
    </xf>
    <xf numFmtId="3" fontId="165" fillId="0" borderId="0" xfId="0" applyNumberFormat="1" applyFont="1" applyFill="1" applyBorder="1" applyAlignment="1">
      <alignment horizontal="center" vertical="center" wrapText="1"/>
    </xf>
    <xf numFmtId="0" fontId="165" fillId="0" borderId="0" xfId="42" applyFont="1" applyFill="1"/>
    <xf numFmtId="1" fontId="165" fillId="0" borderId="0" xfId="42" applyNumberFormat="1" applyFont="1" applyFill="1"/>
    <xf numFmtId="1" fontId="165" fillId="0" borderId="0" xfId="2" applyNumberFormat="1" applyFont="1" applyFill="1" applyBorder="1" applyAlignment="1">
      <alignment horizontal="right" shrinkToFit="1"/>
    </xf>
    <xf numFmtId="1" fontId="165" fillId="0" borderId="0" xfId="2" applyNumberFormat="1" applyFont="1" applyFill="1" applyBorder="1" applyAlignment="1">
      <alignment horizontal="right"/>
    </xf>
    <xf numFmtId="0" fontId="167" fillId="0" borderId="0" xfId="8749" applyFont="1" applyFill="1" applyBorder="1"/>
    <xf numFmtId="2" fontId="163" fillId="0" borderId="0" xfId="4668" applyNumberFormat="1" applyFont="1" applyFill="1"/>
    <xf numFmtId="2" fontId="163" fillId="0" borderId="0" xfId="4668" applyNumberFormat="1" applyFont="1" applyFill="1" applyBorder="1"/>
    <xf numFmtId="305" fontId="163" fillId="0" borderId="0" xfId="4668" applyNumberFormat="1" applyFont="1" applyFill="1" applyAlignment="1">
      <alignment horizontal="right"/>
    </xf>
    <xf numFmtId="0" fontId="165" fillId="0" borderId="0" xfId="0" applyFont="1" applyFill="1" applyBorder="1" applyAlignment="1">
      <alignment vertical="top"/>
    </xf>
    <xf numFmtId="0" fontId="166" fillId="0" borderId="0" xfId="0" applyFont="1" applyFill="1" applyBorder="1" applyAlignment="1"/>
    <xf numFmtId="3" fontId="165" fillId="0" borderId="0" xfId="0" applyNumberFormat="1" applyFont="1" applyFill="1" applyBorder="1" applyAlignment="1">
      <alignment horizontal="left" vertical="top"/>
    </xf>
    <xf numFmtId="0" fontId="165" fillId="0" borderId="0" xfId="0" applyFont="1" applyFill="1" applyBorder="1" applyAlignment="1">
      <alignment horizontal="left"/>
    </xf>
    <xf numFmtId="0" fontId="165" fillId="0" borderId="0" xfId="0" applyFont="1" applyFill="1" applyBorder="1" applyAlignment="1">
      <alignment horizontal="right"/>
    </xf>
    <xf numFmtId="0" fontId="166" fillId="0" borderId="0" xfId="0" applyFont="1" applyFill="1" applyBorder="1" applyAlignment="1">
      <alignment horizontal="right"/>
    </xf>
    <xf numFmtId="1" fontId="165" fillId="0" borderId="0" xfId="0" applyNumberFormat="1" applyFont="1" applyFill="1" applyBorder="1" applyAlignment="1">
      <alignment horizontal="right"/>
    </xf>
    <xf numFmtId="0" fontId="166" fillId="0" borderId="0" xfId="0" applyFont="1" applyFill="1" applyBorder="1" applyAlignment="1">
      <alignment horizontal="left"/>
    </xf>
    <xf numFmtId="0" fontId="165" fillId="0" borderId="0" xfId="0" applyFont="1" applyFill="1" applyBorder="1" applyAlignment="1"/>
    <xf numFmtId="1" fontId="165" fillId="0" borderId="0" xfId="0" applyNumberFormat="1" applyFont="1" applyFill="1" applyBorder="1" applyAlignment="1">
      <alignment horizontal="right" vertical="center"/>
    </xf>
    <xf numFmtId="3" fontId="165" fillId="0" borderId="0" xfId="0" applyNumberFormat="1" applyFont="1" applyFill="1" applyBorder="1" applyAlignment="1">
      <alignment horizontal="center" vertical="top"/>
    </xf>
    <xf numFmtId="1" fontId="166" fillId="0" borderId="0" xfId="0" applyNumberFormat="1" applyFont="1" applyFill="1" applyBorder="1" applyAlignment="1">
      <alignment horizontal="right"/>
    </xf>
    <xf numFmtId="1" fontId="166" fillId="0" borderId="0" xfId="0" applyNumberFormat="1" applyFont="1" applyFill="1" applyBorder="1" applyAlignment="1">
      <alignment horizontal="right" vertical="center"/>
    </xf>
    <xf numFmtId="0" fontId="166" fillId="0" borderId="0" xfId="0" applyFont="1" applyFill="1" applyBorder="1" applyAlignment="1">
      <alignment horizontal="center"/>
    </xf>
    <xf numFmtId="1" fontId="165" fillId="0" borderId="0" xfId="0" applyNumberFormat="1" applyFont="1" applyFill="1" applyBorder="1" applyAlignment="1"/>
    <xf numFmtId="1" fontId="165" fillId="0" borderId="0" xfId="0" applyNumberFormat="1" applyFont="1" applyFill="1" applyBorder="1" applyAlignment="1">
      <alignment vertical="top"/>
    </xf>
    <xf numFmtId="1" fontId="165" fillId="0" borderId="0" xfId="0" applyNumberFormat="1" applyFont="1" applyFill="1" applyBorder="1" applyAlignment="1">
      <alignment vertical="center"/>
    </xf>
    <xf numFmtId="1" fontId="165" fillId="0" borderId="0" xfId="2" applyNumberFormat="1" applyFont="1" applyFill="1" applyBorder="1" applyAlignment="1"/>
    <xf numFmtId="1" fontId="165" fillId="0" borderId="0" xfId="2" applyNumberFormat="1" applyFont="1" applyFill="1" applyBorder="1" applyAlignment="1">
      <alignment vertical="center"/>
    </xf>
    <xf numFmtId="1" fontId="165" fillId="0" borderId="0" xfId="4441" applyNumberFormat="1" applyFont="1" applyFill="1" applyBorder="1" applyAlignment="1">
      <alignment shrinkToFit="1"/>
    </xf>
    <xf numFmtId="305" fontId="165" fillId="0" borderId="0" xfId="0" applyNumberFormat="1" applyFont="1" applyFill="1" applyBorder="1" applyAlignment="1">
      <alignment horizontal="right"/>
    </xf>
    <xf numFmtId="1" fontId="165" fillId="0" borderId="70" xfId="2" applyNumberFormat="1" applyFont="1" applyFill="1" applyBorder="1" applyAlignment="1"/>
    <xf numFmtId="1" fontId="165" fillId="0" borderId="70" xfId="0" applyNumberFormat="1" applyFont="1" applyFill="1" applyBorder="1" applyAlignment="1">
      <alignment horizontal="right"/>
    </xf>
    <xf numFmtId="1" fontId="165" fillId="0" borderId="70" xfId="0" applyNumberFormat="1" applyFont="1" applyFill="1" applyBorder="1" applyAlignment="1">
      <alignment horizontal="right" vertical="top" wrapText="1"/>
    </xf>
    <xf numFmtId="166" fontId="165" fillId="0" borderId="0" xfId="11" applyNumberFormat="1" applyFont="1" applyFill="1" applyBorder="1" applyAlignment="1">
      <alignment horizontal="right" vertical="center"/>
    </xf>
    <xf numFmtId="305" fontId="163" fillId="0" borderId="0" xfId="15297" applyNumberFormat="1" applyFont="1" applyFill="1" applyBorder="1"/>
    <xf numFmtId="3" fontId="165" fillId="0" borderId="0" xfId="0" applyNumberFormat="1" applyFont="1" applyFill="1" applyBorder="1" applyAlignment="1">
      <alignment vertical="top"/>
    </xf>
    <xf numFmtId="171" fontId="165" fillId="0" borderId="0" xfId="15" applyNumberFormat="1" applyFont="1" applyFill="1" applyBorder="1" applyAlignment="1">
      <alignment vertical="center" wrapText="1"/>
    </xf>
    <xf numFmtId="0" fontId="165" fillId="0" borderId="0" xfId="15" applyFont="1" applyFill="1" applyBorder="1" applyAlignment="1">
      <alignment vertical="top" wrapText="1"/>
    </xf>
    <xf numFmtId="1" fontId="163" fillId="0" borderId="0" xfId="4668" applyNumberFormat="1" applyFont="1" applyFill="1" applyBorder="1" applyAlignment="1">
      <alignment horizontal="right"/>
    </xf>
    <xf numFmtId="0" fontId="169" fillId="0" borderId="0" xfId="0" applyFont="1" applyFill="1" applyBorder="1" applyAlignment="1">
      <alignment horizontal="left"/>
    </xf>
    <xf numFmtId="0" fontId="170" fillId="0" borderId="0" xfId="8749" applyFont="1" applyFill="1" applyBorder="1"/>
    <xf numFmtId="1" fontId="165" fillId="0" borderId="70" xfId="0" applyNumberFormat="1" applyFont="1" applyFill="1" applyBorder="1" applyAlignment="1">
      <alignment horizontal="right" vertical="center" wrapText="1"/>
    </xf>
    <xf numFmtId="1" fontId="165" fillId="0" borderId="44" xfId="42" applyNumberFormat="1" applyFont="1" applyFill="1" applyBorder="1"/>
    <xf numFmtId="0" fontId="166" fillId="0" borderId="0" xfId="0" applyFont="1" applyFill="1" applyBorder="1" applyAlignment="1">
      <alignment horizontal="left" vertical="center"/>
    </xf>
    <xf numFmtId="0" fontId="166" fillId="0" borderId="0" xfId="0" applyFont="1" applyFill="1" applyBorder="1"/>
    <xf numFmtId="0" fontId="18" fillId="0" borderId="0" xfId="0" applyFont="1"/>
    <xf numFmtId="1" fontId="165" fillId="0" borderId="0" xfId="15" applyNumberFormat="1" applyFont="1" applyFill="1" applyBorder="1" applyAlignment="1">
      <alignment horizontal="right" vertical="center" wrapText="1"/>
    </xf>
    <xf numFmtId="1" fontId="163" fillId="0" borderId="0" xfId="4668" applyNumberFormat="1" applyFont="1" applyFill="1"/>
    <xf numFmtId="1" fontId="163" fillId="0" borderId="0" xfId="4668" applyNumberFormat="1" applyFont="1" applyFill="1" applyAlignment="1">
      <alignment horizontal="right"/>
    </xf>
    <xf numFmtId="1" fontId="165" fillId="0" borderId="0" xfId="1" applyNumberFormat="1" applyFont="1" applyFill="1" applyBorder="1" applyAlignment="1">
      <alignment horizontal="right"/>
    </xf>
    <xf numFmtId="1" fontId="165" fillId="0" borderId="0" xfId="0" applyNumberFormat="1" applyFont="1" applyFill="1" applyBorder="1" applyAlignment="1">
      <alignment horizontal="left"/>
    </xf>
    <xf numFmtId="1" fontId="165" fillId="0" borderId="0" xfId="4" applyNumberFormat="1" applyFont="1" applyFill="1" applyBorder="1" applyAlignment="1">
      <alignment horizontal="right"/>
    </xf>
    <xf numFmtId="305" fontId="163" fillId="0" borderId="0" xfId="4" applyNumberFormat="1" applyFont="1" applyFill="1" applyAlignment="1">
      <alignment horizontal="right"/>
    </xf>
    <xf numFmtId="1" fontId="164" fillId="0" borderId="0" xfId="4668" applyNumberFormat="1" applyFont="1" applyFill="1" applyBorder="1"/>
    <xf numFmtId="1" fontId="163" fillId="0" borderId="0" xfId="4668" applyNumberFormat="1" applyFont="1" applyFill="1" applyBorder="1"/>
    <xf numFmtId="1" fontId="163" fillId="0" borderId="0" xfId="4" applyNumberFormat="1" applyFont="1" applyFill="1" applyBorder="1" applyAlignment="1">
      <alignment horizontal="right"/>
    </xf>
    <xf numFmtId="1" fontId="163" fillId="0" borderId="0" xfId="8749" applyNumberFormat="1" applyFont="1" applyFill="1" applyBorder="1" applyAlignment="1">
      <alignment horizontal="center"/>
    </xf>
    <xf numFmtId="1" fontId="163" fillId="0" borderId="0" xfId="8749" applyNumberFormat="1" applyFont="1" applyFill="1" applyBorder="1"/>
    <xf numFmtId="1" fontId="165" fillId="0" borderId="0" xfId="4" applyNumberFormat="1" applyFont="1" applyFill="1" applyBorder="1"/>
    <xf numFmtId="1" fontId="165" fillId="0" borderId="0" xfId="4262" applyNumberFormat="1" applyFont="1" applyFill="1" applyBorder="1"/>
    <xf numFmtId="1" fontId="165" fillId="0" borderId="0" xfId="10" applyNumberFormat="1" applyFont="1" applyFill="1" applyBorder="1" applyAlignment="1">
      <alignment horizontal="right"/>
    </xf>
    <xf numFmtId="1" fontId="163" fillId="0" borderId="0" xfId="8749" applyNumberFormat="1" applyFont="1" applyFill="1" applyBorder="1" applyAlignment="1">
      <alignment horizontal="right"/>
    </xf>
    <xf numFmtId="1" fontId="170" fillId="0" borderId="0" xfId="8749" applyNumberFormat="1" applyFont="1" applyFill="1" applyBorder="1" applyAlignment="1">
      <alignment horizontal="center"/>
    </xf>
    <xf numFmtId="170" fontId="165" fillId="0" borderId="0" xfId="4" applyNumberFormat="1" applyFont="1" applyFill="1" applyBorder="1" applyAlignment="1">
      <alignment horizontal="right"/>
    </xf>
    <xf numFmtId="1"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top" wrapText="1"/>
    </xf>
    <xf numFmtId="170" fontId="165" fillId="0" borderId="0" xfId="1" applyNumberFormat="1" applyFont="1" applyFill="1" applyBorder="1" applyAlignment="1">
      <alignment horizontal="right"/>
    </xf>
    <xf numFmtId="170" fontId="163" fillId="0" borderId="0" xfId="4" applyNumberFormat="1" applyFont="1" applyFill="1" applyBorder="1" applyAlignment="1">
      <alignment horizontal="right"/>
    </xf>
    <xf numFmtId="165" fontId="165" fillId="0" borderId="0" xfId="1" applyFont="1" applyFill="1" applyBorder="1" applyAlignment="1">
      <alignment horizontal="right"/>
    </xf>
    <xf numFmtId="165" fontId="165" fillId="0" borderId="0" xfId="1" applyFont="1" applyFill="1" applyBorder="1" applyAlignment="1">
      <alignment vertical="top"/>
    </xf>
    <xf numFmtId="165" fontId="165" fillId="0" borderId="0" xfId="1" applyFont="1" applyFill="1" applyBorder="1" applyAlignment="1">
      <alignment horizontal="right" shrinkToFit="1"/>
    </xf>
    <xf numFmtId="165" fontId="165" fillId="0" borderId="0" xfId="1" applyFont="1" applyFill="1" applyBorder="1" applyAlignment="1"/>
    <xf numFmtId="243" fontId="165" fillId="0" borderId="0" xfId="0" applyNumberFormat="1" applyFont="1" applyFill="1" applyBorder="1" applyAlignment="1">
      <alignment horizontal="right"/>
    </xf>
    <xf numFmtId="0" fontId="159" fillId="54" borderId="0" xfId="16628" applyFont="1" applyFill="1"/>
    <xf numFmtId="0" fontId="48" fillId="0" borderId="0" xfId="16628" applyFont="1" applyFill="1"/>
    <xf numFmtId="0" fontId="171" fillId="81" borderId="73" xfId="16628" applyFont="1" applyFill="1" applyBorder="1" applyAlignment="1">
      <alignment horizontal="center"/>
    </xf>
    <xf numFmtId="0" fontId="172" fillId="0" borderId="75" xfId="16628" applyFont="1" applyFill="1" applyBorder="1" applyAlignment="1">
      <alignment horizontal="center"/>
    </xf>
    <xf numFmtId="0" fontId="172" fillId="0" borderId="0" xfId="16628" applyFont="1" applyFill="1"/>
    <xf numFmtId="0" fontId="171" fillId="81" borderId="76" xfId="16628" applyFont="1" applyFill="1" applyBorder="1" applyAlignment="1">
      <alignment horizontal="center"/>
    </xf>
    <xf numFmtId="0" fontId="172" fillId="0" borderId="77" xfId="16628" applyFont="1" applyFill="1" applyBorder="1" applyAlignment="1">
      <alignment horizontal="center"/>
    </xf>
    <xf numFmtId="0" fontId="171" fillId="81" borderId="78" xfId="16628" applyFont="1" applyFill="1" applyBorder="1" applyAlignment="1">
      <alignment horizontal="center"/>
    </xf>
    <xf numFmtId="0" fontId="172" fillId="0" borderId="79" xfId="16628" applyFont="1" applyFill="1" applyBorder="1" applyAlignment="1">
      <alignment horizontal="center"/>
    </xf>
    <xf numFmtId="0" fontId="171" fillId="0" borderId="0" xfId="16628" applyFont="1" applyFill="1"/>
    <xf numFmtId="0" fontId="173" fillId="82" borderId="0" xfId="16628" applyFont="1" applyFill="1"/>
    <xf numFmtId="0" fontId="174" fillId="82" borderId="0" xfId="16628" applyFont="1" applyFill="1"/>
    <xf numFmtId="0" fontId="175" fillId="82" borderId="0" xfId="16628" applyFont="1" applyFill="1" applyAlignment="1">
      <alignment horizontal="center"/>
    </xf>
    <xf numFmtId="0" fontId="48" fillId="0" borderId="0" xfId="16628" applyFont="1" applyFill="1" applyAlignment="1">
      <alignment horizontal="right"/>
    </xf>
    <xf numFmtId="0" fontId="176" fillId="0" borderId="0" xfId="16628" applyFont="1" applyFill="1"/>
    <xf numFmtId="0" fontId="176" fillId="0" borderId="0" xfId="16628" applyFont="1" applyFill="1" applyAlignment="1">
      <alignment horizontal="center"/>
    </xf>
    <xf numFmtId="350" fontId="48" fillId="83" borderId="7" xfId="16628" applyNumberFormat="1" applyFont="1" applyFill="1" applyBorder="1" applyAlignment="1">
      <alignment horizontal="right"/>
    </xf>
    <xf numFmtId="170" fontId="48" fillId="84" borderId="7" xfId="16628" applyNumberFormat="1" applyFont="1" applyFill="1" applyBorder="1"/>
    <xf numFmtId="350" fontId="48" fillId="84" borderId="7" xfId="16628" applyNumberFormat="1" applyFont="1" applyFill="1" applyBorder="1" applyAlignment="1">
      <alignment horizontal="right"/>
    </xf>
    <xf numFmtId="350" fontId="48" fillId="80" borderId="7" xfId="16628" applyNumberFormat="1" applyFont="1" applyFill="1" applyBorder="1" applyAlignment="1">
      <alignment horizontal="right"/>
    </xf>
    <xf numFmtId="167" fontId="22" fillId="0" borderId="0" xfId="10" applyNumberFormat="1" applyFont="1" applyFill="1"/>
    <xf numFmtId="2" fontId="48" fillId="0" borderId="0" xfId="16628" applyNumberFormat="1" applyFont="1" applyFill="1"/>
    <xf numFmtId="0" fontId="175" fillId="86" borderId="0" xfId="16628" applyFont="1" applyFill="1"/>
    <xf numFmtId="2" fontId="175" fillId="86" borderId="0" xfId="16628" applyNumberFormat="1" applyFont="1" applyFill="1"/>
    <xf numFmtId="184" fontId="48" fillId="0" borderId="0" xfId="16629" applyNumberFormat="1" applyFont="1" applyFill="1"/>
    <xf numFmtId="0" fontId="48" fillId="87" borderId="0" xfId="16628" applyFont="1" applyFill="1"/>
    <xf numFmtId="0" fontId="177" fillId="0" borderId="0" xfId="16628" applyFont="1" applyFill="1"/>
    <xf numFmtId="0" fontId="171" fillId="0" borderId="0" xfId="16628" applyFont="1" applyFill="1" applyAlignment="1">
      <alignment horizontal="right"/>
    </xf>
    <xf numFmtId="0" fontId="178" fillId="0" borderId="0" xfId="16628" applyFont="1" applyFill="1"/>
    <xf numFmtId="305" fontId="48" fillId="0" borderId="0" xfId="16628" applyNumberFormat="1" applyFont="1" applyFill="1"/>
    <xf numFmtId="0" fontId="48" fillId="85" borderId="0" xfId="16628" applyFont="1" applyFill="1"/>
    <xf numFmtId="1" fontId="48" fillId="0" borderId="0" xfId="16628" applyNumberFormat="1" applyFont="1" applyFill="1"/>
    <xf numFmtId="0" fontId="179" fillId="82" borderId="0" xfId="16628" applyFont="1" applyFill="1"/>
    <xf numFmtId="305" fontId="48" fillId="85" borderId="0" xfId="16628" applyNumberFormat="1" applyFont="1" applyFill="1"/>
    <xf numFmtId="2" fontId="48" fillId="85" borderId="0" xfId="16628" applyNumberFormat="1" applyFont="1" applyFill="1"/>
    <xf numFmtId="0" fontId="180" fillId="87" borderId="0" xfId="16628" applyFont="1" applyFill="1"/>
    <xf numFmtId="351" fontId="48" fillId="85" borderId="0" xfId="16628" applyNumberFormat="1" applyFont="1" applyFill="1"/>
    <xf numFmtId="351" fontId="172" fillId="80" borderId="77" xfId="16628" applyNumberFormat="1" applyFont="1" applyFill="1" applyBorder="1" applyAlignment="1">
      <alignment horizontal="center"/>
    </xf>
    <xf numFmtId="352" fontId="48" fillId="0" borderId="0" xfId="16628" applyNumberFormat="1" applyFont="1" applyFill="1"/>
    <xf numFmtId="170" fontId="48" fillId="85" borderId="0" xfId="16628" applyNumberFormat="1" applyFont="1" applyFill="1"/>
    <xf numFmtId="352" fontId="48" fillId="85" borderId="0" xfId="16628" applyNumberFormat="1" applyFont="1" applyFill="1"/>
    <xf numFmtId="2" fontId="163" fillId="0" borderId="0" xfId="4668" applyNumberFormat="1" applyFont="1" applyFill="1" applyAlignment="1"/>
    <xf numFmtId="0" fontId="165" fillId="0" borderId="0" xfId="15" applyFont="1" applyFill="1" applyBorder="1" applyAlignment="1">
      <alignment vertical="center" wrapText="1"/>
    </xf>
    <xf numFmtId="1" fontId="165" fillId="0" borderId="0" xfId="15" applyNumberFormat="1" applyFont="1" applyFill="1" applyBorder="1" applyAlignment="1">
      <alignment horizontal="right" vertical="top" wrapText="1"/>
    </xf>
    <xf numFmtId="0" fontId="165" fillId="0" borderId="0" xfId="0" applyFont="1" applyFill="1"/>
    <xf numFmtId="1" fontId="165" fillId="0" borderId="0" xfId="0" applyNumberFormat="1" applyFont="1" applyFill="1"/>
    <xf numFmtId="2" fontId="164" fillId="0" borderId="0" xfId="4668" applyNumberFormat="1" applyFont="1" applyFill="1" applyBorder="1"/>
    <xf numFmtId="1" fontId="164" fillId="0" borderId="0" xfId="4668" applyNumberFormat="1" applyFont="1" applyFill="1" applyBorder="1" applyAlignment="1">
      <alignment horizontal="right"/>
    </xf>
    <xf numFmtId="0" fontId="164" fillId="0" borderId="0" xfId="8749" applyFont="1" applyFill="1" applyBorder="1"/>
    <xf numFmtId="0" fontId="166" fillId="0" borderId="0" xfId="0" applyFont="1" applyFill="1"/>
    <xf numFmtId="170" fontId="165" fillId="0" borderId="80" xfId="0" applyNumberFormat="1" applyFont="1" applyFill="1" applyBorder="1" applyAlignment="1">
      <alignment horizontal="right" vertical="center" wrapText="1"/>
    </xf>
    <xf numFmtId="0" fontId="163" fillId="0" borderId="0" xfId="15297" applyFont="1" applyFill="1" applyBorder="1"/>
    <xf numFmtId="0" fontId="164" fillId="0" borderId="0" xfId="15297" applyFont="1" applyFill="1" applyBorder="1"/>
    <xf numFmtId="0" fontId="159" fillId="54" borderId="0" xfId="0" applyFont="1" applyFill="1"/>
    <xf numFmtId="0" fontId="48" fillId="0" borderId="0" xfId="0" applyFont="1" applyFill="1"/>
    <xf numFmtId="0" fontId="171" fillId="81" borderId="73" xfId="0" applyFont="1" applyFill="1" applyBorder="1" applyAlignment="1">
      <alignment horizontal="center"/>
    </xf>
    <xf numFmtId="0" fontId="171" fillId="81" borderId="74" xfId="0" applyFont="1" applyFill="1" applyBorder="1" applyAlignment="1">
      <alignment horizontal="center"/>
    </xf>
    <xf numFmtId="0" fontId="172" fillId="0" borderId="75" xfId="0" applyFont="1" applyFill="1" applyBorder="1" applyAlignment="1">
      <alignment horizontal="center"/>
    </xf>
    <xf numFmtId="0" fontId="172" fillId="0" borderId="0" xfId="0" applyFont="1" applyFill="1"/>
    <xf numFmtId="0" fontId="171" fillId="81" borderId="76" xfId="0" applyFont="1" applyFill="1" applyBorder="1" applyAlignment="1">
      <alignment horizontal="center"/>
    </xf>
    <xf numFmtId="0" fontId="171" fillId="81" borderId="0" xfId="0" applyFont="1" applyFill="1" applyBorder="1" applyAlignment="1">
      <alignment horizontal="center"/>
    </xf>
    <xf numFmtId="0" fontId="172" fillId="0" borderId="77" xfId="0" applyFont="1" applyFill="1" applyBorder="1" applyAlignment="1">
      <alignment horizontal="center"/>
    </xf>
    <xf numFmtId="0" fontId="171" fillId="81" borderId="78" xfId="0" applyFont="1" applyFill="1" applyBorder="1" applyAlignment="1">
      <alignment horizontal="center"/>
    </xf>
    <xf numFmtId="0" fontId="171" fillId="81" borderId="1" xfId="0" applyFont="1" applyFill="1" applyBorder="1" applyAlignment="1">
      <alignment horizontal="center"/>
    </xf>
    <xf numFmtId="0" fontId="172" fillId="0" borderId="79" xfId="0" applyFont="1" applyFill="1" applyBorder="1" applyAlignment="1">
      <alignment horizontal="center"/>
    </xf>
    <xf numFmtId="0" fontId="171" fillId="0" borderId="0" xfId="0" applyFont="1" applyFill="1"/>
    <xf numFmtId="0" fontId="173" fillId="82" borderId="0" xfId="0" applyFont="1" applyFill="1"/>
    <xf numFmtId="0" fontId="174" fillId="82" borderId="0" xfId="0" applyFont="1" applyFill="1"/>
    <xf numFmtId="0" fontId="175" fillId="82" borderId="0" xfId="0" applyFont="1" applyFill="1" applyAlignment="1">
      <alignment horizontal="center"/>
    </xf>
    <xf numFmtId="0" fontId="175" fillId="0" borderId="0" xfId="0" applyFont="1" applyFill="1" applyAlignment="1">
      <alignment horizontal="center"/>
    </xf>
    <xf numFmtId="0" fontId="48" fillId="0" borderId="0" xfId="0" applyFont="1" applyFill="1" applyAlignment="1">
      <alignment horizontal="right"/>
    </xf>
    <xf numFmtId="0" fontId="176" fillId="0" borderId="0" xfId="0" applyFont="1" applyFill="1"/>
    <xf numFmtId="0" fontId="176" fillId="0" borderId="0" xfId="0" applyFont="1" applyFill="1" applyAlignment="1">
      <alignment horizontal="center"/>
    </xf>
    <xf numFmtId="350" fontId="48" fillId="83" borderId="7" xfId="0" applyNumberFormat="1" applyFont="1" applyFill="1" applyBorder="1" applyAlignment="1">
      <alignment horizontal="right"/>
    </xf>
    <xf numFmtId="170" fontId="48" fillId="84" borderId="7" xfId="0" applyNumberFormat="1" applyFont="1" applyFill="1" applyBorder="1"/>
    <xf numFmtId="350" fontId="48" fillId="84" borderId="7" xfId="0" applyNumberFormat="1" applyFont="1" applyFill="1" applyBorder="1" applyAlignment="1">
      <alignment horizontal="right"/>
    </xf>
    <xf numFmtId="350" fontId="48" fillId="80" borderId="7" xfId="0" applyNumberFormat="1" applyFont="1" applyFill="1" applyBorder="1" applyAlignment="1">
      <alignment horizontal="right"/>
    </xf>
    <xf numFmtId="350" fontId="48" fillId="85" borderId="0" xfId="0" applyNumberFormat="1" applyFont="1" applyFill="1"/>
    <xf numFmtId="2" fontId="48" fillId="0" borderId="0" xfId="0" applyNumberFormat="1" applyFont="1" applyFill="1"/>
    <xf numFmtId="0" fontId="175" fillId="86" borderId="0" xfId="0" applyFont="1" applyFill="1"/>
    <xf numFmtId="2" fontId="175" fillId="86" borderId="0" xfId="0" applyNumberFormat="1" applyFont="1" applyFill="1"/>
    <xf numFmtId="0" fontId="175" fillId="0" borderId="0" xfId="0" applyFont="1" applyFill="1"/>
    <xf numFmtId="2" fontId="175" fillId="0" borderId="0" xfId="0" applyNumberFormat="1" applyFont="1" applyFill="1"/>
    <xf numFmtId="0" fontId="48" fillId="87" borderId="0" xfId="0" applyFont="1" applyFill="1"/>
    <xf numFmtId="0" fontId="177" fillId="0" borderId="0" xfId="0" applyFont="1" applyFill="1"/>
    <xf numFmtId="0" fontId="171" fillId="0" borderId="0" xfId="0" applyFont="1" applyFill="1" applyAlignment="1">
      <alignment horizontal="right"/>
    </xf>
    <xf numFmtId="0" fontId="178" fillId="0" borderId="0" xfId="0" applyFont="1" applyFill="1"/>
    <xf numFmtId="305" fontId="48" fillId="0" borderId="0" xfId="0" applyNumberFormat="1" applyFont="1" applyFill="1"/>
    <xf numFmtId="0" fontId="48" fillId="85" borderId="0" xfId="0" applyFont="1" applyFill="1"/>
    <xf numFmtId="1" fontId="48" fillId="0" borderId="0" xfId="0" applyNumberFormat="1" applyFont="1" applyFill="1"/>
    <xf numFmtId="0" fontId="179" fillId="82" borderId="0" xfId="0" applyFont="1" applyFill="1"/>
    <xf numFmtId="305" fontId="48" fillId="85" borderId="0" xfId="0" applyNumberFormat="1" applyFont="1" applyFill="1"/>
    <xf numFmtId="2" fontId="48" fillId="85" borderId="0" xfId="0" applyNumberFormat="1" applyFont="1" applyFill="1"/>
    <xf numFmtId="0" fontId="180" fillId="87" borderId="0" xfId="0" applyFont="1" applyFill="1"/>
    <xf numFmtId="351" fontId="48" fillId="85" borderId="0" xfId="0" applyNumberFormat="1" applyFont="1" applyFill="1"/>
    <xf numFmtId="1" fontId="168" fillId="0" borderId="0" xfId="0" applyNumberFormat="1" applyFont="1" applyFill="1" applyBorder="1" applyAlignment="1">
      <alignment vertical="center" wrapText="1"/>
    </xf>
    <xf numFmtId="2" fontId="163" fillId="0" borderId="0" xfId="4668" applyNumberFormat="1" applyFont="1" applyFill="1" applyAlignment="1">
      <alignment horizontal="right"/>
    </xf>
    <xf numFmtId="3" fontId="166" fillId="0" borderId="0" xfId="0" applyNumberFormat="1" applyFont="1" applyFill="1" applyBorder="1" applyAlignment="1">
      <alignment horizontal="center" vertical="top"/>
    </xf>
    <xf numFmtId="1" fontId="165" fillId="0" borderId="0" xfId="0" applyNumberFormat="1" applyFont="1" applyFill="1" applyBorder="1" applyAlignment="1">
      <alignment horizontal="right" wrapText="1"/>
    </xf>
    <xf numFmtId="243" fontId="164" fillId="0" borderId="0" xfId="4668" applyNumberFormat="1" applyFont="1" applyFill="1" applyBorder="1"/>
    <xf numFmtId="9" fontId="163" fillId="0" borderId="0" xfId="4" applyFont="1" applyFill="1" applyBorder="1"/>
    <xf numFmtId="2" fontId="164" fillId="0" borderId="0" xfId="15363" applyNumberFormat="1" applyFont="1" applyFill="1" applyBorder="1"/>
    <xf numFmtId="1" fontId="163" fillId="0" borderId="0" xfId="15363" applyNumberFormat="1" applyFont="1" applyFill="1" applyBorder="1"/>
    <xf numFmtId="1" fontId="163" fillId="0" borderId="0" xfId="15363" applyNumberFormat="1" applyFont="1" applyFill="1" applyBorder="1" applyAlignment="1">
      <alignment horizontal="right"/>
    </xf>
    <xf numFmtId="2" fontId="163" fillId="0" borderId="0" xfId="15363" applyNumberFormat="1" applyFont="1" applyFill="1" applyBorder="1"/>
    <xf numFmtId="170" fontId="163" fillId="0" borderId="0" xfId="15363" applyNumberFormat="1" applyFont="1" applyFill="1" applyBorder="1" applyAlignment="1">
      <alignment horizontal="right"/>
    </xf>
    <xf numFmtId="0" fontId="0" fillId="0" borderId="0" xfId="0" applyFill="1"/>
    <xf numFmtId="170" fontId="165" fillId="0" borderId="0" xfId="0" applyNumberFormat="1" applyFont="1" applyFill="1"/>
    <xf numFmtId="1" fontId="166" fillId="0" borderId="0" xfId="0" applyNumberFormat="1" applyFont="1" applyFill="1"/>
    <xf numFmtId="0" fontId="166" fillId="0" borderId="0" xfId="0" applyFont="1" applyFill="1" applyAlignment="1">
      <alignment horizontal="center"/>
    </xf>
    <xf numFmtId="0" fontId="165" fillId="0" borderId="0" xfId="0" applyFont="1" applyFill="1" applyBorder="1" applyAlignment="1">
      <alignment horizontal="center"/>
    </xf>
    <xf numFmtId="0" fontId="165" fillId="0" borderId="0" xfId="0" applyFont="1" applyFill="1" applyAlignment="1">
      <alignment horizontal="center"/>
    </xf>
    <xf numFmtId="170" fontId="165" fillId="0" borderId="0" xfId="0" applyNumberFormat="1" applyFont="1" applyFill="1" applyAlignment="1">
      <alignment horizontal="center"/>
    </xf>
    <xf numFmtId="1" fontId="165" fillId="0" borderId="0" xfId="0" applyNumberFormat="1" applyFont="1" applyFill="1" applyAlignment="1">
      <alignment horizontal="center"/>
    </xf>
    <xf numFmtId="243" fontId="165" fillId="0" borderId="0" xfId="0" applyNumberFormat="1" applyFont="1" applyFill="1" applyAlignment="1">
      <alignment horizontal="center"/>
    </xf>
    <xf numFmtId="0" fontId="166" fillId="0" borderId="0" xfId="0" applyFont="1" applyFill="1" applyAlignment="1"/>
    <xf numFmtId="0" fontId="183" fillId="0" borderId="0" xfId="0" applyFont="1" applyFill="1" applyAlignment="1">
      <alignment horizontal="center"/>
    </xf>
    <xf numFmtId="1" fontId="165" fillId="0" borderId="70" xfId="2" applyNumberFormat="1" applyFont="1" applyFill="1" applyBorder="1" applyAlignment="1">
      <alignment vertical="center"/>
    </xf>
    <xf numFmtId="1" fontId="165" fillId="0" borderId="70" xfId="15" applyNumberFormat="1" applyFont="1" applyFill="1" applyBorder="1" applyAlignment="1">
      <alignment horizontal="right" vertical="center" wrapText="1"/>
    </xf>
    <xf numFmtId="1" fontId="166" fillId="0" borderId="0" xfId="0" applyNumberFormat="1" applyFont="1" applyFill="1" applyBorder="1" applyAlignment="1">
      <alignment vertical="top"/>
    </xf>
    <xf numFmtId="1" fontId="165" fillId="0" borderId="42" xfId="1" applyNumberFormat="1" applyFont="1" applyFill="1" applyBorder="1" applyAlignment="1">
      <alignment vertical="center"/>
    </xf>
    <xf numFmtId="243" fontId="165" fillId="0" borderId="0" xfId="4" applyNumberFormat="1" applyFont="1" applyFill="1" applyBorder="1" applyAlignment="1">
      <alignment horizontal="right" vertical="center" wrapText="1"/>
    </xf>
    <xf numFmtId="170" fontId="165" fillId="0" borderId="0" xfId="4" applyNumberFormat="1" applyFont="1" applyFill="1" applyBorder="1" applyAlignment="1">
      <alignment horizontal="right" vertical="center" wrapText="1"/>
    </xf>
    <xf numFmtId="9" fontId="165" fillId="0" borderId="0" xfId="4" applyFont="1" applyFill="1" applyBorder="1" applyAlignment="1">
      <alignment horizontal="right"/>
    </xf>
    <xf numFmtId="170" fontId="165" fillId="0" borderId="70" xfId="0" applyNumberFormat="1" applyFont="1" applyFill="1" applyBorder="1" applyAlignment="1">
      <alignment horizontal="right"/>
    </xf>
    <xf numFmtId="170" fontId="163" fillId="0" borderId="0" xfId="4668" applyNumberFormat="1" applyFont="1" applyFill="1" applyBorder="1" applyAlignment="1">
      <alignment horizontal="right"/>
    </xf>
    <xf numFmtId="1" fontId="163" fillId="0" borderId="70" xfId="4668" applyNumberFormat="1" applyFont="1" applyFill="1" applyBorder="1" applyAlignment="1">
      <alignment horizontal="right"/>
    </xf>
    <xf numFmtId="243" fontId="163" fillId="0" borderId="70" xfId="4668" applyNumberFormat="1" applyFont="1" applyFill="1" applyBorder="1" applyAlignment="1">
      <alignment horizontal="right"/>
    </xf>
    <xf numFmtId="243" fontId="163" fillId="0" borderId="0" xfId="4668" applyNumberFormat="1" applyFont="1" applyFill="1" applyBorder="1" applyAlignment="1">
      <alignment horizontal="right"/>
    </xf>
    <xf numFmtId="1" fontId="163" fillId="0" borderId="0" xfId="15297" applyNumberFormat="1" applyFont="1" applyFill="1" applyBorder="1"/>
    <xf numFmtId="1" fontId="163" fillId="0" borderId="70" xfId="15363" applyNumberFormat="1" applyFont="1" applyFill="1" applyBorder="1" applyAlignment="1">
      <alignment horizontal="right"/>
    </xf>
    <xf numFmtId="243" fontId="163" fillId="0" borderId="70" xfId="15363" applyNumberFormat="1" applyFont="1" applyFill="1" applyBorder="1" applyAlignment="1">
      <alignment horizontal="right"/>
    </xf>
    <xf numFmtId="184" fontId="165" fillId="0" borderId="70" xfId="4" applyNumberFormat="1" applyFont="1" applyFill="1" applyBorder="1"/>
    <xf numFmtId="184" fontId="163" fillId="0" borderId="0" xfId="4" applyNumberFormat="1" applyFont="1" applyFill="1" applyBorder="1" applyAlignment="1">
      <alignment horizontal="right"/>
    </xf>
    <xf numFmtId="1" fontId="165" fillId="0" borderId="0" xfId="0" applyNumberFormat="1" applyFont="1" applyFill="1" applyBorder="1" applyAlignment="1">
      <alignment horizontal="center"/>
    </xf>
    <xf numFmtId="0" fontId="171" fillId="81" borderId="1" xfId="16628" applyFont="1" applyFill="1" applyBorder="1" applyAlignment="1">
      <alignment horizontal="left"/>
    </xf>
    <xf numFmtId="0" fontId="171" fillId="81" borderId="74" xfId="16628" applyFont="1" applyFill="1" applyBorder="1" applyAlignment="1">
      <alignment horizontal="left"/>
    </xf>
    <xf numFmtId="0" fontId="171" fillId="81" borderId="0" xfId="16628" applyFont="1" applyFill="1" applyBorder="1" applyAlignment="1">
      <alignment horizontal="left"/>
    </xf>
  </cellXfs>
  <cellStyles count="16710">
    <cellStyle name=" 1" xfId="44"/>
    <cellStyle name=" 1 10" xfId="45"/>
    <cellStyle name=" 1 10 2" xfId="46"/>
    <cellStyle name=" 1 10 3" xfId="47"/>
    <cellStyle name=" 1 10 4" xfId="48"/>
    <cellStyle name=" 1 10 5" xfId="49"/>
    <cellStyle name=" 1 10 6" xfId="50"/>
    <cellStyle name=" 1 10 7" xfId="51"/>
    <cellStyle name=" 1 10 8" xfId="52"/>
    <cellStyle name=" 1 11" xfId="53"/>
    <cellStyle name=" 1 11 2" xfId="54"/>
    <cellStyle name=" 1 11 3" xfId="55"/>
    <cellStyle name=" 1 11 4" xfId="56"/>
    <cellStyle name=" 1 11 5" xfId="57"/>
    <cellStyle name=" 1 11 6" xfId="58"/>
    <cellStyle name=" 1 11 7" xfId="59"/>
    <cellStyle name=" 1 11 8" xfId="60"/>
    <cellStyle name=" 1 12" xfId="61"/>
    <cellStyle name=" 1 12 2" xfId="62"/>
    <cellStyle name=" 1 12 3" xfId="63"/>
    <cellStyle name=" 1 12 4" xfId="64"/>
    <cellStyle name=" 1 12 5" xfId="65"/>
    <cellStyle name=" 1 12 6" xfId="66"/>
    <cellStyle name=" 1 12 7" xfId="67"/>
    <cellStyle name=" 1 12 8" xfId="68"/>
    <cellStyle name=" 1 13" xfId="69"/>
    <cellStyle name=" 1 13 2" xfId="70"/>
    <cellStyle name=" 1 13 3" xfId="71"/>
    <cellStyle name=" 1 13 4" xfId="72"/>
    <cellStyle name=" 1 13 5" xfId="73"/>
    <cellStyle name=" 1 13 6" xfId="74"/>
    <cellStyle name=" 1 13 7" xfId="75"/>
    <cellStyle name=" 1 13 8" xfId="76"/>
    <cellStyle name=" 1 14" xfId="77"/>
    <cellStyle name=" 1 14 2" xfId="78"/>
    <cellStyle name=" 1 14 3" xfId="79"/>
    <cellStyle name=" 1 14 4" xfId="80"/>
    <cellStyle name=" 1 14 5" xfId="81"/>
    <cellStyle name=" 1 14 6" xfId="82"/>
    <cellStyle name=" 1 14 7" xfId="83"/>
    <cellStyle name=" 1 14 8" xfId="84"/>
    <cellStyle name=" 1 15" xfId="85"/>
    <cellStyle name=" 1 15 2" xfId="86"/>
    <cellStyle name=" 1 15 3" xfId="87"/>
    <cellStyle name=" 1 15 4" xfId="88"/>
    <cellStyle name=" 1 15 5" xfId="89"/>
    <cellStyle name=" 1 15 6" xfId="90"/>
    <cellStyle name=" 1 15 7" xfId="91"/>
    <cellStyle name=" 1 15 8" xfId="92"/>
    <cellStyle name=" 1 16" xfId="93"/>
    <cellStyle name=" 1 16 2" xfId="94"/>
    <cellStyle name=" 1 16 3" xfId="95"/>
    <cellStyle name=" 1 16 4" xfId="96"/>
    <cellStyle name=" 1 16 5" xfId="97"/>
    <cellStyle name=" 1 16 6" xfId="98"/>
    <cellStyle name=" 1 16 7" xfId="99"/>
    <cellStyle name=" 1 16 8" xfId="100"/>
    <cellStyle name=" 1 17" xfId="101"/>
    <cellStyle name=" 1 17 2" xfId="102"/>
    <cellStyle name=" 1 17 3" xfId="103"/>
    <cellStyle name=" 1 17 4" xfId="104"/>
    <cellStyle name=" 1 17 5" xfId="105"/>
    <cellStyle name=" 1 17 6" xfId="106"/>
    <cellStyle name=" 1 17 7" xfId="107"/>
    <cellStyle name=" 1 17 8" xfId="108"/>
    <cellStyle name=" 1 18" xfId="109"/>
    <cellStyle name=" 1 18 2" xfId="110"/>
    <cellStyle name=" 1 18 3" xfId="111"/>
    <cellStyle name=" 1 18 4" xfId="112"/>
    <cellStyle name=" 1 18 5" xfId="113"/>
    <cellStyle name=" 1 18 6" xfId="114"/>
    <cellStyle name=" 1 18 7" xfId="115"/>
    <cellStyle name=" 1 18 8" xfId="116"/>
    <cellStyle name=" 1 19" xfId="117"/>
    <cellStyle name=" 1 19 2" xfId="118"/>
    <cellStyle name=" 1 19 3" xfId="119"/>
    <cellStyle name=" 1 19 4" xfId="120"/>
    <cellStyle name=" 1 19 5" xfId="121"/>
    <cellStyle name=" 1 19 6" xfId="122"/>
    <cellStyle name=" 1 19 7" xfId="123"/>
    <cellStyle name=" 1 19 8" xfId="124"/>
    <cellStyle name=" 1 2" xfId="125"/>
    <cellStyle name=" 1 2 10" xfId="126"/>
    <cellStyle name=" 1 2 11" xfId="127"/>
    <cellStyle name=" 1 2 12" xfId="128"/>
    <cellStyle name=" 1 2 2" xfId="129"/>
    <cellStyle name=" 1 2 2 2" xfId="130"/>
    <cellStyle name=" 1 2 2 3" xfId="131"/>
    <cellStyle name=" 1 2 2 4" xfId="132"/>
    <cellStyle name=" 1 2 2 5" xfId="133"/>
    <cellStyle name=" 1 2 2 6" xfId="134"/>
    <cellStyle name=" 1 2 3" xfId="135"/>
    <cellStyle name=" 1 2 3 2" xfId="136"/>
    <cellStyle name=" 1 2 3 3" xfId="137"/>
    <cellStyle name=" 1 2 3 4" xfId="138"/>
    <cellStyle name=" 1 2 3 5" xfId="139"/>
    <cellStyle name=" 1 2 3 6" xfId="140"/>
    <cellStyle name=" 1 2 4" xfId="141"/>
    <cellStyle name=" 1 2 4 2" xfId="142"/>
    <cellStyle name=" 1 2 4 3" xfId="143"/>
    <cellStyle name=" 1 2 4 4" xfId="144"/>
    <cellStyle name=" 1 2 4 5" xfId="145"/>
    <cellStyle name=" 1 2 4 6" xfId="146"/>
    <cellStyle name=" 1 2 5" xfId="147"/>
    <cellStyle name=" 1 2 5 2" xfId="148"/>
    <cellStyle name=" 1 2 5 3" xfId="149"/>
    <cellStyle name=" 1 2 5 4" xfId="150"/>
    <cellStyle name=" 1 2 5 5" xfId="151"/>
    <cellStyle name=" 1 2 5 6" xfId="152"/>
    <cellStyle name=" 1 2 6" xfId="153"/>
    <cellStyle name=" 1 2 6 2" xfId="154"/>
    <cellStyle name=" 1 2 6 3" xfId="155"/>
    <cellStyle name=" 1 2 6 4" xfId="156"/>
    <cellStyle name=" 1 2 6 5" xfId="157"/>
    <cellStyle name=" 1 2 7" xfId="158"/>
    <cellStyle name=" 1 2 8" xfId="159"/>
    <cellStyle name=" 1 2 9" xfId="160"/>
    <cellStyle name=" 1 20" xfId="161"/>
    <cellStyle name=" 1 20 2" xfId="162"/>
    <cellStyle name=" 1 20 3" xfId="163"/>
    <cellStyle name=" 1 20 4" xfId="164"/>
    <cellStyle name=" 1 20 5" xfId="165"/>
    <cellStyle name=" 1 20 6" xfId="166"/>
    <cellStyle name=" 1 20 7" xfId="167"/>
    <cellStyle name=" 1 20 8" xfId="168"/>
    <cellStyle name=" 1 21" xfId="169"/>
    <cellStyle name=" 1 21 2" xfId="170"/>
    <cellStyle name=" 1 21 3" xfId="171"/>
    <cellStyle name=" 1 21 4" xfId="172"/>
    <cellStyle name=" 1 21 5" xfId="173"/>
    <cellStyle name=" 1 21 6" xfId="174"/>
    <cellStyle name=" 1 21 7" xfId="175"/>
    <cellStyle name=" 1 21 8" xfId="176"/>
    <cellStyle name=" 1 22" xfId="177"/>
    <cellStyle name=" 1 22 2" xfId="178"/>
    <cellStyle name=" 1 22 3" xfId="179"/>
    <cellStyle name=" 1 22 4" xfId="180"/>
    <cellStyle name=" 1 22 5" xfId="181"/>
    <cellStyle name=" 1 22 6" xfId="182"/>
    <cellStyle name=" 1 22 7" xfId="183"/>
    <cellStyle name=" 1 22 8" xfId="184"/>
    <cellStyle name=" 1 23" xfId="185"/>
    <cellStyle name=" 1 23 2" xfId="186"/>
    <cellStyle name=" 1 23 3" xfId="187"/>
    <cellStyle name=" 1 23 4" xfId="188"/>
    <cellStyle name=" 1 23 5" xfId="189"/>
    <cellStyle name=" 1 23 6" xfId="190"/>
    <cellStyle name=" 1 23 7" xfId="191"/>
    <cellStyle name=" 1 23 8" xfId="192"/>
    <cellStyle name=" 1 24" xfId="193"/>
    <cellStyle name=" 1 24 2" xfId="194"/>
    <cellStyle name=" 1 24 3" xfId="195"/>
    <cellStyle name=" 1 24 4" xfId="196"/>
    <cellStyle name=" 1 24 5" xfId="197"/>
    <cellStyle name=" 1 25" xfId="198"/>
    <cellStyle name=" 1 25 2" xfId="199"/>
    <cellStyle name=" 1 25 3" xfId="200"/>
    <cellStyle name=" 1 25 4" xfId="201"/>
    <cellStyle name=" 1 25 5" xfId="202"/>
    <cellStyle name=" 1 3" xfId="203"/>
    <cellStyle name=" 1 3 10" xfId="204"/>
    <cellStyle name=" 1 3 11" xfId="205"/>
    <cellStyle name=" 1 3 2" xfId="206"/>
    <cellStyle name=" 1 3 2 2" xfId="207"/>
    <cellStyle name=" 1 3 2 3" xfId="208"/>
    <cellStyle name=" 1 3 2 4" xfId="209"/>
    <cellStyle name=" 1 3 2 5" xfId="210"/>
    <cellStyle name=" 1 3 2 6" xfId="211"/>
    <cellStyle name=" 1 3 3" xfId="212"/>
    <cellStyle name=" 1 3 3 2" xfId="213"/>
    <cellStyle name=" 1 3 3 3" xfId="214"/>
    <cellStyle name=" 1 3 3 4" xfId="215"/>
    <cellStyle name=" 1 3 3 5" xfId="216"/>
    <cellStyle name=" 1 3 3 6" xfId="217"/>
    <cellStyle name=" 1 3 4" xfId="218"/>
    <cellStyle name=" 1 3 4 2" xfId="219"/>
    <cellStyle name=" 1 3 4 3" xfId="220"/>
    <cellStyle name=" 1 3 4 4" xfId="221"/>
    <cellStyle name=" 1 3 4 5" xfId="222"/>
    <cellStyle name=" 1 3 4 6" xfId="223"/>
    <cellStyle name=" 1 3 5" xfId="224"/>
    <cellStyle name=" 1 3 5 2" xfId="225"/>
    <cellStyle name=" 1 3 5 3" xfId="226"/>
    <cellStyle name=" 1 3 5 4" xfId="227"/>
    <cellStyle name=" 1 3 5 5" xfId="228"/>
    <cellStyle name=" 1 3 5 6" xfId="229"/>
    <cellStyle name=" 1 3 6" xfId="230"/>
    <cellStyle name=" 1 3 7" xfId="231"/>
    <cellStyle name=" 1 3 8" xfId="232"/>
    <cellStyle name=" 1 3 9" xfId="233"/>
    <cellStyle name=" 1 4" xfId="234"/>
    <cellStyle name=" 1 4 2" xfId="235"/>
    <cellStyle name=" 1 4 3" xfId="236"/>
    <cellStyle name=" 1 4 4" xfId="237"/>
    <cellStyle name=" 1 4 5" xfId="238"/>
    <cellStyle name=" 1 4 6" xfId="239"/>
    <cellStyle name=" 1 4 7" xfId="240"/>
    <cellStyle name=" 1 4 8" xfId="241"/>
    <cellStyle name=" 1 5" xfId="242"/>
    <cellStyle name=" 1 5 2" xfId="243"/>
    <cellStyle name=" 1 5 3" xfId="244"/>
    <cellStyle name=" 1 5 4" xfId="245"/>
    <cellStyle name=" 1 5 5" xfId="246"/>
    <cellStyle name=" 1 5 6" xfId="247"/>
    <cellStyle name=" 1 5 7" xfId="248"/>
    <cellStyle name=" 1 5 8" xfId="249"/>
    <cellStyle name=" 1 6" xfId="250"/>
    <cellStyle name=" 1 6 2" xfId="251"/>
    <cellStyle name=" 1 6 3" xfId="252"/>
    <cellStyle name=" 1 6 4" xfId="253"/>
    <cellStyle name=" 1 6 5" xfId="254"/>
    <cellStyle name=" 1 6 6" xfId="255"/>
    <cellStyle name=" 1 6 7" xfId="256"/>
    <cellStyle name=" 1 6 8" xfId="257"/>
    <cellStyle name=" 1 7" xfId="258"/>
    <cellStyle name=" 1 7 2" xfId="259"/>
    <cellStyle name=" 1 7 3" xfId="260"/>
    <cellStyle name=" 1 7 4" xfId="261"/>
    <cellStyle name=" 1 7 5" xfId="262"/>
    <cellStyle name=" 1 7 6" xfId="263"/>
    <cellStyle name=" 1 7 7" xfId="264"/>
    <cellStyle name=" 1 7 8" xfId="265"/>
    <cellStyle name=" 1 8" xfId="266"/>
    <cellStyle name=" 1 8 2" xfId="267"/>
    <cellStyle name=" 1 8 3" xfId="268"/>
    <cellStyle name=" 1 8 4" xfId="269"/>
    <cellStyle name=" 1 8 5" xfId="270"/>
    <cellStyle name=" 1 8 6" xfId="271"/>
    <cellStyle name=" 1 8 7" xfId="272"/>
    <cellStyle name=" 1 8 8" xfId="273"/>
    <cellStyle name=" 1 9" xfId="274"/>
    <cellStyle name=" 1 9 2" xfId="275"/>
    <cellStyle name=" 1 9 3" xfId="276"/>
    <cellStyle name=" 1 9 4" xfId="277"/>
    <cellStyle name=" 1 9 5" xfId="278"/>
    <cellStyle name=" 1 9 6" xfId="279"/>
    <cellStyle name=" 1 9 7" xfId="280"/>
    <cellStyle name=" 1 9 8" xfId="281"/>
    <cellStyle name=" 2" xfId="282"/>
    <cellStyle name=" 3" xfId="283"/>
    <cellStyle name="$" xfId="284"/>
    <cellStyle name="$ BOX" xfId="285"/>
    <cellStyle name="$_DCF Shell 2" xfId="286"/>
    <cellStyle name="$_DCF Shell 2_Draft RIIO plan presentation template - Customer Opsx Centre V7" xfId="287"/>
    <cellStyle name="$_DCF Shell 2_Spreadsheet to populate plan slides 120810" xfId="288"/>
    <cellStyle name="$_DCF Shell 2_SS templates" xfId="289"/>
    <cellStyle name="$_DCF Shell 2_Total summary" xfId="290"/>
    <cellStyle name="$_Marathon SOP Backup_v10" xfId="291"/>
    <cellStyle name="$_Model_Sep_2_02" xfId="292"/>
    <cellStyle name="$_Pipeline Model v1 (09_09_02) v3" xfId="293"/>
    <cellStyle name="$_Pipeline Model v1 (09_09_02) v3_Draft RIIO plan presentation template - Customer Opsx Centre V7" xfId="294"/>
    <cellStyle name="$_Pipeline Model v1 (09_09_02) v3_Spreadsheet to populate plan slides 120810" xfId="295"/>
    <cellStyle name="$_Pipeline Model v1 (09_09_02) v3_SS templates" xfId="296"/>
    <cellStyle name="$_Pipeline Model v1 (09_09_02) v3_Total summary" xfId="297"/>
    <cellStyle name="$1000s (0)" xfId="298"/>
    <cellStyle name="$m" xfId="299"/>
    <cellStyle name="$q" xfId="300"/>
    <cellStyle name="$q*" xfId="301"/>
    <cellStyle name="$qA" xfId="302"/>
    <cellStyle name="$qRange" xfId="303"/>
    <cellStyle name="%" xfId="304"/>
    <cellStyle name="% 10" xfId="305"/>
    <cellStyle name="% 10 2" xfId="306"/>
    <cellStyle name="% 10 2 2" xfId="307"/>
    <cellStyle name="% 100" xfId="308"/>
    <cellStyle name="% 101" xfId="309"/>
    <cellStyle name="% 102" xfId="310"/>
    <cellStyle name="% 103" xfId="311"/>
    <cellStyle name="% 104" xfId="312"/>
    <cellStyle name="% 105" xfId="313"/>
    <cellStyle name="% 106" xfId="314"/>
    <cellStyle name="% 107" xfId="315"/>
    <cellStyle name="% 108" xfId="316"/>
    <cellStyle name="% 109" xfId="317"/>
    <cellStyle name="% 11" xfId="318"/>
    <cellStyle name="% 110" xfId="319"/>
    <cellStyle name="% 111" xfId="320"/>
    <cellStyle name="% 112" xfId="321"/>
    <cellStyle name="% 113" xfId="322"/>
    <cellStyle name="% 12" xfId="323"/>
    <cellStyle name="% 13" xfId="324"/>
    <cellStyle name="% 14" xfId="325"/>
    <cellStyle name="% 15" xfId="326"/>
    <cellStyle name="% 16" xfId="327"/>
    <cellStyle name="% 17" xfId="328"/>
    <cellStyle name="% 18" xfId="329"/>
    <cellStyle name="% 19" xfId="330"/>
    <cellStyle name="% 2" xfId="331"/>
    <cellStyle name="% 2 10" xfId="332"/>
    <cellStyle name="% 2 11" xfId="333"/>
    <cellStyle name="% 2 12" xfId="334"/>
    <cellStyle name="% 2 13" xfId="335"/>
    <cellStyle name="% 2 14" xfId="336"/>
    <cellStyle name="% 2 15" xfId="337"/>
    <cellStyle name="% 2 16" xfId="338"/>
    <cellStyle name="% 2 17" xfId="339"/>
    <cellStyle name="% 2 18" xfId="340"/>
    <cellStyle name="% 2 19" xfId="341"/>
    <cellStyle name="% 2 2" xfId="342"/>
    <cellStyle name="% 2 2 2" xfId="343"/>
    <cellStyle name="% 2 2 2 2" xfId="344"/>
    <cellStyle name="% 2 2 2 3" xfId="345"/>
    <cellStyle name="% 2 2 2 4" xfId="346"/>
    <cellStyle name="% 2 2 2 5" xfId="347"/>
    <cellStyle name="% 2 2 2 6" xfId="348"/>
    <cellStyle name="% 2 2 2 7" xfId="349"/>
    <cellStyle name="% 2 2 2 8" xfId="350"/>
    <cellStyle name="% 2 2 3" xfId="351"/>
    <cellStyle name="% 2 2 3 2" xfId="352"/>
    <cellStyle name="% 2 2 3 3" xfId="353"/>
    <cellStyle name="% 2 2 4" xfId="354"/>
    <cellStyle name="% 2 2 4 2" xfId="355"/>
    <cellStyle name="% 2 2 4 3" xfId="356"/>
    <cellStyle name="% 2 2 4 4" xfId="357"/>
    <cellStyle name="% 2 2_3.1.2 DB Pension Detail" xfId="358"/>
    <cellStyle name="% 2 20" xfId="359"/>
    <cellStyle name="% 2 21" xfId="360"/>
    <cellStyle name="% 2 22" xfId="361"/>
    <cellStyle name="% 2 23" xfId="362"/>
    <cellStyle name="% 2 24" xfId="363"/>
    <cellStyle name="% 2 25" xfId="364"/>
    <cellStyle name="% 2 26" xfId="365"/>
    <cellStyle name="% 2 27" xfId="366"/>
    <cellStyle name="% 2 28" xfId="367"/>
    <cellStyle name="% 2 29" xfId="368"/>
    <cellStyle name="% 2 3" xfId="369"/>
    <cellStyle name="% 2 30" xfId="370"/>
    <cellStyle name="% 2 31" xfId="371"/>
    <cellStyle name="% 2 32" xfId="372"/>
    <cellStyle name="% 2 33" xfId="373"/>
    <cellStyle name="% 2 34" xfId="374"/>
    <cellStyle name="% 2 35" xfId="375"/>
    <cellStyle name="% 2 36" xfId="376"/>
    <cellStyle name="% 2 37" xfId="377"/>
    <cellStyle name="% 2 38" xfId="378"/>
    <cellStyle name="% 2 39" xfId="379"/>
    <cellStyle name="% 2 4" xfId="380"/>
    <cellStyle name="% 2 40" xfId="381"/>
    <cellStyle name="% 2 41" xfId="382"/>
    <cellStyle name="% 2 42" xfId="383"/>
    <cellStyle name="% 2 43" xfId="384"/>
    <cellStyle name="% 2 44" xfId="385"/>
    <cellStyle name="% 2 45" xfId="386"/>
    <cellStyle name="% 2 46" xfId="387"/>
    <cellStyle name="% 2 47" xfId="388"/>
    <cellStyle name="% 2 5" xfId="389"/>
    <cellStyle name="% 2 6" xfId="390"/>
    <cellStyle name="% 2 7" xfId="391"/>
    <cellStyle name="% 2 8" xfId="392"/>
    <cellStyle name="% 2 9" xfId="393"/>
    <cellStyle name="% 2_1.3s Accounting C Costs Scots" xfId="394"/>
    <cellStyle name="% 20" xfId="395"/>
    <cellStyle name="% 21" xfId="396"/>
    <cellStyle name="% 22" xfId="397"/>
    <cellStyle name="% 23" xfId="398"/>
    <cellStyle name="% 24" xfId="399"/>
    <cellStyle name="% 25" xfId="400"/>
    <cellStyle name="% 26" xfId="401"/>
    <cellStyle name="% 27" xfId="402"/>
    <cellStyle name="% 28" xfId="403"/>
    <cellStyle name="% 29" xfId="404"/>
    <cellStyle name="% 3" xfId="405"/>
    <cellStyle name="% 3 10" xfId="406"/>
    <cellStyle name="% 3 11" xfId="407"/>
    <cellStyle name="% 3 12" xfId="408"/>
    <cellStyle name="% 3 13" xfId="409"/>
    <cellStyle name="% 3 14" xfId="410"/>
    <cellStyle name="% 3 15" xfId="411"/>
    <cellStyle name="% 3 16" xfId="412"/>
    <cellStyle name="% 3 17" xfId="413"/>
    <cellStyle name="% 3 18" xfId="414"/>
    <cellStyle name="% 3 19" xfId="415"/>
    <cellStyle name="% 3 2" xfId="416"/>
    <cellStyle name="% 3 2 10" xfId="417"/>
    <cellStyle name="% 3 2 11" xfId="418"/>
    <cellStyle name="% 3 2 12" xfId="419"/>
    <cellStyle name="% 3 2 13" xfId="420"/>
    <cellStyle name="% 3 2 14" xfId="421"/>
    <cellStyle name="% 3 2 15" xfId="422"/>
    <cellStyle name="% 3 2 16" xfId="423"/>
    <cellStyle name="% 3 2 17" xfId="424"/>
    <cellStyle name="% 3 2 18" xfId="425"/>
    <cellStyle name="% 3 2 19" xfId="426"/>
    <cellStyle name="% 3 2 2" xfId="427"/>
    <cellStyle name="% 3 2 2 10" xfId="428"/>
    <cellStyle name="% 3 2 2 11" xfId="429"/>
    <cellStyle name="% 3 2 2 12" xfId="430"/>
    <cellStyle name="% 3 2 2 13" xfId="431"/>
    <cellStyle name="% 3 2 2 14" xfId="432"/>
    <cellStyle name="% 3 2 2 15" xfId="433"/>
    <cellStyle name="% 3 2 2 16" xfId="434"/>
    <cellStyle name="% 3 2 2 17" xfId="435"/>
    <cellStyle name="% 3 2 2 2" xfId="436"/>
    <cellStyle name="% 3 2 2 3" xfId="437"/>
    <cellStyle name="% 3 2 2 4" xfId="438"/>
    <cellStyle name="% 3 2 2 5" xfId="439"/>
    <cellStyle name="% 3 2 2 6" xfId="440"/>
    <cellStyle name="% 3 2 2 7" xfId="441"/>
    <cellStyle name="% 3 2 2 8" xfId="442"/>
    <cellStyle name="% 3 2 2 9" xfId="443"/>
    <cellStyle name="% 3 2 20" xfId="444"/>
    <cellStyle name="% 3 2 21" xfId="445"/>
    <cellStyle name="% 3 2 22" xfId="446"/>
    <cellStyle name="% 3 2 23" xfId="447"/>
    <cellStyle name="% 3 2 24" xfId="448"/>
    <cellStyle name="% 3 2 25" xfId="449"/>
    <cellStyle name="% 3 2 26" xfId="450"/>
    <cellStyle name="% 3 2 27" xfId="451"/>
    <cellStyle name="% 3 2 28" xfId="452"/>
    <cellStyle name="% 3 2 29" xfId="453"/>
    <cellStyle name="% 3 2 3" xfId="454"/>
    <cellStyle name="% 3 2 30" xfId="455"/>
    <cellStyle name="% 3 2 31" xfId="456"/>
    <cellStyle name="% 3 2 32" xfId="457"/>
    <cellStyle name="% 3 2 33" xfId="458"/>
    <cellStyle name="% 3 2 34" xfId="459"/>
    <cellStyle name="% 3 2 35" xfId="460"/>
    <cellStyle name="% 3 2 36" xfId="461"/>
    <cellStyle name="% 3 2 37" xfId="462"/>
    <cellStyle name="% 3 2 38" xfId="463"/>
    <cellStyle name="% 3 2 39" xfId="464"/>
    <cellStyle name="% 3 2 4" xfId="465"/>
    <cellStyle name="% 3 2 40" xfId="466"/>
    <cellStyle name="% 3 2 41" xfId="467"/>
    <cellStyle name="% 3 2 42" xfId="468"/>
    <cellStyle name="% 3 2 43" xfId="469"/>
    <cellStyle name="% 3 2 44" xfId="470"/>
    <cellStyle name="% 3 2 45" xfId="471"/>
    <cellStyle name="% 3 2 46" xfId="472"/>
    <cellStyle name="% 3 2 47" xfId="473"/>
    <cellStyle name="% 3 2 48" xfId="474"/>
    <cellStyle name="% 3 2 49" xfId="475"/>
    <cellStyle name="% 3 2 5" xfId="476"/>
    <cellStyle name="% 3 2 50" xfId="477"/>
    <cellStyle name="% 3 2 51" xfId="478"/>
    <cellStyle name="% 3 2 52" xfId="479"/>
    <cellStyle name="% 3 2 53" xfId="480"/>
    <cellStyle name="% 3 2 54" xfId="481"/>
    <cellStyle name="% 3 2 55" xfId="482"/>
    <cellStyle name="% 3 2 56" xfId="483"/>
    <cellStyle name="% 3 2 57" xfId="484"/>
    <cellStyle name="% 3 2 58" xfId="485"/>
    <cellStyle name="% 3 2 59" xfId="486"/>
    <cellStyle name="% 3 2 6" xfId="487"/>
    <cellStyle name="% 3 2 60" xfId="488"/>
    <cellStyle name="% 3 2 61" xfId="489"/>
    <cellStyle name="% 3 2 62" xfId="490"/>
    <cellStyle name="% 3 2 63" xfId="491"/>
    <cellStyle name="% 3 2 64" xfId="492"/>
    <cellStyle name="% 3 2 65" xfId="493"/>
    <cellStyle name="% 3 2 66" xfId="494"/>
    <cellStyle name="% 3 2 67" xfId="495"/>
    <cellStyle name="% 3 2 68" xfId="496"/>
    <cellStyle name="% 3 2 69" xfId="497"/>
    <cellStyle name="% 3 2 7" xfId="498"/>
    <cellStyle name="% 3 2 70" xfId="499"/>
    <cellStyle name="% 3 2 71" xfId="500"/>
    <cellStyle name="% 3 2 72" xfId="501"/>
    <cellStyle name="% 3 2 73" xfId="502"/>
    <cellStyle name="% 3 2 74" xfId="503"/>
    <cellStyle name="% 3 2 75" xfId="504"/>
    <cellStyle name="% 3 2 76" xfId="505"/>
    <cellStyle name="% 3 2 77" xfId="506"/>
    <cellStyle name="% 3 2 78" xfId="507"/>
    <cellStyle name="% 3 2 8" xfId="508"/>
    <cellStyle name="% 3 2 9" xfId="509"/>
    <cellStyle name="% 3 20" xfId="510"/>
    <cellStyle name="% 3 21" xfId="511"/>
    <cellStyle name="% 3 22" xfId="512"/>
    <cellStyle name="% 3 23" xfId="513"/>
    <cellStyle name="% 3 24" xfId="514"/>
    <cellStyle name="% 3 25" xfId="515"/>
    <cellStyle name="% 3 26" xfId="516"/>
    <cellStyle name="% 3 27" xfId="517"/>
    <cellStyle name="% 3 28" xfId="518"/>
    <cellStyle name="% 3 29" xfId="519"/>
    <cellStyle name="% 3 3" xfId="520"/>
    <cellStyle name="% 3 3 10" xfId="521"/>
    <cellStyle name="% 3 3 11" xfId="522"/>
    <cellStyle name="% 3 3 12" xfId="523"/>
    <cellStyle name="% 3 3 13" xfId="524"/>
    <cellStyle name="% 3 3 14" xfId="525"/>
    <cellStyle name="% 3 3 15" xfId="526"/>
    <cellStyle name="% 3 3 16" xfId="527"/>
    <cellStyle name="% 3 3 17" xfId="528"/>
    <cellStyle name="% 3 3 2" xfId="529"/>
    <cellStyle name="% 3 3 3" xfId="530"/>
    <cellStyle name="% 3 3 4" xfId="531"/>
    <cellStyle name="% 3 3 5" xfId="532"/>
    <cellStyle name="% 3 3 6" xfId="533"/>
    <cellStyle name="% 3 3 7" xfId="534"/>
    <cellStyle name="% 3 3 8" xfId="535"/>
    <cellStyle name="% 3 3 9" xfId="536"/>
    <cellStyle name="% 3 30" xfId="537"/>
    <cellStyle name="% 3 31" xfId="538"/>
    <cellStyle name="% 3 32" xfId="539"/>
    <cellStyle name="% 3 33" xfId="540"/>
    <cellStyle name="% 3 34" xfId="541"/>
    <cellStyle name="% 3 35" xfId="542"/>
    <cellStyle name="% 3 36" xfId="543"/>
    <cellStyle name="% 3 37" xfId="544"/>
    <cellStyle name="% 3 38" xfId="545"/>
    <cellStyle name="% 3 39" xfId="546"/>
    <cellStyle name="% 3 4" xfId="547"/>
    <cellStyle name="% 3 4 10" xfId="548"/>
    <cellStyle name="% 3 4 11" xfId="549"/>
    <cellStyle name="% 3 4 12" xfId="550"/>
    <cellStyle name="% 3 4 13" xfId="551"/>
    <cellStyle name="% 3 4 14" xfId="552"/>
    <cellStyle name="% 3 4 15" xfId="553"/>
    <cellStyle name="% 3 4 16" xfId="554"/>
    <cellStyle name="% 3 4 17" xfId="555"/>
    <cellStyle name="% 3 4 2" xfId="556"/>
    <cellStyle name="% 3 4 3" xfId="557"/>
    <cellStyle name="% 3 4 4" xfId="558"/>
    <cellStyle name="% 3 4 5" xfId="559"/>
    <cellStyle name="% 3 4 6" xfId="560"/>
    <cellStyle name="% 3 4 7" xfId="561"/>
    <cellStyle name="% 3 4 8" xfId="562"/>
    <cellStyle name="% 3 4 9" xfId="563"/>
    <cellStyle name="% 3 40" xfId="564"/>
    <cellStyle name="% 3 41" xfId="565"/>
    <cellStyle name="% 3 42" xfId="566"/>
    <cellStyle name="% 3 43" xfId="567"/>
    <cellStyle name="% 3 44" xfId="568"/>
    <cellStyle name="% 3 45" xfId="569"/>
    <cellStyle name="% 3 46" xfId="570"/>
    <cellStyle name="% 3 47" xfId="571"/>
    <cellStyle name="% 3 48" xfId="572"/>
    <cellStyle name="% 3 49" xfId="573"/>
    <cellStyle name="% 3 5" xfId="574"/>
    <cellStyle name="% 3 50" xfId="575"/>
    <cellStyle name="% 3 51" xfId="576"/>
    <cellStyle name="% 3 52" xfId="577"/>
    <cellStyle name="% 3 53" xfId="578"/>
    <cellStyle name="% 3 54" xfId="579"/>
    <cellStyle name="% 3 55" xfId="580"/>
    <cellStyle name="% 3 56" xfId="581"/>
    <cellStyle name="% 3 57" xfId="582"/>
    <cellStyle name="% 3 58" xfId="583"/>
    <cellStyle name="% 3 59" xfId="584"/>
    <cellStyle name="% 3 6" xfId="585"/>
    <cellStyle name="% 3 60" xfId="586"/>
    <cellStyle name="% 3 61" xfId="587"/>
    <cellStyle name="% 3 62" xfId="588"/>
    <cellStyle name="% 3 63" xfId="589"/>
    <cellStyle name="% 3 64" xfId="590"/>
    <cellStyle name="% 3 65" xfId="591"/>
    <cellStyle name="% 3 66" xfId="592"/>
    <cellStyle name="% 3 67" xfId="593"/>
    <cellStyle name="% 3 68" xfId="594"/>
    <cellStyle name="% 3 69" xfId="595"/>
    <cellStyle name="% 3 7" xfId="596"/>
    <cellStyle name="% 3 70" xfId="597"/>
    <cellStyle name="% 3 71" xfId="598"/>
    <cellStyle name="% 3 72" xfId="599"/>
    <cellStyle name="% 3 73" xfId="600"/>
    <cellStyle name="% 3 74" xfId="601"/>
    <cellStyle name="% 3 75" xfId="602"/>
    <cellStyle name="% 3 76" xfId="603"/>
    <cellStyle name="% 3 77" xfId="604"/>
    <cellStyle name="% 3 78" xfId="605"/>
    <cellStyle name="% 3 8" xfId="606"/>
    <cellStyle name="% 3 9" xfId="607"/>
    <cellStyle name="% 30" xfId="608"/>
    <cellStyle name="% 31" xfId="609"/>
    <cellStyle name="% 32" xfId="610"/>
    <cellStyle name="% 33" xfId="611"/>
    <cellStyle name="% 34" xfId="612"/>
    <cellStyle name="% 35" xfId="613"/>
    <cellStyle name="% 36" xfId="614"/>
    <cellStyle name="% 37" xfId="615"/>
    <cellStyle name="% 38" xfId="616"/>
    <cellStyle name="% 39" xfId="617"/>
    <cellStyle name="% 4" xfId="618"/>
    <cellStyle name="% 4 2" xfId="619"/>
    <cellStyle name="% 4 3" xfId="620"/>
    <cellStyle name="% 4 4" xfId="621"/>
    <cellStyle name="% 4 5" xfId="622"/>
    <cellStyle name="% 4 6" xfId="623"/>
    <cellStyle name="% 4 7" xfId="624"/>
    <cellStyle name="% 4 8" xfId="625"/>
    <cellStyle name="% 40" xfId="626"/>
    <cellStyle name="% 41" xfId="627"/>
    <cellStyle name="% 42" xfId="628"/>
    <cellStyle name="% 43" xfId="629"/>
    <cellStyle name="% 44" xfId="630"/>
    <cellStyle name="% 45" xfId="631"/>
    <cellStyle name="% 46" xfId="632"/>
    <cellStyle name="% 47" xfId="633"/>
    <cellStyle name="% 48" xfId="634"/>
    <cellStyle name="% 49" xfId="635"/>
    <cellStyle name="% 5" xfId="636"/>
    <cellStyle name="% 50" xfId="637"/>
    <cellStyle name="% 51" xfId="638"/>
    <cellStyle name="% 52" xfId="639"/>
    <cellStyle name="% 53" xfId="640"/>
    <cellStyle name="% 54" xfId="641"/>
    <cellStyle name="% 55" xfId="642"/>
    <cellStyle name="% 56" xfId="643"/>
    <cellStyle name="% 57" xfId="644"/>
    <cellStyle name="% 58" xfId="645"/>
    <cellStyle name="% 59" xfId="646"/>
    <cellStyle name="% 6" xfId="647"/>
    <cellStyle name="% 60" xfId="648"/>
    <cellStyle name="% 61" xfId="649"/>
    <cellStyle name="% 62" xfId="650"/>
    <cellStyle name="% 63" xfId="651"/>
    <cellStyle name="% 64" xfId="652"/>
    <cellStyle name="% 65" xfId="653"/>
    <cellStyle name="% 66" xfId="654"/>
    <cellStyle name="% 67" xfId="655"/>
    <cellStyle name="% 68" xfId="656"/>
    <cellStyle name="% 69" xfId="657"/>
    <cellStyle name="% 7" xfId="658"/>
    <cellStyle name="% 70" xfId="659"/>
    <cellStyle name="% 71" xfId="660"/>
    <cellStyle name="% 72" xfId="661"/>
    <cellStyle name="% 73" xfId="662"/>
    <cellStyle name="% 74" xfId="663"/>
    <cellStyle name="% 75" xfId="664"/>
    <cellStyle name="% 76" xfId="665"/>
    <cellStyle name="% 77" xfId="666"/>
    <cellStyle name="% 78" xfId="667"/>
    <cellStyle name="% 79" xfId="668"/>
    <cellStyle name="% 8" xfId="669"/>
    <cellStyle name="% 80" xfId="670"/>
    <cellStyle name="% 81" xfId="671"/>
    <cellStyle name="% 82" xfId="672"/>
    <cellStyle name="% 83" xfId="673"/>
    <cellStyle name="% 84" xfId="674"/>
    <cellStyle name="% 85" xfId="675"/>
    <cellStyle name="% 86" xfId="676"/>
    <cellStyle name="% 87" xfId="677"/>
    <cellStyle name="% 88" xfId="678"/>
    <cellStyle name="% 89" xfId="679"/>
    <cellStyle name="% 9" xfId="680"/>
    <cellStyle name="% 90" xfId="681"/>
    <cellStyle name="% 91" xfId="682"/>
    <cellStyle name="% 92" xfId="683"/>
    <cellStyle name="% 93" xfId="684"/>
    <cellStyle name="% 94" xfId="685"/>
    <cellStyle name="% 95" xfId="686"/>
    <cellStyle name="% 96" xfId="687"/>
    <cellStyle name="% 97" xfId="688"/>
    <cellStyle name="% 98" xfId="689"/>
    <cellStyle name="% 99" xfId="690"/>
    <cellStyle name="%_1. +-Changes from RIIO vD4 to vD5" xfId="691"/>
    <cellStyle name="%_1.3 Acc Costs NG (2011)" xfId="692"/>
    <cellStyle name="%_1.3 Acc Costs NG (2011) 2" xfId="693"/>
    <cellStyle name="%_1.3 Acc Costs NG (2011) 3" xfId="694"/>
    <cellStyle name="%_1.3 Acc Costs NG (2011) 4" xfId="695"/>
    <cellStyle name="%_1.3 Acc Costs NG (2011) 5" xfId="696"/>
    <cellStyle name="%_1.3 Acc Costs NG (2011) 6" xfId="697"/>
    <cellStyle name="%_1.3 Acc Costs NG (2011) 7" xfId="698"/>
    <cellStyle name="%_1.3 Acc Costs NG (2011) 8" xfId="699"/>
    <cellStyle name="%_1.3 Rec to old modelling" xfId="700"/>
    <cellStyle name="%_1.3s Accounting C Costs Scots" xfId="701"/>
    <cellStyle name="%_1.5 Opex Reconciliation NG" xfId="702"/>
    <cellStyle name="%_1.8 Irregular Items" xfId="703"/>
    <cellStyle name="%_1.8 Irregular Items 2" xfId="704"/>
    <cellStyle name="%_1.8 Irregular Items 3" xfId="705"/>
    <cellStyle name="%_1.8 Irregular Items 4" xfId="706"/>
    <cellStyle name="%_1.8 Irregular Items 5" xfId="707"/>
    <cellStyle name="%_1.8 Irregular Items 6" xfId="708"/>
    <cellStyle name="%_1.8 Irregular Items 7" xfId="709"/>
    <cellStyle name="%_1.8 Irregular Items 8" xfId="710"/>
    <cellStyle name="%_2.14 Year on Year Movt" xfId="711"/>
    <cellStyle name="%_2.14 Year on Year Movt ( (2013)" xfId="712"/>
    <cellStyle name="%_2.14 Year on Year Movt ( (2013) 2" xfId="713"/>
    <cellStyle name="%_2.14 Year on Year Movt ( (2013) 3" xfId="714"/>
    <cellStyle name="%_2.14 Year on Year Movt ( (2013) 4" xfId="715"/>
    <cellStyle name="%_2.14 Year on Year Movt ( (2013) 5" xfId="716"/>
    <cellStyle name="%_2.14 Year on Year Movt ( (2013) 6" xfId="717"/>
    <cellStyle name="%_2.14 Year on Year Movt ( (2013) 7" xfId="718"/>
    <cellStyle name="%_2.14 Year on Year Movt ( (2013) 8" xfId="719"/>
    <cellStyle name="%_2.14 Year on Year Movt (2011)" xfId="720"/>
    <cellStyle name="%_2.14 Year on Year Movt (2011) 2" xfId="721"/>
    <cellStyle name="%_2.14 Year on Year Movt (2011) 3" xfId="722"/>
    <cellStyle name="%_2.14 Year on Year Movt (2011) 4" xfId="723"/>
    <cellStyle name="%_2.14 Year on Year Movt (2011) 5" xfId="724"/>
    <cellStyle name="%_2.14 Year on Year Movt (2011) 6" xfId="725"/>
    <cellStyle name="%_2.14 Year on Year Movt (2011) 7" xfId="726"/>
    <cellStyle name="%_2.14 Year on Year Movt (2011) 8" xfId="727"/>
    <cellStyle name="%_2.14 Year on Year Movt (2012)" xfId="728"/>
    <cellStyle name="%_2.14 Year on Year Movt (2012) 2" xfId="729"/>
    <cellStyle name="%_2.14 Year on Year Movt (2012) 3" xfId="730"/>
    <cellStyle name="%_2.14 Year on Year Movt (2012) 4" xfId="731"/>
    <cellStyle name="%_2.14 Year on Year Movt (2012) 5" xfId="732"/>
    <cellStyle name="%_2.14 Year on Year Movt (2012) 6" xfId="733"/>
    <cellStyle name="%_2.14 Year on Year Movt (2012) 7" xfId="734"/>
    <cellStyle name="%_2.14 Year on Year Movt (2012) 8" xfId="735"/>
    <cellStyle name="%_2.4 Exc &amp; Demin " xfId="736"/>
    <cellStyle name="%_2.7s Insurance" xfId="737"/>
    <cellStyle name="%_2010_NGET_TPCR4_RO_FBPQ(Opex) trace only FINAL(DPP)" xfId="738"/>
    <cellStyle name="%_2010_NGET_TPCR4_RO_FBPQ(Opex) trace only FINAL(DPP) 2" xfId="739"/>
    <cellStyle name="%_2010_NGET_TPCR4_RO_FBPQ(Opex) trace only FINAL(DPP) 3" xfId="740"/>
    <cellStyle name="%_2010_NGET_TPCR4_RO_FBPQ(Opex) trace only FINAL(DPP) 4" xfId="741"/>
    <cellStyle name="%_2010_NGET_TPCR4_RO_FBPQ(Opex) trace only FINAL(DPP) 5" xfId="742"/>
    <cellStyle name="%_2010_NGET_TPCR4_RO_FBPQ(Opex) trace only FINAL(DPP) 6" xfId="743"/>
    <cellStyle name="%_2010_NGET_TPCR4_RO_FBPQ(Opex) trace only FINAL(DPP) 7" xfId="744"/>
    <cellStyle name="%_2010_NGET_TPCR4_RO_FBPQ(Opex) trace only FINAL(DPP) 8" xfId="745"/>
    <cellStyle name="%_3.1.2 DB Pension Detail" xfId="746"/>
    <cellStyle name="%_3.3 Tax" xfId="747"/>
    <cellStyle name="%_3.3 Tax 2" xfId="748"/>
    <cellStyle name="%_3.3 Tax 2 2" xfId="749"/>
    <cellStyle name="%_3.3 Tax 3" xfId="750"/>
    <cellStyle name="%_3.3 Tax_2.14 Year on Year Movt" xfId="751"/>
    <cellStyle name="%_3.3 Tax_2.4 Exc &amp; Demin " xfId="752"/>
    <cellStyle name="%_3.3 Tax_2.7s Insurance" xfId="753"/>
    <cellStyle name="%_3.3 Tax_3.1.2 DB Pension Detail" xfId="754"/>
    <cellStyle name="%_3.3 Tax_4.16 Asset lives" xfId="755"/>
    <cellStyle name="%_4.16 Asset lives" xfId="756"/>
    <cellStyle name="%_4.2 Activity Indicators" xfId="757"/>
    <cellStyle name="%_4.2 Activity Indicators 2" xfId="758"/>
    <cellStyle name="%_4.2 Activity Indicators 2 2" xfId="759"/>
    <cellStyle name="%_4.2 Activity Indicators 3" xfId="760"/>
    <cellStyle name="%_4.20 Scheme Listing NLR" xfId="761"/>
    <cellStyle name="%_4.3 Transmission system performance" xfId="762"/>
    <cellStyle name="%_5.15.1 Cond &amp; Risk-Entry Points" xfId="763"/>
    <cellStyle name="%_5.15.2 Cond &amp; Risk-Exit Points" xfId="764"/>
    <cellStyle name="%_5.15.3 Cond &amp; Risk-Comps" xfId="765"/>
    <cellStyle name="%_5.15.4 Cond &amp; Risk-Pipelines" xfId="766"/>
    <cellStyle name="%_5.15.5 Cond &amp; Risk-Multijunctin" xfId="767"/>
    <cellStyle name="%_5.6 Environmental " xfId="768"/>
    <cellStyle name="%_5.9 Asset data " xfId="769"/>
    <cellStyle name="%_Book1" xfId="770"/>
    <cellStyle name="%_BP10+ GTO Capex Split CN" xfId="771"/>
    <cellStyle name="%_Business Plan " xfId="772"/>
    <cellStyle name="%_Copy of Repair Draft RIIO Plan v0.11" xfId="773"/>
    <cellStyle name="%_Customer Operations Business Plan Input Reqs (3)" xfId="774"/>
    <cellStyle name="%_Draft RIIO plan presentation template - Commercial (2)" xfId="775"/>
    <cellStyle name="%_Draft RIIO plan presentation template - Customer Opsx Centre V2 (2)" xfId="776"/>
    <cellStyle name="%_Draft RIIO plan presentation template - Customer Opsx Centre V2 (2) - updated with mapping" xfId="777"/>
    <cellStyle name="%_Draft RIIO plan presentation template - Customer Opsx Centre V7" xfId="778"/>
    <cellStyle name="%_Emergency DRAFT RIIO Plan V0 3 1" xfId="779"/>
    <cellStyle name="%_Emergency DRAFT RIIO Plan V0 9" xfId="780"/>
    <cellStyle name="%_EMS 0.1 Emergency Process" xfId="781"/>
    <cellStyle name="%_EMS 0.1 Emergency Process - Opex plan template" xfId="782"/>
    <cellStyle name="%_EMS 0.2 Emergency Process" xfId="783"/>
    <cellStyle name="%_GTO Non Operational Capex Roll-over submission (FINAL with property)" xfId="784"/>
    <cellStyle name="%_Inputs" xfId="785"/>
    <cellStyle name="%_Maintenance Draft RIIO Plan v0.1" xfId="786"/>
    <cellStyle name="%_Manual Adjustments" xfId="787"/>
    <cellStyle name="%_Network Strategy Business Plan Input Reqs - v10" xfId="788"/>
    <cellStyle name="%_NGET Opex PCRRP Tables 31 Mar 2010 Final" xfId="789"/>
    <cellStyle name="%_NGET Opex PCRRP Tables 31 Mar 2010 Final 2" xfId="790"/>
    <cellStyle name="%_NGG Capex PCRRP Tables 31 Mar 2010 DraftV6 FINAL" xfId="791"/>
    <cellStyle name="%_NGG Opex PCRRP Tables 31 Mar 2009" xfId="792"/>
    <cellStyle name="%_NGG Opex PCRRP Tables 31 Mar 2009 2" xfId="793"/>
    <cellStyle name="%_NGG Opex PCRRP Tables 31 Mar 2010 final" xfId="794"/>
    <cellStyle name="%_NGG TPCR4 MG Workings" xfId="795"/>
    <cellStyle name="%_NGG TPCR4 Rollover FBPQ (Capex)" xfId="796"/>
    <cellStyle name="%_Non formula" xfId="797"/>
    <cellStyle name="%_Opex Consolidation v0.4" xfId="798"/>
    <cellStyle name="%_Opex plan template draft5" xfId="799"/>
    <cellStyle name="%_Opex plan template draft5b" xfId="800"/>
    <cellStyle name="%_Opex plan template draft5b 2" xfId="801"/>
    <cellStyle name="%_Opex plan template draft5b 2 2" xfId="802"/>
    <cellStyle name="%_Opex plan template draft5b 3" xfId="803"/>
    <cellStyle name="%_Opex plan template draft5b 3 2" xfId="804"/>
    <cellStyle name="%_Opex plan template draft6" xfId="805"/>
    <cellStyle name="%_Reactor (No scheme)" xfId="806"/>
    <cellStyle name="%_Reactor (Schemes)" xfId="807"/>
    <cellStyle name="%_Reactor_revisit (No scheme)" xfId="808"/>
    <cellStyle name="%_Reactor_revisit (Schemes)" xfId="809"/>
    <cellStyle name="%_Repair Draft RIIO Plan v0.12" xfId="810"/>
    <cellStyle name="%_Repair Draft RIIO Plan v0.18" xfId="811"/>
    <cellStyle name="%_Repair Draft RIIO Plan v0.19" xfId="812"/>
    <cellStyle name="%_Repair Draft RIIO Plan v0.20" xfId="813"/>
    <cellStyle name="%_Repair Draft RIIO Plan v0.5" xfId="814"/>
    <cellStyle name="%_Repair Draft RIIO Plan v0.6" xfId="815"/>
    <cellStyle name="%_Repair Draft RIIO Plan v0.9" xfId="816"/>
    <cellStyle name="%_RIIO Baseline Plan v3A with Reg Comparison &amp; Graphs" xfId="817"/>
    <cellStyle name="%_RIIO plan template - NS v1" xfId="818"/>
    <cellStyle name="%_RRP table" xfId="819"/>
    <cellStyle name="%_RRP table_1" xfId="820"/>
    <cellStyle name="%_Sch 2.1 Eng schedule 2009-10 Final @ 270710" xfId="821"/>
    <cellStyle name="%_Sch 2.1 Eng schedule 2009-10 Final @ 270710 2" xfId="822"/>
    <cellStyle name="%_Sch 2.1 Eng schedule 2009-10 Final @ 270710 3" xfId="823"/>
    <cellStyle name="%_Sch 2.1 Eng schedule 2009-10 Final @ 270710 4" xfId="824"/>
    <cellStyle name="%_Sch 2.1 Eng schedule 2009-10 Final @ 270710 5" xfId="825"/>
    <cellStyle name="%_Sch 2.1 Eng schedule 2009-10 Final @ 270710 6" xfId="826"/>
    <cellStyle name="%_Sch 2.1 Eng schedule 2009-10 Final @ 270710 7" xfId="827"/>
    <cellStyle name="%_Sch 2.1 Eng schedule 2009-10 Final @ 270710 8" xfId="828"/>
    <cellStyle name="%_Sheet1" xfId="829"/>
    <cellStyle name="%_Stat  Accounts" xfId="830"/>
    <cellStyle name="%_Switchgear (No scheme)" xfId="831"/>
    <cellStyle name="%_Switchgear (Schemes)" xfId="832"/>
    <cellStyle name="%_Switchgear_revisit (No scheme)" xfId="833"/>
    <cellStyle name="%_Switchgear_revisit (Schemes)" xfId="834"/>
    <cellStyle name="%_Table 4 28_Final" xfId="835"/>
    <cellStyle name="%_Table 4-16 - Asset Lives - 2009-10_Final" xfId="836"/>
    <cellStyle name="%_Table 4-16 - Asset Lives - 2009-10_Final (2)" xfId="837"/>
    <cellStyle name="%_Total summary" xfId="838"/>
    <cellStyle name="%_TPCR4 RollOver NGG Draft Table 5.8 v2" xfId="839"/>
    <cellStyle name="%_TPCR4 RollOver NGG Draft Table 5.8 v2 2" xfId="840"/>
    <cellStyle name="%_TPCR4 RollOver NGG Draft Table 5.8 v2 3" xfId="841"/>
    <cellStyle name="%_TPCR4 RollOver NGG Draft Table 5.8 v2 4" xfId="842"/>
    <cellStyle name="%_TPCR4 RollOver NGG Draft Table 5.8 v2 5" xfId="843"/>
    <cellStyle name="%_TPCR4 RollOver NGG Draft Table 5.8 v2 6" xfId="844"/>
    <cellStyle name="%_TPCR4 RollOver NGG Draft Table 5.8 v2 7" xfId="845"/>
    <cellStyle name="%_TPCR4 RollOver NGG Draft Table 5.8 v2 8" xfId="846"/>
    <cellStyle name="%_Transformer data based on November Freeze and RIIObaseline D6 data 10062011" xfId="847"/>
    <cellStyle name="%_Transmission PCRRP tables_SPTL_200809 V1" xfId="848"/>
    <cellStyle name="%_Transmission PCRRP tables_SPTL_200809 V1 2" xfId="849"/>
    <cellStyle name="%_Transmission PCRRP tables_SPTL_200809 V1 3" xfId="850"/>
    <cellStyle name="%_Transmission PCRRP tables_SPTL_200809 V1 4" xfId="851"/>
    <cellStyle name="%_Transmission PCRRP tables_SPTL_200809 V1_3.1.2 DB Pension Detail" xfId="852"/>
    <cellStyle name="%_Transmission PCRRP tables_SPTL_200809 V1_4.20 Scheme Listing NLR" xfId="853"/>
    <cellStyle name="%_Transmission PCRRP tables_SPTL_200809 V1_Table 4 28_Final" xfId="854"/>
    <cellStyle name="%_Transmission PCRRP tables_SPTL_200809 V1_Table 4-16 - Asset Lives - 2009-10_Final" xfId="855"/>
    <cellStyle name="%_Transmission PCRRP tables_SPTL_200809 V1_Table 4-16 - Asset Lives - 2009-10_Final (2)" xfId="856"/>
    <cellStyle name="%_Tx (No scheme)" xfId="857"/>
    <cellStyle name="%_Tx (Schemes)" xfId="858"/>
    <cellStyle name="%_Tx_revisit (No scheme)" xfId="859"/>
    <cellStyle name="%_Tx_revisit (Schemes)" xfId="860"/>
    <cellStyle name="%_VR Asset Man NGET 1.3 1.7 1.8, 2.14 2.15" xfId="861"/>
    <cellStyle name="%_VR NGET Opex tables" xfId="862"/>
    <cellStyle name="%_VR NGET Opex tables_1.5 Opex Reconciliation NG" xfId="863"/>
    <cellStyle name="%_VR Pensions Opex tables" xfId="864"/>
    <cellStyle name="%_VR Pensions Opex tables_2010_NGET_TPCR4_RO_FBPQ(Opex) trace only FINAL(DPP)" xfId="865"/>
    <cellStyle name="%_Winter - Pay deal impacts - Repair" xfId="866"/>
    <cellStyle name="%_WJBP Acc Ctrl v3" xfId="867"/>
    <cellStyle name="%1_Inputs" xfId="868"/>
    <cellStyle name="******************************************" xfId="869"/>
    <cellStyle name=".744" xfId="870"/>
    <cellStyle name="?? [0]_VERA" xfId="871"/>
    <cellStyle name="?????_VERA" xfId="872"/>
    <cellStyle name="??_VERA" xfId="873"/>
    <cellStyle name="_070323 - 5yr opex BPQ (Final)" xfId="874"/>
    <cellStyle name="_070323 - 5yr opex BPQ (Final) 2" xfId="875"/>
    <cellStyle name="_070323 - 5yr opex BPQ (Final) 3" xfId="876"/>
    <cellStyle name="_070323 - 5yr opex BPQ (Final) 4" xfId="877"/>
    <cellStyle name="_070323 - 5yr opex BPQ (Final) 5" xfId="878"/>
    <cellStyle name="_070323 - 5yr opex BPQ (Final) 6" xfId="879"/>
    <cellStyle name="_070323 - 5yr opex BPQ (Final) 7" xfId="880"/>
    <cellStyle name="_070323 - 5yr opex BPQ (Final) 8" xfId="881"/>
    <cellStyle name="_0708 GSO Capex RRP (detail)" xfId="882"/>
    <cellStyle name="_0708 GSO Capex RRP (detail)_RRP table" xfId="883"/>
    <cellStyle name="_0708 TO Non-Op Capex (detail)" xfId="884"/>
    <cellStyle name="_0708 TO Non-Op Capex (detail) 2" xfId="885"/>
    <cellStyle name="_0708 TO Non-Op Capex (detail) 3" xfId="886"/>
    <cellStyle name="_0708 TO Non-Op Capex (detail) 4" xfId="887"/>
    <cellStyle name="_0708 TO Non-Op Capex (detail) 5" xfId="888"/>
    <cellStyle name="_0708 TO Non-Op Capex (detail) 6" xfId="889"/>
    <cellStyle name="_0708 TO Non-Op Capex (detail) 7" xfId="890"/>
    <cellStyle name="_0708 TO Non-Op Capex (detail) 8" xfId="891"/>
    <cellStyle name="_0708 TO Non-Op Capex (detail)_1.3 Rec to old modelling" xfId="892"/>
    <cellStyle name="_0708 TO Non-Op Capex (detail)_1.5 Opex Reconciliation NG" xfId="893"/>
    <cellStyle name="_0708 TO Non-Op Capex (detail)_2010_NGET_TPCR4_RO_FBPQ(Opex) trace only FINAL(DPP)" xfId="894"/>
    <cellStyle name="_0708 TO Non-Op Capex (detail)_2010_NGET_TPCR4_RO_FBPQ(Opex) trace only FINAL(DPP) 2" xfId="895"/>
    <cellStyle name="_0708 TO Non-Op Capex (detail)_2010_NGET_TPCR4_RO_FBPQ(Opex) trace only FINAL(DPP) 3" xfId="896"/>
    <cellStyle name="_0708 TO Non-Op Capex (detail)_2010_NGET_TPCR4_RO_FBPQ(Opex) trace only FINAL(DPP) 4" xfId="897"/>
    <cellStyle name="_0708 TO Non-Op Capex (detail)_2010_NGET_TPCR4_RO_FBPQ(Opex) trace only FINAL(DPP) 5" xfId="898"/>
    <cellStyle name="_0708 TO Non-Op Capex (detail)_2010_NGET_TPCR4_RO_FBPQ(Opex) trace only FINAL(DPP) 6" xfId="899"/>
    <cellStyle name="_0708 TO Non-Op Capex (detail)_2010_NGET_TPCR4_RO_FBPQ(Opex) trace only FINAL(DPP) 7" xfId="900"/>
    <cellStyle name="_0708 TO Non-Op Capex (detail)_2010_NGET_TPCR4_RO_FBPQ(Opex) trace only FINAL(DPP) 8" xfId="901"/>
    <cellStyle name="_0708 TO Non-Op Capex (detail)_Manual Adjustments" xfId="902"/>
    <cellStyle name="_0708 TO Non-Op Capex (detail)_NGET Opex PCRRP Tables 31 Mar 2010 Final" xfId="903"/>
    <cellStyle name="_0708 TO Non-Op Capex (detail)_RRP table" xfId="904"/>
    <cellStyle name="_0708 TO Non-Op Capex (detail)_Sheet1" xfId="905"/>
    <cellStyle name="_070822 Mains and services workload phasing (2)" xfId="906"/>
    <cellStyle name="_070822 Repex - submission vp (2)" xfId="907"/>
    <cellStyle name="_0decimals" xfId="908"/>
    <cellStyle name="_1.3 Acc Costs NG (2011)" xfId="909"/>
    <cellStyle name="_1.8 Irregular Items" xfId="910"/>
    <cellStyle name="_2.14 Year on Year Movt ( (2013)" xfId="911"/>
    <cellStyle name="_2.14 Year on Year Movt (2011)" xfId="912"/>
    <cellStyle name="_2.14 Year on Year Movt (2012)" xfId="913"/>
    <cellStyle name="_2.9 UK BS Reconciliation" xfId="914"/>
    <cellStyle name="_2.9 UK BS Reconciliation_RRP table" xfId="915"/>
    <cellStyle name="_2010 Budget workings (Draft 5)" xfId="916"/>
    <cellStyle name="_2010 Draft Budgeted Summary 150709 (2)" xfId="917"/>
    <cellStyle name="_Accounting entries Feb 09" xfId="918"/>
    <cellStyle name="_Actuals" xfId="919"/>
    <cellStyle name="_Actuals 2" xfId="920"/>
    <cellStyle name="_Admin 01e" xfId="921"/>
    <cellStyle name="_Admin 01e 2" xfId="922"/>
    <cellStyle name="_Admin 01e 2 2" xfId="923"/>
    <cellStyle name="_Admin 01e 3" xfId="924"/>
    <cellStyle name="_Admin 01e_SGN_14m" xfId="925"/>
    <cellStyle name="_Admin 01e_strategic model 05j (INDEXATION)" xfId="926"/>
    <cellStyle name="_Admin 01o" xfId="927"/>
    <cellStyle name="_Admin 01o 2" xfId="928"/>
    <cellStyle name="_Admin 01o 2 2" xfId="929"/>
    <cellStyle name="_Admin 01o 3" xfId="930"/>
    <cellStyle name="_Admin 01o_SGN_14m" xfId="931"/>
    <cellStyle name="_Admin 01o_strategic model 05j (INDEXATION)" xfId="932"/>
    <cellStyle name="_Admin 02b" xfId="933"/>
    <cellStyle name="_Admin 02b 2" xfId="934"/>
    <cellStyle name="_Admin 02b 2 2" xfId="935"/>
    <cellStyle name="_Admin 02b 3" xfId="936"/>
    <cellStyle name="_Admin 02b_SGN_14m" xfId="937"/>
    <cellStyle name="_Admin 02b_strategic model 05j (INDEXATION)" xfId="938"/>
    <cellStyle name="_Amended Capex position 2011-12" xfId="939"/>
    <cellStyle name="_Balance Sheet Rec" xfId="940"/>
    <cellStyle name="_Balance Sheet Rec 2" xfId="941"/>
    <cellStyle name="_Berr Strading Analysis v 04 (2012 to 2020) v0 8 (no capex from 2012)" xfId="942"/>
    <cellStyle name="_Book1 (2)" xfId="943"/>
    <cellStyle name="_Book2" xfId="944"/>
    <cellStyle name="_Book3" xfId="945"/>
    <cellStyle name="_Book4" xfId="946"/>
    <cellStyle name="_BP10.2 v BP10v6 Reg Tables" xfId="947"/>
    <cellStyle name="_BP10.2 v BP10v6 Reg Tables_Reactor (No scheme)" xfId="948"/>
    <cellStyle name="_BP10.2 v BP10v6 Reg Tables_Reactor (Schemes)" xfId="949"/>
    <cellStyle name="_BP10.2 v BP10v6 Reg Tables_Reactor_revisit (No scheme)" xfId="950"/>
    <cellStyle name="_BP10.2 v BP10v6 Reg Tables_Reactor_revisit (Schemes)" xfId="951"/>
    <cellStyle name="_BP10.2 v BP10v6 Reg Tables_Tx (No scheme)" xfId="952"/>
    <cellStyle name="_BP10.2 v BP10v6 Reg Tables_Tx (Schemes)" xfId="953"/>
    <cellStyle name="_BP10.2 v BP10v6 Reg Tables_Tx_revisit (No scheme)" xfId="954"/>
    <cellStyle name="_BP10.2 v BP10v6 Reg Tables_Tx_revisit (Schemes)" xfId="955"/>
    <cellStyle name="_BP10+ GTO Capex Split CN" xfId="956"/>
    <cellStyle name="_BP10+post TIC 1 Jun" xfId="957"/>
    <cellStyle name="_BP11 GTO Capex Split CN v3 Dec-15 upload" xfId="958"/>
    <cellStyle name="_BSIS-JUN-008 APX" xfId="959"/>
    <cellStyle name="_BSIS-MAY-011 &amp; BSIS-MAY-012R Escrow Ac's" xfId="960"/>
    <cellStyle name="_Business Plan " xfId="961"/>
    <cellStyle name="_capex 1011" xfId="962"/>
    <cellStyle name="_Capex summary" xfId="963"/>
    <cellStyle name="_Capital Plan - IS UK" xfId="964"/>
    <cellStyle name="_Capital Plan - IS UK 2" xfId="965"/>
    <cellStyle name="_Capital Plan - IS UK 3" xfId="966"/>
    <cellStyle name="_Capital Plan - IS UK 4" xfId="967"/>
    <cellStyle name="_Capital Plan - IS UK 5" xfId="968"/>
    <cellStyle name="_Capital Plan - IS UK 6" xfId="969"/>
    <cellStyle name="_Capital Plan - IS UK 7" xfId="970"/>
    <cellStyle name="_Capital Plan - IS UK 8" xfId="971"/>
    <cellStyle name="_Capital Plan - IS UK_0910 GSO Capex RRP - Final (Detail) v2 220710" xfId="972"/>
    <cellStyle name="_Capital Plan - IS UK_1.3 Rec to old modelling" xfId="973"/>
    <cellStyle name="_Capital Plan - IS UK_1.5 Opex Reconciliation NG" xfId="974"/>
    <cellStyle name="_Capital Plan - IS UK_2010_NGET_TPCR4_RO_FBPQ(Opex) trace only FINAL(DPP)" xfId="975"/>
    <cellStyle name="_Capital Plan - IS UK_2010_NGET_TPCR4_RO_FBPQ(Opex) trace only FINAL(DPP) 2" xfId="976"/>
    <cellStyle name="_Capital Plan - IS UK_2010_NGET_TPCR4_RO_FBPQ(Opex) trace only FINAL(DPP) 3" xfId="977"/>
    <cellStyle name="_Capital Plan - IS UK_2010_NGET_TPCR4_RO_FBPQ(Opex) trace only FINAL(DPP) 4" xfId="978"/>
    <cellStyle name="_Capital Plan - IS UK_2010_NGET_TPCR4_RO_FBPQ(Opex) trace only FINAL(DPP) 5" xfId="979"/>
    <cellStyle name="_Capital Plan - IS UK_2010_NGET_TPCR4_RO_FBPQ(Opex) trace only FINAL(DPP) 6" xfId="980"/>
    <cellStyle name="_Capital Plan - IS UK_2010_NGET_TPCR4_RO_FBPQ(Opex) trace only FINAL(DPP) 7" xfId="981"/>
    <cellStyle name="_Capital Plan - IS UK_2010_NGET_TPCR4_RO_FBPQ(Opex) trace only FINAL(DPP) 8" xfId="982"/>
    <cellStyle name="_Capital Plan - IS UK_Manual Adjustments" xfId="983"/>
    <cellStyle name="_Capital Plan - IS UK_NGET Opex PCRRP Tables 31 Mar 2010 Final" xfId="984"/>
    <cellStyle name="_Capital Plan - IS UK_RRP table" xfId="985"/>
    <cellStyle name="_Capital Plan - IS UK_RRP table_1" xfId="986"/>
    <cellStyle name="_Capital Plan - IS UK_Sheet1" xfId="987"/>
    <cellStyle name="_Capital Plan - IS UK_Stat  Accounts" xfId="988"/>
    <cellStyle name="_CFO tables - New style" xfId="989"/>
    <cellStyle name="_Comma" xfId="990"/>
    <cellStyle name="_Comma_CSC" xfId="991"/>
    <cellStyle name="_Comma_merger_plans_modified_9_3_1999" xfId="992"/>
    <cellStyle name="_Commercial Escrow journals" xfId="993"/>
    <cellStyle name="_Commercial RIIO Business Plan V1" xfId="994"/>
    <cellStyle name="_Consolidated Financial Statements (Planet Data Book Format) v9.5" xfId="995"/>
    <cellStyle name="_Consolidated NS Forecast - 2011-12 Jan-11" xfId="996"/>
    <cellStyle name="_Copy of BGE T&amp;D OM v012 (1 Scenario)_TA38 (inputs for DBU Reg Co.5) with checks - finalEP" xfId="997"/>
    <cellStyle name="_Copy of BGE T&amp;D OM v012 (1 Scenario)_TA38 (inputs for DBU Reg Co.5) with checks - finalEP 2" xfId="998"/>
    <cellStyle name="_Copy of SGN 10a Business Plan 2010v1" xfId="999"/>
    <cellStyle name="_Copy of SGN 10a Business Plan 2010v15 updated budget 190310l" xfId="1000"/>
    <cellStyle name="_Copy of SGN 4.19 v3(OTPP) RF4" xfId="1001"/>
    <cellStyle name="_Copy of SGN 4.19 v3(OTPP) RF4 2" xfId="1002"/>
    <cellStyle name="_Cost Book NWR draft ss 090825" xfId="1003"/>
    <cellStyle name="_Cover" xfId="1004"/>
    <cellStyle name="_Currency" xfId="1005"/>
    <cellStyle name="_Currency_CSC" xfId="1006"/>
    <cellStyle name="_Currency_merger_plans_modified_9_3_1999" xfId="1007"/>
    <cellStyle name="_Currency_Model_Sep_2_02" xfId="1008"/>
    <cellStyle name="_Currency_Pipeline Model v1 (09_09_02) v3" xfId="1009"/>
    <cellStyle name="_CurrencySpace" xfId="1010"/>
    <cellStyle name="_CurrencySpace_CSC" xfId="1011"/>
    <cellStyle name="_CurrencySpace_merger_plans_modified_9_3_1999" xfId="1012"/>
    <cellStyle name="_Customer Ops RIIO Business Plan V2" xfId="1013"/>
    <cellStyle name="_Dalmuir 05l" xfId="1014"/>
    <cellStyle name="_dashboard example 01b" xfId="1015"/>
    <cellStyle name="_dashboard example 01b 2" xfId="1016"/>
    <cellStyle name="_Data" xfId="1017"/>
    <cellStyle name="_DFR.24 NBMHT 03g" xfId="1018"/>
    <cellStyle name="_DFR.24 NBMHT 03g 2" xfId="1019"/>
    <cellStyle name="_DFR.24 NBMHT 03g 2 2" xfId="1020"/>
    <cellStyle name="_DFR.24 NBMHT 03g 3" xfId="1021"/>
    <cellStyle name="_DFR.24 NBMHT 03g_SGN_14m" xfId="1022"/>
    <cellStyle name="_DFR.24 NBMHT 03g_strategic model 05j (INDEXATION)" xfId="1023"/>
    <cellStyle name="_Disclaimer" xfId="1024"/>
    <cellStyle name="_DR2 Oracle mapping document" xfId="1025"/>
    <cellStyle name="_Draft RIIO plan presentation template - CSDx Centre" xfId="1026"/>
    <cellStyle name="_Draft RIIO plan presentation template - Customer Opsx Centre V7" xfId="1027"/>
    <cellStyle name="_Electricity North West_v2.28" xfId="1028"/>
    <cellStyle name="_Extraction of Consolidated Financial Statements (Planet Data Book Format)" xfId="1029"/>
    <cellStyle name="_F1F9 ExModel 24b DFR01a" xfId="1030"/>
    <cellStyle name="_Finan - South" xfId="1031"/>
    <cellStyle name="_Finan - South 2" xfId="1032"/>
    <cellStyle name="_Gas TO major Projects Forecast Jun-10" xfId="1033"/>
    <cellStyle name="_Gas TO major Projects Forecast May-10 BP10+ v5" xfId="1034"/>
    <cellStyle name="_GDUK manpower summary (3)" xfId="1035"/>
    <cellStyle name="_GDx 2010_11 Q3 QPR tables - UK v3" xfId="1036"/>
    <cellStyle name="_Genesys 12f" xfId="1037"/>
    <cellStyle name="_Genesys 17e" xfId="1038"/>
    <cellStyle name="_GTO Commodity Pricing Model &amp; Risk Score Model Workings BP11 v2" xfId="1039"/>
    <cellStyle name="_GTO Non Operational Capex Roll-over submission (FINAL with property)" xfId="1040"/>
    <cellStyle name="_HoldCo" xfId="1041"/>
    <cellStyle name="_HoldCo 2" xfId="1042"/>
    <cellStyle name="_HoldCo_Finan - South" xfId="1043"/>
    <cellStyle name="_HoldCo_Inputs" xfId="1044"/>
    <cellStyle name="_HoldCo_RF Rec" xfId="1045"/>
    <cellStyle name="_HoldCo_SCOT FinStat" xfId="1046"/>
    <cellStyle name="_HoldCo_South FinStat" xfId="1047"/>
    <cellStyle name="_Inflation Output" xfId="1048"/>
    <cellStyle name="_Inflation Output 2" xfId="1049"/>
    <cellStyle name="_ING Mthly Accounting Entries Feb 09" xfId="1050"/>
    <cellStyle name="_Inputs" xfId="1051"/>
    <cellStyle name="_Inputs 2" xfId="1052"/>
    <cellStyle name="_Inputs 2008" xfId="1053"/>
    <cellStyle name="_Inputs 2008 2" xfId="1054"/>
    <cellStyle name="_IS" xfId="1055"/>
    <cellStyle name="_key indicators comparison" xfId="1056"/>
    <cellStyle name="_Kilo 31a" xfId="1057"/>
    <cellStyle name="_Lazuli Example Model 24d" xfId="1058"/>
    <cellStyle name="_Liquidity chart_Amended_16Jan09" xfId="1059"/>
    <cellStyle name="_MASTER OPEX COMMERCIAL AS AT 24-02-09" xfId="1060"/>
    <cellStyle name="_MASTER OPEX COMMERCIAL AS AT 24-02-09 2" xfId="1061"/>
    <cellStyle name="_Metering" xfId="1062"/>
    <cellStyle name="_Metering 2" xfId="1063"/>
    <cellStyle name="_Metering 3" xfId="1064"/>
    <cellStyle name="_Metering 4" xfId="1065"/>
    <cellStyle name="_Metering 5" xfId="1066"/>
    <cellStyle name="_Metering 6" xfId="1067"/>
    <cellStyle name="_Metering 7" xfId="1068"/>
    <cellStyle name="_Metering 8" xfId="1069"/>
    <cellStyle name="_Metering_Customer Operations Business Plan Input Reqs (3)" xfId="1070"/>
    <cellStyle name="_Metering_Draft RIIO plan presentation template - Commercial (2)" xfId="1071"/>
    <cellStyle name="_Metering_Draft RIIO plan presentation template - Customer Opsx Centre V2 (2)" xfId="1072"/>
    <cellStyle name="_Metering_Draft RIIO plan presentation template - Customer Opsx Centre V2 (2) - updated with mapping" xfId="1073"/>
    <cellStyle name="_Metering_Network Strategy Business Plan Input Reqs - v10" xfId="1074"/>
    <cellStyle name="_Metering_Non formula" xfId="1075"/>
    <cellStyle name="_Metering_RRP table" xfId="1076"/>
    <cellStyle name="_Monthly Value" xfId="1077"/>
    <cellStyle name="_Multiple" xfId="1078"/>
    <cellStyle name="_Multiple_CSC" xfId="1079"/>
    <cellStyle name="_Multiple_merger_plans_modified_9_3_1999" xfId="1080"/>
    <cellStyle name="_Multiple_Model_Sep_2_02" xfId="1081"/>
    <cellStyle name="_Multiple_Pipeline Model v1 (09_09_02) v3" xfId="1082"/>
    <cellStyle name="_MultipleSpace" xfId="1083"/>
    <cellStyle name="_MultipleSpace_CSC" xfId="1084"/>
    <cellStyle name="_MultipleSpace_merger_plans_modified_9_3_1999" xfId="1085"/>
    <cellStyle name="_MultipleSpace_Model_Sep_2_02" xfId="1086"/>
    <cellStyle name="_MultipleSpace_Pipeline Model v1 (09_09_02) v3" xfId="1087"/>
    <cellStyle name="_New CFO (2)" xfId="1088"/>
    <cellStyle name="_NFOR Budget 201112 control totals" xfId="1089"/>
    <cellStyle name="_NGM  Business Valuation Jan 10 v7 no links(sg)" xfId="1090"/>
    <cellStyle name="_Notes" xfId="1091"/>
    <cellStyle name="_Notes 01t" xfId="1092"/>
    <cellStyle name="_NS RIIO WJ Business Plan v3" xfId="1093"/>
    <cellStyle name="_Old_Op_10.64_01a" xfId="1094"/>
    <cellStyle name="_OM_SI_02_01 - Co 90_141008_Keelderry_v03" xfId="1095"/>
    <cellStyle name="_OM_SI_02_01 - Co 90_141008_Keelderry_v03 2" xfId="1096"/>
    <cellStyle name="_Opex 1011" xfId="1097"/>
    <cellStyle name="_Opex initiatives tracker v1.5 (post 9 aug update )" xfId="1098"/>
    <cellStyle name="_OTPP Review" xfId="1099"/>
    <cellStyle name="_OTPP Review 2" xfId="1100"/>
    <cellStyle name="_Outputs_v6" xfId="1101"/>
    <cellStyle name="_Outputs_v6 2" xfId="1102"/>
    <cellStyle name="_Outputs_v7" xfId="1103"/>
    <cellStyle name="_Outputs_v7 2" xfId="1104"/>
    <cellStyle name="_Percent" xfId="1105"/>
    <cellStyle name="_Percent_CSC" xfId="1106"/>
    <cellStyle name="_Percent_merger_plans_modified_9_3_1999" xfId="1107"/>
    <cellStyle name="_Percent_Model_Sep_2_02" xfId="1108"/>
    <cellStyle name="_Percent_Pipeline Model v1 (09_09_02) v3" xfId="1109"/>
    <cellStyle name="_PercentSpace" xfId="1110"/>
    <cellStyle name="_PercentSpace_CSC" xfId="1111"/>
    <cellStyle name="_PercentSpace_merger_plans_modified_9_3_1999" xfId="1112"/>
    <cellStyle name="_PercentSpace_Model_Sep_2_02" xfId="1113"/>
    <cellStyle name="_PercentSpace_Pipeline Model v1 (09_09_02) v3" xfId="1114"/>
    <cellStyle name="_Plan Challenge 1011" xfId="1115"/>
    <cellStyle name="_Plan Challenge 1011_Baseline - MASTER DATA (ORG) - v5.4 (P&amp;OD) BUSINESS PLAN" xfId="1116"/>
    <cellStyle name="_Plan Challenge 1011_Baseline - MASTER DATA (ORG) - v5.4 (P&amp;OD) BUSINESS PLAN_SS templates" xfId="1117"/>
    <cellStyle name="_Plan October QPR Templates - Shares Services (includes Business Services)" xfId="1118"/>
    <cellStyle name="_Pre Release Checklist 01l" xfId="1119"/>
    <cellStyle name="_Repex Forecast 090717" xfId="1120"/>
    <cellStyle name="_Repex Performance Pack 090720" xfId="1121"/>
    <cellStyle name="_RF Rec" xfId="1122"/>
    <cellStyle name="_RF Rec 2" xfId="1123"/>
    <cellStyle name="_SCOT FinStat" xfId="1124"/>
    <cellStyle name="_SCOT FinStat 2" xfId="1125"/>
    <cellStyle name="_Scotland Capex" xfId="1126"/>
    <cellStyle name="_SGN 10a Copy of Business Plan 2010v14 update 180510" xfId="1127"/>
    <cellStyle name="_SGN 4.18" xfId="1128"/>
    <cellStyle name="_SGN 4.18 2" xfId="1129"/>
    <cellStyle name="_Sheet1" xfId="1130"/>
    <cellStyle name="_Sheet1 2" xfId="1131"/>
    <cellStyle name="_Sheet1_1" xfId="1132"/>
    <cellStyle name="_Sheet1_1 2" xfId="1133"/>
    <cellStyle name="_Sheet1_1_SGN_14m" xfId="1134"/>
    <cellStyle name="_Sheet1_SGN_14m" xfId="1135"/>
    <cellStyle name="_Sheet2" xfId="1136"/>
    <cellStyle name="_Sheet3" xfId="1137"/>
    <cellStyle name="_Sheets to populate 1112 Budget Slides" xfId="1138"/>
    <cellStyle name="_Skel Mod 01l" xfId="1139"/>
    <cellStyle name="_South FinStat" xfId="1140"/>
    <cellStyle name="_South FinStat 2" xfId="1141"/>
    <cellStyle name="_Spreadsheet to populate plan slides 120810" xfId="1142"/>
    <cellStyle name="_Summaries" xfId="1143"/>
    <cellStyle name="_Summary" xfId="1144"/>
    <cellStyle name="_Summary (inc. Contract &amp; Conn.)" xfId="1145"/>
    <cellStyle name="_Sundry" xfId="1146"/>
    <cellStyle name="_TableRowHead" xfId="1147"/>
    <cellStyle name="_TableSuperHead" xfId="1148"/>
    <cellStyle name="_TEMPLATE 01m" xfId="1149"/>
    <cellStyle name="_Test scoring_UKGDx_20070924_Pilot (DV)" xfId="1150"/>
    <cellStyle name="_Test scoring_UKGDx_20070924_Pilot (DV) 2" xfId="1151"/>
    <cellStyle name="_Test scoring_UKGDx_20070924_Pilot (DV) 3" xfId="1152"/>
    <cellStyle name="_Test scoring_UKGDx_20070924_Pilot (DV) 4" xfId="1153"/>
    <cellStyle name="_Test scoring_UKGDx_20070924_Pilot (DV) 5" xfId="1154"/>
    <cellStyle name="_Test scoring_UKGDx_20070924_Pilot (DV) 6" xfId="1155"/>
    <cellStyle name="_Test scoring_UKGDx_20070924_Pilot (DV) 7" xfId="1156"/>
    <cellStyle name="_Test scoring_UKGDx_20070924_Pilot (DV) 8" xfId="1157"/>
    <cellStyle name="_TGK-14" xfId="1158"/>
    <cellStyle name="_TGK-9" xfId="1159"/>
    <cellStyle name="_TGK-9_1" xfId="1160"/>
    <cellStyle name="_Third Party-IT Data Collection Template" xfId="1161"/>
    <cellStyle name="_Total summary" xfId="1162"/>
    <cellStyle name="_Tower Definition (2)" xfId="1163"/>
    <cellStyle name="_Tower Definition (2)_Baseline - MASTER DATA (ORG) - v5.4 (P&amp;OD) BUSINESS PLAN" xfId="1164"/>
    <cellStyle name="_Tower Definition (2)_Baseline - MASTER DATA (ORG) - v5.4 (P&amp;OD) BUSINESS PLAN_SS templates" xfId="1165"/>
    <cellStyle name="_track 01a" xfId="1166"/>
    <cellStyle name="_Transmission agency" xfId="1167"/>
    <cellStyle name="_UKT RAV Summary (Mar-10) v2" xfId="1168"/>
    <cellStyle name="_Vattenfall Euro CY" xfId="1169"/>
    <cellStyle name="_VT FinMod 72d" xfId="1170"/>
    <cellStyle name="_VT FinMod 72d 2" xfId="1171"/>
    <cellStyle name="_VT FinMod 72d 2 2" xfId="1172"/>
    <cellStyle name="_VT FinMod 72d 3" xfId="1173"/>
    <cellStyle name="_VT FinMod 72d Option Effects" xfId="1174"/>
    <cellStyle name="_VT FinMod 72d Option Effects 2" xfId="1175"/>
    <cellStyle name="_VT FinMod 72d Option Effects 2 2" xfId="1176"/>
    <cellStyle name="_VT FinMod 72d Option Effects 3" xfId="1177"/>
    <cellStyle name="_VT FinMod 72d Option Effects_SGN_14m" xfId="1178"/>
    <cellStyle name="_VT FinMod 72d Option Effects_strategic model 05j (INDEXATION)" xfId="1179"/>
    <cellStyle name="_VT FinMod 72d_SGN_14m" xfId="1180"/>
    <cellStyle name="_VT FinMod 72d_strategic model 05j (INDEXATION)" xfId="1181"/>
    <cellStyle name="_VT FinMod 74a - pre D&amp;T deletion" xfId="1182"/>
    <cellStyle name="_VT FinMod 74a - pre D&amp;T deletion 2" xfId="1183"/>
    <cellStyle name="_VT FinMod 74a - pre D&amp;T deletion 2 2" xfId="1184"/>
    <cellStyle name="_VT FinMod 74a - pre D&amp;T deletion 3" xfId="1185"/>
    <cellStyle name="_VT FinMod 74a - pre D&amp;T deletion_SGN_14m" xfId="1186"/>
    <cellStyle name="_VT FinMod 74a - pre D&amp;T deletion_strategic model 05j (INDEXATION)" xfId="1187"/>
    <cellStyle name="_VT FinMod 76p" xfId="1188"/>
    <cellStyle name="_VT FinMod 76p 2" xfId="1189"/>
    <cellStyle name="_VT FinMod 76p 2 2" xfId="1190"/>
    <cellStyle name="_VT FinMod 76p 3" xfId="1191"/>
    <cellStyle name="_VT FinMod 76p_SGN_14m" xfId="1192"/>
    <cellStyle name="_VT FinMod 76p_strategic model 05j (INDEXATION)" xfId="1193"/>
    <cellStyle name="’Ê‰Ý [0.00]_Area" xfId="1194"/>
    <cellStyle name="’Ê‰Ý_Area" xfId="1195"/>
    <cellStyle name="£" xfId="1196"/>
    <cellStyle name="£ BP" xfId="1197"/>
    <cellStyle name="£[2]" xfId="1198"/>
    <cellStyle name="¥ JY" xfId="1199"/>
    <cellStyle name="€" xfId="1200"/>
    <cellStyle name="=C:\WINNT\SYSTEM32\COMMAND.COM" xfId="1201"/>
    <cellStyle name="=C:\WINNT\SYSTEM32\COMMAND.COM 10" xfId="1202"/>
    <cellStyle name="=C:\WINNT\SYSTEM32\COMMAND.COM 11" xfId="1203"/>
    <cellStyle name="=C:\WINNT\SYSTEM32\COMMAND.COM 12" xfId="1204"/>
    <cellStyle name="=C:\WINNT\SYSTEM32\COMMAND.COM 12 2" xfId="1205"/>
    <cellStyle name="=C:\WINNT\SYSTEM32\COMMAND.COM 13" xfId="1206"/>
    <cellStyle name="=C:\WINNT\SYSTEM32\COMMAND.COM 14" xfId="1207"/>
    <cellStyle name="=C:\WINNT\SYSTEM32\COMMAND.COM 15" xfId="1208"/>
    <cellStyle name="=C:\WINNT\SYSTEM32\COMMAND.COM 16" xfId="1209"/>
    <cellStyle name="=C:\WINNT\SYSTEM32\COMMAND.COM 17" xfId="1210"/>
    <cellStyle name="=C:\WINNT\SYSTEM32\COMMAND.COM 18" xfId="1211"/>
    <cellStyle name="=C:\WINNT\SYSTEM32\COMMAND.COM 19" xfId="1212"/>
    <cellStyle name="=C:\WINNT\SYSTEM32\COMMAND.COM 2" xfId="1213"/>
    <cellStyle name="=C:\WINNT\SYSTEM32\COMMAND.COM 2 2" xfId="1214"/>
    <cellStyle name="=C:\WINNT\SYSTEM32\COMMAND.COM 2 2 10" xfId="1215"/>
    <cellStyle name="=C:\WINNT\SYSTEM32\COMMAND.COM 2 2 11" xfId="1216"/>
    <cellStyle name="=C:\WINNT\SYSTEM32\COMMAND.COM 2 2 12" xfId="1217"/>
    <cellStyle name="=C:\WINNT\SYSTEM32\COMMAND.COM 2 2 13" xfId="1218"/>
    <cellStyle name="=C:\WINNT\SYSTEM32\COMMAND.COM 2 2 14" xfId="1219"/>
    <cellStyle name="=C:\WINNT\SYSTEM32\COMMAND.COM 2 2 15" xfId="1220"/>
    <cellStyle name="=C:\WINNT\SYSTEM32\COMMAND.COM 2 2 16" xfId="1221"/>
    <cellStyle name="=C:\WINNT\SYSTEM32\COMMAND.COM 2 2 17" xfId="1222"/>
    <cellStyle name="=C:\WINNT\SYSTEM32\COMMAND.COM 2 2 18" xfId="1223"/>
    <cellStyle name="=C:\WINNT\SYSTEM32\COMMAND.COM 2 2 19" xfId="1224"/>
    <cellStyle name="=C:\WINNT\SYSTEM32\COMMAND.COM 2 2 2" xfId="1225"/>
    <cellStyle name="=C:\WINNT\SYSTEM32\COMMAND.COM 2 2 2 2" xfId="1226"/>
    <cellStyle name="=C:\WINNT\SYSTEM32\COMMAND.COM 2 2 2_NGN_RIIO-GD1_ BPDT (tab 2.0-4.3)" xfId="1227"/>
    <cellStyle name="=C:\WINNT\SYSTEM32\COMMAND.COM 2 2 20" xfId="1228"/>
    <cellStyle name="=C:\WINNT\SYSTEM32\COMMAND.COM 2 2 21" xfId="1229"/>
    <cellStyle name="=C:\WINNT\SYSTEM32\COMMAND.COM 2 2 22" xfId="1230"/>
    <cellStyle name="=C:\WINNT\SYSTEM32\COMMAND.COM 2 2 23" xfId="1231"/>
    <cellStyle name="=C:\WINNT\SYSTEM32\COMMAND.COM 2 2 24" xfId="1232"/>
    <cellStyle name="=C:\WINNT\SYSTEM32\COMMAND.COM 2 2 25" xfId="1233"/>
    <cellStyle name="=C:\WINNT\SYSTEM32\COMMAND.COM 2 2 26" xfId="1234"/>
    <cellStyle name="=C:\WINNT\SYSTEM32\COMMAND.COM 2 2 27" xfId="1235"/>
    <cellStyle name="=C:\WINNT\SYSTEM32\COMMAND.COM 2 2 28" xfId="1236"/>
    <cellStyle name="=C:\WINNT\SYSTEM32\COMMAND.COM 2 2 29" xfId="1237"/>
    <cellStyle name="=C:\WINNT\SYSTEM32\COMMAND.COM 2 2 3" xfId="1238"/>
    <cellStyle name="=C:\WINNT\SYSTEM32\COMMAND.COM 2 2 30" xfId="1239"/>
    <cellStyle name="=C:\WINNT\SYSTEM32\COMMAND.COM 2 2 31" xfId="1240"/>
    <cellStyle name="=C:\WINNT\SYSTEM32\COMMAND.COM 2 2 32" xfId="1241"/>
    <cellStyle name="=C:\WINNT\SYSTEM32\COMMAND.COM 2 2 33" xfId="1242"/>
    <cellStyle name="=C:\WINNT\SYSTEM32\COMMAND.COM 2 2 34" xfId="1243"/>
    <cellStyle name="=C:\WINNT\SYSTEM32\COMMAND.COM 2 2 35" xfId="1244"/>
    <cellStyle name="=C:\WINNT\SYSTEM32\COMMAND.COM 2 2 36" xfId="1245"/>
    <cellStyle name="=C:\WINNT\SYSTEM32\COMMAND.COM 2 2 37" xfId="1246"/>
    <cellStyle name="=C:\WINNT\SYSTEM32\COMMAND.COM 2 2 38" xfId="1247"/>
    <cellStyle name="=C:\WINNT\SYSTEM32\COMMAND.COM 2 2 39" xfId="1248"/>
    <cellStyle name="=C:\WINNT\SYSTEM32\COMMAND.COM 2 2 4" xfId="1249"/>
    <cellStyle name="=C:\WINNT\SYSTEM32\COMMAND.COM 2 2 40" xfId="1250"/>
    <cellStyle name="=C:\WINNT\SYSTEM32\COMMAND.COM 2 2 41" xfId="1251"/>
    <cellStyle name="=C:\WINNT\SYSTEM32\COMMAND.COM 2 2 42" xfId="1252"/>
    <cellStyle name="=C:\WINNT\SYSTEM32\COMMAND.COM 2 2 43" xfId="1253"/>
    <cellStyle name="=C:\WINNT\SYSTEM32\COMMAND.COM 2 2 44" xfId="1254"/>
    <cellStyle name="=C:\WINNT\SYSTEM32\COMMAND.COM 2 2 45" xfId="1255"/>
    <cellStyle name="=C:\WINNT\SYSTEM32\COMMAND.COM 2 2 46" xfId="1256"/>
    <cellStyle name="=C:\WINNT\SYSTEM32\COMMAND.COM 2 2 47" xfId="1257"/>
    <cellStyle name="=C:\WINNT\SYSTEM32\COMMAND.COM 2 2 48" xfId="1258"/>
    <cellStyle name="=C:\WINNT\SYSTEM32\COMMAND.COM 2 2 5" xfId="1259"/>
    <cellStyle name="=C:\WINNT\SYSTEM32\COMMAND.COM 2 2 6" xfId="1260"/>
    <cellStyle name="=C:\WINNT\SYSTEM32\COMMAND.COM 2 2 7" xfId="1261"/>
    <cellStyle name="=C:\WINNT\SYSTEM32\COMMAND.COM 2 2 8" xfId="1262"/>
    <cellStyle name="=C:\WINNT\SYSTEM32\COMMAND.COM 2 2 9" xfId="1263"/>
    <cellStyle name="=C:\WINNT\SYSTEM32\COMMAND.COM 2 2_1.3s Accounting C Costs Scots" xfId="1264"/>
    <cellStyle name="=C:\WINNT\SYSTEM32\COMMAND.COM 2 3" xfId="1265"/>
    <cellStyle name="=C:\WINNT\SYSTEM32\COMMAND.COM 2 4" xfId="1266"/>
    <cellStyle name="=C:\WINNT\SYSTEM32\COMMAND.COM 2 5" xfId="1267"/>
    <cellStyle name="=C:\WINNT\SYSTEM32\COMMAND.COM 2 6" xfId="1268"/>
    <cellStyle name="=C:\WINNT\SYSTEM32\COMMAND.COM 2 7" xfId="1269"/>
    <cellStyle name="=C:\WINNT\SYSTEM32\COMMAND.COM 2 8" xfId="1270"/>
    <cellStyle name="=C:\WINNT\SYSTEM32\COMMAND.COM 2 9" xfId="1271"/>
    <cellStyle name="=C:\WINNT\SYSTEM32\COMMAND.COM 20" xfId="1272"/>
    <cellStyle name="=C:\WINNT\SYSTEM32\COMMAND.COM 21" xfId="1273"/>
    <cellStyle name="=C:\WINNT\SYSTEM32\COMMAND.COM 22" xfId="1274"/>
    <cellStyle name="=C:\WINNT\SYSTEM32\COMMAND.COM 23" xfId="1275"/>
    <cellStyle name="=C:\WINNT\SYSTEM32\COMMAND.COM 24" xfId="1276"/>
    <cellStyle name="=C:\WINNT\SYSTEM32\COMMAND.COM 25" xfId="1277"/>
    <cellStyle name="=C:\WINNT\SYSTEM32\COMMAND.COM 26" xfId="1278"/>
    <cellStyle name="=C:\WINNT\SYSTEM32\COMMAND.COM 27" xfId="1279"/>
    <cellStyle name="=C:\WINNT\SYSTEM32\COMMAND.COM 28" xfId="1280"/>
    <cellStyle name="=C:\WINNT\SYSTEM32\COMMAND.COM 29" xfId="1281"/>
    <cellStyle name="=C:\WINNT\SYSTEM32\COMMAND.COM 3" xfId="1282"/>
    <cellStyle name="=C:\WINNT\SYSTEM32\COMMAND.COM 3 2" xfId="1283"/>
    <cellStyle name="=C:\WINNT\SYSTEM32\COMMAND.COM 3 3" xfId="1284"/>
    <cellStyle name="=C:\WINNT\SYSTEM32\COMMAND.COM 3 4" xfId="1285"/>
    <cellStyle name="=C:\WINNT\SYSTEM32\COMMAND.COM 3 5" xfId="1286"/>
    <cellStyle name="=C:\WINNT\SYSTEM32\COMMAND.COM 3 6" xfId="1287"/>
    <cellStyle name="=C:\WINNT\SYSTEM32\COMMAND.COM 3 7" xfId="1288"/>
    <cellStyle name="=C:\WINNT\SYSTEM32\COMMAND.COM 3 8" xfId="1289"/>
    <cellStyle name="=C:\WINNT\SYSTEM32\COMMAND.COM 30" xfId="1290"/>
    <cellStyle name="=C:\WINNT\SYSTEM32\COMMAND.COM 31" xfId="1291"/>
    <cellStyle name="=C:\WINNT\SYSTEM32\COMMAND.COM 32" xfId="1292"/>
    <cellStyle name="=C:\WINNT\SYSTEM32\COMMAND.COM 33" xfId="1293"/>
    <cellStyle name="=C:\WINNT\SYSTEM32\COMMAND.COM 34" xfId="1294"/>
    <cellStyle name="=C:\WINNT\SYSTEM32\COMMAND.COM 35" xfId="1295"/>
    <cellStyle name="=C:\WINNT\SYSTEM32\COMMAND.COM 36" xfId="1296"/>
    <cellStyle name="=C:\WINNT\SYSTEM32\COMMAND.COM 37" xfId="1297"/>
    <cellStyle name="=C:\WINNT\SYSTEM32\COMMAND.COM 38" xfId="1298"/>
    <cellStyle name="=C:\WINNT\SYSTEM32\COMMAND.COM 39" xfId="1299"/>
    <cellStyle name="=C:\WINNT\SYSTEM32\COMMAND.COM 4" xfId="1300"/>
    <cellStyle name="=C:\WINNT\SYSTEM32\COMMAND.COM 4 10" xfId="1301"/>
    <cellStyle name="=C:\WINNT\SYSTEM32\COMMAND.COM 4 11" xfId="1302"/>
    <cellStyle name="=C:\WINNT\SYSTEM32\COMMAND.COM 4 12" xfId="1303"/>
    <cellStyle name="=C:\WINNT\SYSTEM32\COMMAND.COM 4 13" xfId="1304"/>
    <cellStyle name="=C:\WINNT\SYSTEM32\COMMAND.COM 4 14" xfId="1305"/>
    <cellStyle name="=C:\WINNT\SYSTEM32\COMMAND.COM 4 15" xfId="1306"/>
    <cellStyle name="=C:\WINNT\SYSTEM32\COMMAND.COM 4 16" xfId="1307"/>
    <cellStyle name="=C:\WINNT\SYSTEM32\COMMAND.COM 4 17" xfId="1308"/>
    <cellStyle name="=C:\WINNT\SYSTEM32\COMMAND.COM 4 18" xfId="1309"/>
    <cellStyle name="=C:\WINNT\SYSTEM32\COMMAND.COM 4 19" xfId="1310"/>
    <cellStyle name="=C:\WINNT\SYSTEM32\COMMAND.COM 4 2" xfId="1311"/>
    <cellStyle name="=C:\WINNT\SYSTEM32\COMMAND.COM 4 20" xfId="1312"/>
    <cellStyle name="=C:\WINNT\SYSTEM32\COMMAND.COM 4 21" xfId="1313"/>
    <cellStyle name="=C:\WINNT\SYSTEM32\COMMAND.COM 4 22" xfId="1314"/>
    <cellStyle name="=C:\WINNT\SYSTEM32\COMMAND.COM 4 23" xfId="1315"/>
    <cellStyle name="=C:\WINNT\SYSTEM32\COMMAND.COM 4 24" xfId="1316"/>
    <cellStyle name="=C:\WINNT\SYSTEM32\COMMAND.COM 4 25" xfId="1317"/>
    <cellStyle name="=C:\WINNT\SYSTEM32\COMMAND.COM 4 26" xfId="1318"/>
    <cellStyle name="=C:\WINNT\SYSTEM32\COMMAND.COM 4 27" xfId="1319"/>
    <cellStyle name="=C:\WINNT\SYSTEM32\COMMAND.COM 4 28" xfId="1320"/>
    <cellStyle name="=C:\WINNT\SYSTEM32\COMMAND.COM 4 29" xfId="1321"/>
    <cellStyle name="=C:\WINNT\SYSTEM32\COMMAND.COM 4 3" xfId="1322"/>
    <cellStyle name="=C:\WINNT\SYSTEM32\COMMAND.COM 4 30" xfId="1323"/>
    <cellStyle name="=C:\WINNT\SYSTEM32\COMMAND.COM 4 31" xfId="1324"/>
    <cellStyle name="=C:\WINNT\SYSTEM32\COMMAND.COM 4 32" xfId="1325"/>
    <cellStyle name="=C:\WINNT\SYSTEM32\COMMAND.COM 4 33" xfId="1326"/>
    <cellStyle name="=C:\WINNT\SYSTEM32\COMMAND.COM 4 34" xfId="1327"/>
    <cellStyle name="=C:\WINNT\SYSTEM32\COMMAND.COM 4 35" xfId="1328"/>
    <cellStyle name="=C:\WINNT\SYSTEM32\COMMAND.COM 4 36" xfId="1329"/>
    <cellStyle name="=C:\WINNT\SYSTEM32\COMMAND.COM 4 37" xfId="1330"/>
    <cellStyle name="=C:\WINNT\SYSTEM32\COMMAND.COM 4 38" xfId="1331"/>
    <cellStyle name="=C:\WINNT\SYSTEM32\COMMAND.COM 4 39" xfId="1332"/>
    <cellStyle name="=C:\WINNT\SYSTEM32\COMMAND.COM 4 4" xfId="1333"/>
    <cellStyle name="=C:\WINNT\SYSTEM32\COMMAND.COM 4 40" xfId="1334"/>
    <cellStyle name="=C:\WINNT\SYSTEM32\COMMAND.COM 4 41" xfId="1335"/>
    <cellStyle name="=C:\WINNT\SYSTEM32\COMMAND.COM 4 42" xfId="1336"/>
    <cellStyle name="=C:\WINNT\SYSTEM32\COMMAND.COM 4 43" xfId="1337"/>
    <cellStyle name="=C:\WINNT\SYSTEM32\COMMAND.COM 4 44" xfId="1338"/>
    <cellStyle name="=C:\WINNT\SYSTEM32\COMMAND.COM 4 45" xfId="1339"/>
    <cellStyle name="=C:\WINNT\SYSTEM32\COMMAND.COM 4 46" xfId="1340"/>
    <cellStyle name="=C:\WINNT\SYSTEM32\COMMAND.COM 4 47" xfId="1341"/>
    <cellStyle name="=C:\WINNT\SYSTEM32\COMMAND.COM 4 5" xfId="1342"/>
    <cellStyle name="=C:\WINNT\SYSTEM32\COMMAND.COM 4 6" xfId="1343"/>
    <cellStyle name="=C:\WINNT\SYSTEM32\COMMAND.COM 4 7" xfId="1344"/>
    <cellStyle name="=C:\WINNT\SYSTEM32\COMMAND.COM 4 8" xfId="1345"/>
    <cellStyle name="=C:\WINNT\SYSTEM32\COMMAND.COM 4 9" xfId="1346"/>
    <cellStyle name="=C:\WINNT\SYSTEM32\COMMAND.COM 4_1.3s Accounting C Costs Scots" xfId="1347"/>
    <cellStyle name="=C:\WINNT\SYSTEM32\COMMAND.COM 40" xfId="1348"/>
    <cellStyle name="=C:\WINNT\SYSTEM32\COMMAND.COM 41" xfId="1349"/>
    <cellStyle name="=C:\WINNT\SYSTEM32\COMMAND.COM 42" xfId="1350"/>
    <cellStyle name="=C:\WINNT\SYSTEM32\COMMAND.COM 43" xfId="1351"/>
    <cellStyle name="=C:\WINNT\SYSTEM32\COMMAND.COM 44" xfId="1352"/>
    <cellStyle name="=C:\WINNT\SYSTEM32\COMMAND.COM 45" xfId="1353"/>
    <cellStyle name="=C:\WINNT\SYSTEM32\COMMAND.COM 46" xfId="1354"/>
    <cellStyle name="=C:\WINNT\SYSTEM32\COMMAND.COM 47" xfId="1355"/>
    <cellStyle name="=C:\WINNT\SYSTEM32\COMMAND.COM 48" xfId="1356"/>
    <cellStyle name="=C:\WINNT\SYSTEM32\COMMAND.COM 49" xfId="1357"/>
    <cellStyle name="=C:\WINNT\SYSTEM32\COMMAND.COM 5" xfId="1358"/>
    <cellStyle name="=C:\WINNT\SYSTEM32\COMMAND.COM 5 10" xfId="1359"/>
    <cellStyle name="=C:\WINNT\SYSTEM32\COMMAND.COM 5 10 2" xfId="1360"/>
    <cellStyle name="=C:\WINNT\SYSTEM32\COMMAND.COM 5 10 3" xfId="1361"/>
    <cellStyle name="=C:\WINNT\SYSTEM32\COMMAND.COM 5 10 4" xfId="1362"/>
    <cellStyle name="=C:\WINNT\SYSTEM32\COMMAND.COM 5 10 5" xfId="1363"/>
    <cellStyle name="=C:\WINNT\SYSTEM32\COMMAND.COM 5 10 6" xfId="1364"/>
    <cellStyle name="=C:\WINNT\SYSTEM32\COMMAND.COM 5 10 7" xfId="1365"/>
    <cellStyle name="=C:\WINNT\SYSTEM32\COMMAND.COM 5 10 8" xfId="1366"/>
    <cellStyle name="=C:\WINNT\SYSTEM32\COMMAND.COM 5 11" xfId="1367"/>
    <cellStyle name="=C:\WINNT\SYSTEM32\COMMAND.COM 5 11 2" xfId="1368"/>
    <cellStyle name="=C:\WINNT\SYSTEM32\COMMAND.COM 5 11 3" xfId="1369"/>
    <cellStyle name="=C:\WINNT\SYSTEM32\COMMAND.COM 5 11 4" xfId="1370"/>
    <cellStyle name="=C:\WINNT\SYSTEM32\COMMAND.COM 5 11 5" xfId="1371"/>
    <cellStyle name="=C:\WINNT\SYSTEM32\COMMAND.COM 5 11 6" xfId="1372"/>
    <cellStyle name="=C:\WINNT\SYSTEM32\COMMAND.COM 5 11 7" xfId="1373"/>
    <cellStyle name="=C:\WINNT\SYSTEM32\COMMAND.COM 5 11 8" xfId="1374"/>
    <cellStyle name="=C:\WINNT\SYSTEM32\COMMAND.COM 5 12" xfId="1375"/>
    <cellStyle name="=C:\WINNT\SYSTEM32\COMMAND.COM 5 12 2" xfId="1376"/>
    <cellStyle name="=C:\WINNT\SYSTEM32\COMMAND.COM 5 12 3" xfId="1377"/>
    <cellStyle name="=C:\WINNT\SYSTEM32\COMMAND.COM 5 12 4" xfId="1378"/>
    <cellStyle name="=C:\WINNT\SYSTEM32\COMMAND.COM 5 12 5" xfId="1379"/>
    <cellStyle name="=C:\WINNT\SYSTEM32\COMMAND.COM 5 12 6" xfId="1380"/>
    <cellStyle name="=C:\WINNT\SYSTEM32\COMMAND.COM 5 12 7" xfId="1381"/>
    <cellStyle name="=C:\WINNT\SYSTEM32\COMMAND.COM 5 12 8" xfId="1382"/>
    <cellStyle name="=C:\WINNT\SYSTEM32\COMMAND.COM 5 13" xfId="1383"/>
    <cellStyle name="=C:\WINNT\SYSTEM32\COMMAND.COM 5 13 2" xfId="1384"/>
    <cellStyle name="=C:\WINNT\SYSTEM32\COMMAND.COM 5 13 3" xfId="1385"/>
    <cellStyle name="=C:\WINNT\SYSTEM32\COMMAND.COM 5 13 4" xfId="1386"/>
    <cellStyle name="=C:\WINNT\SYSTEM32\COMMAND.COM 5 13 5" xfId="1387"/>
    <cellStyle name="=C:\WINNT\SYSTEM32\COMMAND.COM 5 13 6" xfId="1388"/>
    <cellStyle name="=C:\WINNT\SYSTEM32\COMMAND.COM 5 13 7" xfId="1389"/>
    <cellStyle name="=C:\WINNT\SYSTEM32\COMMAND.COM 5 13 8" xfId="1390"/>
    <cellStyle name="=C:\WINNT\SYSTEM32\COMMAND.COM 5 14" xfId="1391"/>
    <cellStyle name="=C:\WINNT\SYSTEM32\COMMAND.COM 5 14 2" xfId="1392"/>
    <cellStyle name="=C:\WINNT\SYSTEM32\COMMAND.COM 5 14 3" xfId="1393"/>
    <cellStyle name="=C:\WINNT\SYSTEM32\COMMAND.COM 5 14 4" xfId="1394"/>
    <cellStyle name="=C:\WINNT\SYSTEM32\COMMAND.COM 5 14 5" xfId="1395"/>
    <cellStyle name="=C:\WINNT\SYSTEM32\COMMAND.COM 5 14 6" xfId="1396"/>
    <cellStyle name="=C:\WINNT\SYSTEM32\COMMAND.COM 5 14 7" xfId="1397"/>
    <cellStyle name="=C:\WINNT\SYSTEM32\COMMAND.COM 5 14 8" xfId="1398"/>
    <cellStyle name="=C:\WINNT\SYSTEM32\COMMAND.COM 5 15" xfId="1399"/>
    <cellStyle name="=C:\WINNT\SYSTEM32\COMMAND.COM 5 15 2" xfId="1400"/>
    <cellStyle name="=C:\WINNT\SYSTEM32\COMMAND.COM 5 15 3" xfId="1401"/>
    <cellStyle name="=C:\WINNT\SYSTEM32\COMMAND.COM 5 15 4" xfId="1402"/>
    <cellStyle name="=C:\WINNT\SYSTEM32\COMMAND.COM 5 15 5" xfId="1403"/>
    <cellStyle name="=C:\WINNT\SYSTEM32\COMMAND.COM 5 15 6" xfId="1404"/>
    <cellStyle name="=C:\WINNT\SYSTEM32\COMMAND.COM 5 15 7" xfId="1405"/>
    <cellStyle name="=C:\WINNT\SYSTEM32\COMMAND.COM 5 15 8" xfId="1406"/>
    <cellStyle name="=C:\WINNT\SYSTEM32\COMMAND.COM 5 16" xfId="1407"/>
    <cellStyle name="=C:\WINNT\SYSTEM32\COMMAND.COM 5 16 2" xfId="1408"/>
    <cellStyle name="=C:\WINNT\SYSTEM32\COMMAND.COM 5 16 3" xfId="1409"/>
    <cellStyle name="=C:\WINNT\SYSTEM32\COMMAND.COM 5 16 4" xfId="1410"/>
    <cellStyle name="=C:\WINNT\SYSTEM32\COMMAND.COM 5 16 5" xfId="1411"/>
    <cellStyle name="=C:\WINNT\SYSTEM32\COMMAND.COM 5 16 6" xfId="1412"/>
    <cellStyle name="=C:\WINNT\SYSTEM32\COMMAND.COM 5 16 7" xfId="1413"/>
    <cellStyle name="=C:\WINNT\SYSTEM32\COMMAND.COM 5 16 8" xfId="1414"/>
    <cellStyle name="=C:\WINNT\SYSTEM32\COMMAND.COM 5 17" xfId="1415"/>
    <cellStyle name="=C:\WINNT\SYSTEM32\COMMAND.COM 5 17 2" xfId="1416"/>
    <cellStyle name="=C:\WINNT\SYSTEM32\COMMAND.COM 5 17 3" xfId="1417"/>
    <cellStyle name="=C:\WINNT\SYSTEM32\COMMAND.COM 5 17 4" xfId="1418"/>
    <cellStyle name="=C:\WINNT\SYSTEM32\COMMAND.COM 5 17 5" xfId="1419"/>
    <cellStyle name="=C:\WINNT\SYSTEM32\COMMAND.COM 5 17 6" xfId="1420"/>
    <cellStyle name="=C:\WINNT\SYSTEM32\COMMAND.COM 5 17 7" xfId="1421"/>
    <cellStyle name="=C:\WINNT\SYSTEM32\COMMAND.COM 5 17 8" xfId="1422"/>
    <cellStyle name="=C:\WINNT\SYSTEM32\COMMAND.COM 5 18" xfId="1423"/>
    <cellStyle name="=C:\WINNT\SYSTEM32\COMMAND.COM 5 18 2" xfId="1424"/>
    <cellStyle name="=C:\WINNT\SYSTEM32\COMMAND.COM 5 18 3" xfId="1425"/>
    <cellStyle name="=C:\WINNT\SYSTEM32\COMMAND.COM 5 18 4" xfId="1426"/>
    <cellStyle name="=C:\WINNT\SYSTEM32\COMMAND.COM 5 18 5" xfId="1427"/>
    <cellStyle name="=C:\WINNT\SYSTEM32\COMMAND.COM 5 18 6" xfId="1428"/>
    <cellStyle name="=C:\WINNT\SYSTEM32\COMMAND.COM 5 18 7" xfId="1429"/>
    <cellStyle name="=C:\WINNT\SYSTEM32\COMMAND.COM 5 18 8" xfId="1430"/>
    <cellStyle name="=C:\WINNT\SYSTEM32\COMMAND.COM 5 19" xfId="1431"/>
    <cellStyle name="=C:\WINNT\SYSTEM32\COMMAND.COM 5 19 2" xfId="1432"/>
    <cellStyle name="=C:\WINNT\SYSTEM32\COMMAND.COM 5 19 3" xfId="1433"/>
    <cellStyle name="=C:\WINNT\SYSTEM32\COMMAND.COM 5 19 4" xfId="1434"/>
    <cellStyle name="=C:\WINNT\SYSTEM32\COMMAND.COM 5 19 5" xfId="1435"/>
    <cellStyle name="=C:\WINNT\SYSTEM32\COMMAND.COM 5 19 6" xfId="1436"/>
    <cellStyle name="=C:\WINNT\SYSTEM32\COMMAND.COM 5 19 7" xfId="1437"/>
    <cellStyle name="=C:\WINNT\SYSTEM32\COMMAND.COM 5 19 8" xfId="1438"/>
    <cellStyle name="=C:\WINNT\SYSTEM32\COMMAND.COM 5 2" xfId="1439"/>
    <cellStyle name="=C:\WINNT\SYSTEM32\COMMAND.COM 5 2 2" xfId="1440"/>
    <cellStyle name="=C:\WINNT\SYSTEM32\COMMAND.COM 5 2 3" xfId="1441"/>
    <cellStyle name="=C:\WINNT\SYSTEM32\COMMAND.COM 5 2 4" xfId="1442"/>
    <cellStyle name="=C:\WINNT\SYSTEM32\COMMAND.COM 5 2 5" xfId="1443"/>
    <cellStyle name="=C:\WINNT\SYSTEM32\COMMAND.COM 5 2 6" xfId="1444"/>
    <cellStyle name="=C:\WINNT\SYSTEM32\COMMAND.COM 5 2 7" xfId="1445"/>
    <cellStyle name="=C:\WINNT\SYSTEM32\COMMAND.COM 5 2 8" xfId="1446"/>
    <cellStyle name="=C:\WINNT\SYSTEM32\COMMAND.COM 5 2 9" xfId="1447"/>
    <cellStyle name="=C:\WINNT\SYSTEM32\COMMAND.COM 5 20" xfId="1448"/>
    <cellStyle name="=C:\WINNT\SYSTEM32\COMMAND.COM 5 20 2" xfId="1449"/>
    <cellStyle name="=C:\WINNT\SYSTEM32\COMMAND.COM 5 20 3" xfId="1450"/>
    <cellStyle name="=C:\WINNT\SYSTEM32\COMMAND.COM 5 20 4" xfId="1451"/>
    <cellStyle name="=C:\WINNT\SYSTEM32\COMMAND.COM 5 20 5" xfId="1452"/>
    <cellStyle name="=C:\WINNT\SYSTEM32\COMMAND.COM 5 20 6" xfId="1453"/>
    <cellStyle name="=C:\WINNT\SYSTEM32\COMMAND.COM 5 20 7" xfId="1454"/>
    <cellStyle name="=C:\WINNT\SYSTEM32\COMMAND.COM 5 20 8" xfId="1455"/>
    <cellStyle name="=C:\WINNT\SYSTEM32\COMMAND.COM 5 21" xfId="1456"/>
    <cellStyle name="=C:\WINNT\SYSTEM32\COMMAND.COM 5 21 2" xfId="1457"/>
    <cellStyle name="=C:\WINNT\SYSTEM32\COMMAND.COM 5 21 3" xfId="1458"/>
    <cellStyle name="=C:\WINNT\SYSTEM32\COMMAND.COM 5 21 4" xfId="1459"/>
    <cellStyle name="=C:\WINNT\SYSTEM32\COMMAND.COM 5 21 5" xfId="1460"/>
    <cellStyle name="=C:\WINNT\SYSTEM32\COMMAND.COM 5 21 6" xfId="1461"/>
    <cellStyle name="=C:\WINNT\SYSTEM32\COMMAND.COM 5 21 7" xfId="1462"/>
    <cellStyle name="=C:\WINNT\SYSTEM32\COMMAND.COM 5 21 8" xfId="1463"/>
    <cellStyle name="=C:\WINNT\SYSTEM32\COMMAND.COM 5 22" xfId="1464"/>
    <cellStyle name="=C:\WINNT\SYSTEM32\COMMAND.COM 5 22 2" xfId="1465"/>
    <cellStyle name="=C:\WINNT\SYSTEM32\COMMAND.COM 5 22 3" xfId="1466"/>
    <cellStyle name="=C:\WINNT\SYSTEM32\COMMAND.COM 5 22 4" xfId="1467"/>
    <cellStyle name="=C:\WINNT\SYSTEM32\COMMAND.COM 5 22 5" xfId="1468"/>
    <cellStyle name="=C:\WINNT\SYSTEM32\COMMAND.COM 5 22 6" xfId="1469"/>
    <cellStyle name="=C:\WINNT\SYSTEM32\COMMAND.COM 5 22 7" xfId="1470"/>
    <cellStyle name="=C:\WINNT\SYSTEM32\COMMAND.COM 5 22 8" xfId="1471"/>
    <cellStyle name="=C:\WINNT\SYSTEM32\COMMAND.COM 5 3" xfId="1472"/>
    <cellStyle name="=C:\WINNT\SYSTEM32\COMMAND.COM 5 3 2" xfId="1473"/>
    <cellStyle name="=C:\WINNT\SYSTEM32\COMMAND.COM 5 3 3" xfId="1474"/>
    <cellStyle name="=C:\WINNT\SYSTEM32\COMMAND.COM 5 3 4" xfId="1475"/>
    <cellStyle name="=C:\WINNT\SYSTEM32\COMMAND.COM 5 3 5" xfId="1476"/>
    <cellStyle name="=C:\WINNT\SYSTEM32\COMMAND.COM 5 3 6" xfId="1477"/>
    <cellStyle name="=C:\WINNT\SYSTEM32\COMMAND.COM 5 3 7" xfId="1478"/>
    <cellStyle name="=C:\WINNT\SYSTEM32\COMMAND.COM 5 3 8" xfId="1479"/>
    <cellStyle name="=C:\WINNT\SYSTEM32\COMMAND.COM 5 4" xfId="1480"/>
    <cellStyle name="=C:\WINNT\SYSTEM32\COMMAND.COM 5 4 2" xfId="1481"/>
    <cellStyle name="=C:\WINNT\SYSTEM32\COMMAND.COM 5 4 3" xfId="1482"/>
    <cellStyle name="=C:\WINNT\SYSTEM32\COMMAND.COM 5 4 4" xfId="1483"/>
    <cellStyle name="=C:\WINNT\SYSTEM32\COMMAND.COM 5 4 5" xfId="1484"/>
    <cellStyle name="=C:\WINNT\SYSTEM32\COMMAND.COM 5 4 6" xfId="1485"/>
    <cellStyle name="=C:\WINNT\SYSTEM32\COMMAND.COM 5 4 7" xfId="1486"/>
    <cellStyle name="=C:\WINNT\SYSTEM32\COMMAND.COM 5 4 8" xfId="1487"/>
    <cellStyle name="=C:\WINNT\SYSTEM32\COMMAND.COM 5 5" xfId="1488"/>
    <cellStyle name="=C:\WINNT\SYSTEM32\COMMAND.COM 5 5 2" xfId="1489"/>
    <cellStyle name="=C:\WINNT\SYSTEM32\COMMAND.COM 5 5 3" xfId="1490"/>
    <cellStyle name="=C:\WINNT\SYSTEM32\COMMAND.COM 5 5 4" xfId="1491"/>
    <cellStyle name="=C:\WINNT\SYSTEM32\COMMAND.COM 5 5 5" xfId="1492"/>
    <cellStyle name="=C:\WINNT\SYSTEM32\COMMAND.COM 5 5 6" xfId="1493"/>
    <cellStyle name="=C:\WINNT\SYSTEM32\COMMAND.COM 5 5 7" xfId="1494"/>
    <cellStyle name="=C:\WINNT\SYSTEM32\COMMAND.COM 5 5 8" xfId="1495"/>
    <cellStyle name="=C:\WINNT\SYSTEM32\COMMAND.COM 5 6" xfId="1496"/>
    <cellStyle name="=C:\WINNT\SYSTEM32\COMMAND.COM 5 6 2" xfId="1497"/>
    <cellStyle name="=C:\WINNT\SYSTEM32\COMMAND.COM 5 6 3" xfId="1498"/>
    <cellStyle name="=C:\WINNT\SYSTEM32\COMMAND.COM 5 6 4" xfId="1499"/>
    <cellStyle name="=C:\WINNT\SYSTEM32\COMMAND.COM 5 6 5" xfId="1500"/>
    <cellStyle name="=C:\WINNT\SYSTEM32\COMMAND.COM 5 6 6" xfId="1501"/>
    <cellStyle name="=C:\WINNT\SYSTEM32\COMMAND.COM 5 6 7" xfId="1502"/>
    <cellStyle name="=C:\WINNT\SYSTEM32\COMMAND.COM 5 6 8" xfId="1503"/>
    <cellStyle name="=C:\WINNT\SYSTEM32\COMMAND.COM 5 7" xfId="1504"/>
    <cellStyle name="=C:\WINNT\SYSTEM32\COMMAND.COM 5 7 2" xfId="1505"/>
    <cellStyle name="=C:\WINNT\SYSTEM32\COMMAND.COM 5 7 3" xfId="1506"/>
    <cellStyle name="=C:\WINNT\SYSTEM32\COMMAND.COM 5 7 4" xfId="1507"/>
    <cellStyle name="=C:\WINNT\SYSTEM32\COMMAND.COM 5 7 5" xfId="1508"/>
    <cellStyle name="=C:\WINNT\SYSTEM32\COMMAND.COM 5 7 6" xfId="1509"/>
    <cellStyle name="=C:\WINNT\SYSTEM32\COMMAND.COM 5 7 7" xfId="1510"/>
    <cellStyle name="=C:\WINNT\SYSTEM32\COMMAND.COM 5 7 8" xfId="1511"/>
    <cellStyle name="=C:\WINNT\SYSTEM32\COMMAND.COM 5 8" xfId="1512"/>
    <cellStyle name="=C:\WINNT\SYSTEM32\COMMAND.COM 5 8 2" xfId="1513"/>
    <cellStyle name="=C:\WINNT\SYSTEM32\COMMAND.COM 5 8 3" xfId="1514"/>
    <cellStyle name="=C:\WINNT\SYSTEM32\COMMAND.COM 5 8 4" xfId="1515"/>
    <cellStyle name="=C:\WINNT\SYSTEM32\COMMAND.COM 5 8 5" xfId="1516"/>
    <cellStyle name="=C:\WINNT\SYSTEM32\COMMAND.COM 5 8 6" xfId="1517"/>
    <cellStyle name="=C:\WINNT\SYSTEM32\COMMAND.COM 5 8 7" xfId="1518"/>
    <cellStyle name="=C:\WINNT\SYSTEM32\COMMAND.COM 5 8 8" xfId="1519"/>
    <cellStyle name="=C:\WINNT\SYSTEM32\COMMAND.COM 5 9" xfId="1520"/>
    <cellStyle name="=C:\WINNT\SYSTEM32\COMMAND.COM 5 9 2" xfId="1521"/>
    <cellStyle name="=C:\WINNT\SYSTEM32\COMMAND.COM 5 9 3" xfId="1522"/>
    <cellStyle name="=C:\WINNT\SYSTEM32\COMMAND.COM 5 9 4" xfId="1523"/>
    <cellStyle name="=C:\WINNT\SYSTEM32\COMMAND.COM 5 9 5" xfId="1524"/>
    <cellStyle name="=C:\WINNT\SYSTEM32\COMMAND.COM 5 9 6" xfId="1525"/>
    <cellStyle name="=C:\WINNT\SYSTEM32\COMMAND.COM 5 9 7" xfId="1526"/>
    <cellStyle name="=C:\WINNT\SYSTEM32\COMMAND.COM 5 9 8" xfId="1527"/>
    <cellStyle name="=C:\WINNT\SYSTEM32\COMMAND.COM 50" xfId="1528"/>
    <cellStyle name="=C:\WINNT\SYSTEM32\COMMAND.COM 51" xfId="1529"/>
    <cellStyle name="=C:\WINNT\SYSTEM32\COMMAND.COM 52" xfId="1530"/>
    <cellStyle name="=C:\WINNT\SYSTEM32\COMMAND.COM 53" xfId="1531"/>
    <cellStyle name="=C:\WINNT\SYSTEM32\COMMAND.COM 54" xfId="1532"/>
    <cellStyle name="=C:\WINNT\SYSTEM32\COMMAND.COM 55" xfId="1533"/>
    <cellStyle name="=C:\WINNT\SYSTEM32\COMMAND.COM 56" xfId="1534"/>
    <cellStyle name="=C:\WINNT\SYSTEM32\COMMAND.COM 57" xfId="1535"/>
    <cellStyle name="=C:\WINNT\SYSTEM32\COMMAND.COM 58" xfId="1536"/>
    <cellStyle name="=C:\WINNT\SYSTEM32\COMMAND.COM 59" xfId="1537"/>
    <cellStyle name="=C:\WINNT\SYSTEM32\COMMAND.COM 6" xfId="1538"/>
    <cellStyle name="=C:\WINNT\SYSTEM32\COMMAND.COM 6 2" xfId="1539"/>
    <cellStyle name="=C:\WINNT\SYSTEM32\COMMAND.COM 6 3" xfId="1540"/>
    <cellStyle name="=C:\WINNT\SYSTEM32\COMMAND.COM 60" xfId="1541"/>
    <cellStyle name="=C:\WINNT\SYSTEM32\COMMAND.COM 61" xfId="1542"/>
    <cellStyle name="=C:\WINNT\SYSTEM32\COMMAND.COM 62" xfId="1543"/>
    <cellStyle name="=C:\WINNT\SYSTEM32\COMMAND.COM 63" xfId="1544"/>
    <cellStyle name="=C:\WINNT\SYSTEM32\COMMAND.COM 64" xfId="1545"/>
    <cellStyle name="=C:\WINNT\SYSTEM32\COMMAND.COM 65" xfId="1546"/>
    <cellStyle name="=C:\WINNT\SYSTEM32\COMMAND.COM 66" xfId="1547"/>
    <cellStyle name="=C:\WINNT\SYSTEM32\COMMAND.COM 7" xfId="1548"/>
    <cellStyle name="=C:\WINNT\SYSTEM32\COMMAND.COM 7 2" xfId="1549"/>
    <cellStyle name="=C:\WINNT\SYSTEM32\COMMAND.COM 7 2 2" xfId="1550"/>
    <cellStyle name="=C:\WINNT\SYSTEM32\COMMAND.COM 7 2 2 2" xfId="1551"/>
    <cellStyle name="=C:\WINNT\SYSTEM32\COMMAND.COM 7 2 3" xfId="1552"/>
    <cellStyle name="=C:\WINNT\SYSTEM32\COMMAND.COM 7 3" xfId="1553"/>
    <cellStyle name="=C:\WINNT\SYSTEM32\COMMAND.COM 7 3 2" xfId="1554"/>
    <cellStyle name="=C:\WINNT\SYSTEM32\COMMAND.COM 7 4" xfId="1555"/>
    <cellStyle name="=C:\WINNT\SYSTEM32\COMMAND.COM 8" xfId="1556"/>
    <cellStyle name="=C:\WINNT\SYSTEM32\COMMAND.COM 8 2" xfId="1557"/>
    <cellStyle name="=C:\WINNT\SYSTEM32\COMMAND.COM 9" xfId="1558"/>
    <cellStyle name="=C:\WINNT\SYSTEM32\COMMAND.COM_1.5 Opex Reconciliation NG" xfId="1559"/>
    <cellStyle name="=C:\WINNT35\SYSTEM32\COMMAND.COM" xfId="1560"/>
    <cellStyle name="=C:\WINNT35\SYSTEM32\COMMAND.COM 10" xfId="1561"/>
    <cellStyle name="=C:\WINNT35\SYSTEM32\COMMAND.COM 11" xfId="1562"/>
    <cellStyle name="=C:\WINNT35\SYSTEM32\COMMAND.COM 12" xfId="1563"/>
    <cellStyle name="=C:\WINNT35\SYSTEM32\COMMAND.COM 13" xfId="1564"/>
    <cellStyle name="=C:\WINNT35\SYSTEM32\COMMAND.COM 14" xfId="1565"/>
    <cellStyle name="=C:\WINNT35\SYSTEM32\COMMAND.COM 15" xfId="1566"/>
    <cellStyle name="=C:\WINNT35\SYSTEM32\COMMAND.COM 16" xfId="1567"/>
    <cellStyle name="=C:\WINNT35\SYSTEM32\COMMAND.COM 17" xfId="1568"/>
    <cellStyle name="=C:\WINNT35\SYSTEM32\COMMAND.COM 18" xfId="1569"/>
    <cellStyle name="=C:\WINNT35\SYSTEM32\COMMAND.COM 19" xfId="1570"/>
    <cellStyle name="=C:\WINNT35\SYSTEM32\COMMAND.COM 2" xfId="1571"/>
    <cellStyle name="=C:\WINNT35\SYSTEM32\COMMAND.COM 20" xfId="1572"/>
    <cellStyle name="=C:\WINNT35\SYSTEM32\COMMAND.COM 21" xfId="1573"/>
    <cellStyle name="=C:\WINNT35\SYSTEM32\COMMAND.COM 22" xfId="1574"/>
    <cellStyle name="=C:\WINNT35\SYSTEM32\COMMAND.COM 23" xfId="1575"/>
    <cellStyle name="=C:\WINNT35\SYSTEM32\COMMAND.COM 24" xfId="1576"/>
    <cellStyle name="=C:\WINNT35\SYSTEM32\COMMAND.COM 25" xfId="1577"/>
    <cellStyle name="=C:\WINNT35\SYSTEM32\COMMAND.COM 26" xfId="1578"/>
    <cellStyle name="=C:\WINNT35\SYSTEM32\COMMAND.COM 27" xfId="1579"/>
    <cellStyle name="=C:\WINNT35\SYSTEM32\COMMAND.COM 28" xfId="1580"/>
    <cellStyle name="=C:\WINNT35\SYSTEM32\COMMAND.COM 29" xfId="1581"/>
    <cellStyle name="=C:\WINNT35\SYSTEM32\COMMAND.COM 3" xfId="1582"/>
    <cellStyle name="=C:\WINNT35\SYSTEM32\COMMAND.COM 30" xfId="1583"/>
    <cellStyle name="=C:\WINNT35\SYSTEM32\COMMAND.COM 31" xfId="1584"/>
    <cellStyle name="=C:\WINNT35\SYSTEM32\COMMAND.COM 32" xfId="1585"/>
    <cellStyle name="=C:\WINNT35\SYSTEM32\COMMAND.COM 33" xfId="1586"/>
    <cellStyle name="=C:\WINNT35\SYSTEM32\COMMAND.COM 34" xfId="1587"/>
    <cellStyle name="=C:\WINNT35\SYSTEM32\COMMAND.COM 35" xfId="1588"/>
    <cellStyle name="=C:\WINNT35\SYSTEM32\COMMAND.COM 36" xfId="1589"/>
    <cellStyle name="=C:\WINNT35\SYSTEM32\COMMAND.COM 37" xfId="1590"/>
    <cellStyle name="=C:\WINNT35\SYSTEM32\COMMAND.COM 38" xfId="1591"/>
    <cellStyle name="=C:\WINNT35\SYSTEM32\COMMAND.COM 39" xfId="1592"/>
    <cellStyle name="=C:\WINNT35\SYSTEM32\COMMAND.COM 4" xfId="1593"/>
    <cellStyle name="=C:\WINNT35\SYSTEM32\COMMAND.COM 40" xfId="1594"/>
    <cellStyle name="=C:\WINNT35\SYSTEM32\COMMAND.COM 41" xfId="1595"/>
    <cellStyle name="=C:\WINNT35\SYSTEM32\COMMAND.COM 42" xfId="1596"/>
    <cellStyle name="=C:\WINNT35\SYSTEM32\COMMAND.COM 43" xfId="1597"/>
    <cellStyle name="=C:\WINNT35\SYSTEM32\COMMAND.COM 44" xfId="1598"/>
    <cellStyle name="=C:\WINNT35\SYSTEM32\COMMAND.COM 45" xfId="1599"/>
    <cellStyle name="=C:\WINNT35\SYSTEM32\COMMAND.COM 46" xfId="1600"/>
    <cellStyle name="=C:\WINNT35\SYSTEM32\COMMAND.COM 47" xfId="1601"/>
    <cellStyle name="=C:\WINNT35\SYSTEM32\COMMAND.COM 5" xfId="1602"/>
    <cellStyle name="=C:\WINNT35\SYSTEM32\COMMAND.COM 6" xfId="1603"/>
    <cellStyle name="=C:\WINNT35\SYSTEM32\COMMAND.COM 7" xfId="1604"/>
    <cellStyle name="=C:\WINNT35\SYSTEM32\COMMAND.COM 8" xfId="1605"/>
    <cellStyle name="=C:\WINNT35\SYSTEM32\COMMAND.COM 9" xfId="1606"/>
    <cellStyle name="=C:\WINNT35\SYSTEM32\COMMAND.COM_1.3s Accounting C Costs Scots" xfId="1607"/>
    <cellStyle name="•W_Area" xfId="1608"/>
    <cellStyle name="0" xfId="1609"/>
    <cellStyle name="0,0_x000a__x000a_NA_x000a__x000a_" xfId="1610"/>
    <cellStyle name="0,0_x000a__x000a_NA_x000a__x000a_ 2" xfId="1611"/>
    <cellStyle name="0_Credit Rating Ratios" xfId="1612"/>
    <cellStyle name="0_Pension numbers in 09 Plan  Budget (3)" xfId="1613"/>
    <cellStyle name="0_Vattenfall Euro CY" xfId="1614"/>
    <cellStyle name="0DP" xfId="1615"/>
    <cellStyle name="0DP bold" xfId="1616"/>
    <cellStyle name="0DP_calcSens" xfId="1617"/>
    <cellStyle name="1000s (0)" xfId="1618"/>
    <cellStyle name="12pt Title" xfId="1619"/>
    <cellStyle name="14pt Title" xfId="1620"/>
    <cellStyle name="1DP" xfId="1621"/>
    <cellStyle name="1DP bold" xfId="1622"/>
    <cellStyle name="1DP_Draft RIIO plan presentation template - Customer Opsx Centre V7" xfId="1623"/>
    <cellStyle name="20% - Accent1 2" xfId="1624"/>
    <cellStyle name="20% - Accent1 2 2" xfId="1625"/>
    <cellStyle name="20% - Accent1 2 2 2" xfId="1626"/>
    <cellStyle name="20% - Accent1 2 2 2 2" xfId="1627"/>
    <cellStyle name="20% - Accent1 2 2 2 2 2" xfId="1628"/>
    <cellStyle name="20% - Accent1 2 2 2 3" xfId="1629"/>
    <cellStyle name="20% - Accent1 2 2 2 4" xfId="1630"/>
    <cellStyle name="20% - Accent1 2 2 3" xfId="1631"/>
    <cellStyle name="20% - Accent1 2 2 3 2" xfId="1632"/>
    <cellStyle name="20% - Accent1 2 2 3 2 2" xfId="1633"/>
    <cellStyle name="20% - Accent1 2 2 4" xfId="1634"/>
    <cellStyle name="20% - Accent1 2 2 5" xfId="1635"/>
    <cellStyle name="20% - Accent1 2 2 6" xfId="1636"/>
    <cellStyle name="20% - Accent1 2 2 6 2" xfId="1637"/>
    <cellStyle name="20% - Accent1 2 3" xfId="1638"/>
    <cellStyle name="20% - Accent1 2 4" xfId="1639"/>
    <cellStyle name="20% - Accent1 2 4 2" xfId="1640"/>
    <cellStyle name="20% - Accent1 2 4 2 2" xfId="1641"/>
    <cellStyle name="20% - Accent1 2 5" xfId="1642"/>
    <cellStyle name="20% - Accent1 2 5 2" xfId="1643"/>
    <cellStyle name="20% - Accent1 2 5 2 2" xfId="1644"/>
    <cellStyle name="20% - Accent1 2 6" xfId="1645"/>
    <cellStyle name="20% - Accent1 2 7" xfId="1646"/>
    <cellStyle name="20% - Accent1 3" xfId="1647"/>
    <cellStyle name="20% - Accent1 3 2" xfId="1648"/>
    <cellStyle name="20% - Accent1 3 3" xfId="1649"/>
    <cellStyle name="20% - Accent1 4" xfId="1650"/>
    <cellStyle name="20% - Accent1 5" xfId="1651"/>
    <cellStyle name="20% - Accent1 6" xfId="1652"/>
    <cellStyle name="20% - Accent1 7" xfId="1653"/>
    <cellStyle name="20% - Accent2 2" xfId="1654"/>
    <cellStyle name="20% - Accent2 2 2" xfId="1655"/>
    <cellStyle name="20% - Accent2 2 2 2" xfId="1656"/>
    <cellStyle name="20% - Accent2 2 2 2 2" xfId="1657"/>
    <cellStyle name="20% - Accent2 2 2 2 2 2" xfId="1658"/>
    <cellStyle name="20% - Accent2 2 2 2 3" xfId="1659"/>
    <cellStyle name="20% - Accent2 2 2 2 4" xfId="1660"/>
    <cellStyle name="20% - Accent2 2 2 3" xfId="1661"/>
    <cellStyle name="20% - Accent2 2 2 3 2" xfId="1662"/>
    <cellStyle name="20% - Accent2 2 2 3 2 2" xfId="1663"/>
    <cellStyle name="20% - Accent2 2 2 4" xfId="1664"/>
    <cellStyle name="20% - Accent2 2 2 5" xfId="1665"/>
    <cellStyle name="20% - Accent2 2 2 6" xfId="1666"/>
    <cellStyle name="20% - Accent2 2 2 6 2" xfId="1667"/>
    <cellStyle name="20% - Accent2 2 3" xfId="1668"/>
    <cellStyle name="20% - Accent2 2 4" xfId="1669"/>
    <cellStyle name="20% - Accent2 2 4 2" xfId="1670"/>
    <cellStyle name="20% - Accent2 2 4 2 2" xfId="1671"/>
    <cellStyle name="20% - Accent2 2 5" xfId="1672"/>
    <cellStyle name="20% - Accent2 2 5 2" xfId="1673"/>
    <cellStyle name="20% - Accent2 2 5 2 2" xfId="1674"/>
    <cellStyle name="20% - Accent2 2 6" xfId="1675"/>
    <cellStyle name="20% - Accent2 2 7" xfId="1676"/>
    <cellStyle name="20% - Accent2 3" xfId="1677"/>
    <cellStyle name="20% - Accent2 3 2" xfId="1678"/>
    <cellStyle name="20% - Accent2 3 3" xfId="1679"/>
    <cellStyle name="20% - Accent2 4" xfId="1680"/>
    <cellStyle name="20% - Accent2 5" xfId="1681"/>
    <cellStyle name="20% - Accent2 6" xfId="1682"/>
    <cellStyle name="20% - Accent2 7" xfId="1683"/>
    <cellStyle name="20% - Accent3 2" xfId="1684"/>
    <cellStyle name="20% - Accent3 2 2" xfId="1685"/>
    <cellStyle name="20% - Accent3 2 2 2" xfId="1686"/>
    <cellStyle name="20% - Accent3 2 2 2 2" xfId="1687"/>
    <cellStyle name="20% - Accent3 2 2 2 2 2" xfId="1688"/>
    <cellStyle name="20% - Accent3 2 2 2 3" xfId="1689"/>
    <cellStyle name="20% - Accent3 2 2 2 4" xfId="1690"/>
    <cellStyle name="20% - Accent3 2 2 3" xfId="1691"/>
    <cellStyle name="20% - Accent3 2 2 3 2" xfId="1692"/>
    <cellStyle name="20% - Accent3 2 2 3 2 2" xfId="1693"/>
    <cellStyle name="20% - Accent3 2 2 4" xfId="1694"/>
    <cellStyle name="20% - Accent3 2 2 5" xfId="1695"/>
    <cellStyle name="20% - Accent3 2 2 6" xfId="1696"/>
    <cellStyle name="20% - Accent3 2 2 6 2" xfId="1697"/>
    <cellStyle name="20% - Accent3 2 3" xfId="1698"/>
    <cellStyle name="20% - Accent3 2 4" xfId="1699"/>
    <cellStyle name="20% - Accent3 2 4 2" xfId="1700"/>
    <cellStyle name="20% - Accent3 2 4 2 2" xfId="1701"/>
    <cellStyle name="20% - Accent3 2 5" xfId="1702"/>
    <cellStyle name="20% - Accent3 2 5 2" xfId="1703"/>
    <cellStyle name="20% - Accent3 2 5 2 2" xfId="1704"/>
    <cellStyle name="20% - Accent3 2 6" xfId="1705"/>
    <cellStyle name="20% - Accent3 2 7" xfId="1706"/>
    <cellStyle name="20% - Accent3 3" xfId="1707"/>
    <cellStyle name="20% - Accent3 3 2" xfId="1708"/>
    <cellStyle name="20% - Accent3 3 3" xfId="1709"/>
    <cellStyle name="20% - Accent3 4" xfId="1710"/>
    <cellStyle name="20% - Accent3 5" xfId="1711"/>
    <cellStyle name="20% - Accent3 6" xfId="1712"/>
    <cellStyle name="20% - Accent3 7" xfId="1713"/>
    <cellStyle name="20% - Accent4 2" xfId="1714"/>
    <cellStyle name="20% - Accent4 2 2" xfId="1715"/>
    <cellStyle name="20% - Accent4 2 2 2" xfId="1716"/>
    <cellStyle name="20% - Accent4 2 2 2 2" xfId="1717"/>
    <cellStyle name="20% - Accent4 2 2 2 2 2" xfId="1718"/>
    <cellStyle name="20% - Accent4 2 2 2 3" xfId="1719"/>
    <cellStyle name="20% - Accent4 2 2 2 4" xfId="1720"/>
    <cellStyle name="20% - Accent4 2 2 3" xfId="1721"/>
    <cellStyle name="20% - Accent4 2 2 3 2" xfId="1722"/>
    <cellStyle name="20% - Accent4 2 2 3 2 2" xfId="1723"/>
    <cellStyle name="20% - Accent4 2 2 4" xfId="1724"/>
    <cellStyle name="20% - Accent4 2 2 5" xfId="1725"/>
    <cellStyle name="20% - Accent4 2 2 6" xfId="1726"/>
    <cellStyle name="20% - Accent4 2 2 6 2" xfId="1727"/>
    <cellStyle name="20% - Accent4 2 3" xfId="1728"/>
    <cellStyle name="20% - Accent4 2 4" xfId="1729"/>
    <cellStyle name="20% - Accent4 2 4 2" xfId="1730"/>
    <cellStyle name="20% - Accent4 2 4 2 2" xfId="1731"/>
    <cellStyle name="20% - Accent4 2 5" xfId="1732"/>
    <cellStyle name="20% - Accent4 2 5 2" xfId="1733"/>
    <cellStyle name="20% - Accent4 2 5 2 2" xfId="1734"/>
    <cellStyle name="20% - Accent4 2 6" xfId="1735"/>
    <cellStyle name="20% - Accent4 2 7" xfId="1736"/>
    <cellStyle name="20% - Accent4 3" xfId="1737"/>
    <cellStyle name="20% - Accent4 3 2" xfId="1738"/>
    <cellStyle name="20% - Accent4 3 3" xfId="1739"/>
    <cellStyle name="20% - Accent4 4" xfId="1740"/>
    <cellStyle name="20% - Accent4 5" xfId="1741"/>
    <cellStyle name="20% - Accent4 6" xfId="1742"/>
    <cellStyle name="20% - Accent4 7" xfId="1743"/>
    <cellStyle name="20% - Accent5 2" xfId="1744"/>
    <cellStyle name="20% - Accent5 2 2" xfId="1745"/>
    <cellStyle name="20% - Accent5 2 2 2" xfId="1746"/>
    <cellStyle name="20% - Accent5 2 2 2 2" xfId="1747"/>
    <cellStyle name="20% - Accent5 2 2 2 2 2" xfId="1748"/>
    <cellStyle name="20% - Accent5 2 2 2 3" xfId="1749"/>
    <cellStyle name="20% - Accent5 2 2 2 4" xfId="1750"/>
    <cellStyle name="20% - Accent5 2 2 3" xfId="1751"/>
    <cellStyle name="20% - Accent5 2 2 3 2" xfId="1752"/>
    <cellStyle name="20% - Accent5 2 2 3 2 2" xfId="1753"/>
    <cellStyle name="20% - Accent5 2 2 4" xfId="1754"/>
    <cellStyle name="20% - Accent5 2 2 5" xfId="1755"/>
    <cellStyle name="20% - Accent5 2 2 6" xfId="1756"/>
    <cellStyle name="20% - Accent5 2 2 6 2" xfId="1757"/>
    <cellStyle name="20% - Accent5 2 3" xfId="1758"/>
    <cellStyle name="20% - Accent5 2 4" xfId="1759"/>
    <cellStyle name="20% - Accent5 2 4 2" xfId="1760"/>
    <cellStyle name="20% - Accent5 2 4 2 2" xfId="1761"/>
    <cellStyle name="20% - Accent5 2 5" xfId="1762"/>
    <cellStyle name="20% - Accent5 2 5 2" xfId="1763"/>
    <cellStyle name="20% - Accent5 2 5 2 2" xfId="1764"/>
    <cellStyle name="20% - Accent5 2 6" xfId="1765"/>
    <cellStyle name="20% - Accent5 2 7" xfId="1766"/>
    <cellStyle name="20% - Accent5 3" xfId="1767"/>
    <cellStyle name="20% - Accent5 3 2" xfId="1768"/>
    <cellStyle name="20% - Accent5 3 3" xfId="1769"/>
    <cellStyle name="20% - Accent5 4" xfId="1770"/>
    <cellStyle name="20% - Accent5 5" xfId="1771"/>
    <cellStyle name="20% - Accent5 6" xfId="1772"/>
    <cellStyle name="20% - Accent5 7" xfId="1773"/>
    <cellStyle name="20% - Accent6 2" xfId="1774"/>
    <cellStyle name="20% - Accent6 2 2" xfId="1775"/>
    <cellStyle name="20% - Accent6 2 2 2" xfId="1776"/>
    <cellStyle name="20% - Accent6 2 2 2 2" xfId="1777"/>
    <cellStyle name="20% - Accent6 2 2 2 2 2" xfId="1778"/>
    <cellStyle name="20% - Accent6 2 2 2 3" xfId="1779"/>
    <cellStyle name="20% - Accent6 2 2 2 4" xfId="1780"/>
    <cellStyle name="20% - Accent6 2 2 3" xfId="1781"/>
    <cellStyle name="20% - Accent6 2 2 3 2" xfId="1782"/>
    <cellStyle name="20% - Accent6 2 2 3 2 2" xfId="1783"/>
    <cellStyle name="20% - Accent6 2 2 4" xfId="1784"/>
    <cellStyle name="20% - Accent6 2 2 5" xfId="1785"/>
    <cellStyle name="20% - Accent6 2 2 6" xfId="1786"/>
    <cellStyle name="20% - Accent6 2 2 6 2" xfId="1787"/>
    <cellStyle name="20% - Accent6 2 3" xfId="1788"/>
    <cellStyle name="20% - Accent6 2 4" xfId="1789"/>
    <cellStyle name="20% - Accent6 2 4 2" xfId="1790"/>
    <cellStyle name="20% - Accent6 2 4 2 2" xfId="1791"/>
    <cellStyle name="20% - Accent6 2 5" xfId="1792"/>
    <cellStyle name="20% - Accent6 2 5 2" xfId="1793"/>
    <cellStyle name="20% - Accent6 2 5 2 2" xfId="1794"/>
    <cellStyle name="20% - Accent6 2 6" xfId="1795"/>
    <cellStyle name="20% - Accent6 2 7" xfId="1796"/>
    <cellStyle name="20% - Accent6 3" xfId="1797"/>
    <cellStyle name="20% - Accent6 3 2" xfId="1798"/>
    <cellStyle name="20% - Accent6 3 3" xfId="1799"/>
    <cellStyle name="20% - Accent6 4" xfId="1800"/>
    <cellStyle name="20% - Accent6 5" xfId="1801"/>
    <cellStyle name="20% - Accent6 6" xfId="1802"/>
    <cellStyle name="20% - Accent6 7" xfId="1803"/>
    <cellStyle name="2DP" xfId="1804"/>
    <cellStyle name="2DP bold" xfId="1805"/>
    <cellStyle name="2DP_Draft RIIO plan presentation template - Customer Opsx Centre V7" xfId="1806"/>
    <cellStyle name="3 V1.00 CORE IMAGE (5200MM3.100 08/01/97)_x000d__x000a__x000d__x000a_[windows]_x000d__x000a_;spooler=yes_x000d__x000a_load=nw" xfId="1807"/>
    <cellStyle name="3 V1.00 CORE IMAGE (5200MM3.100 08/01/97)_x000d__x000a__x000d__x000a_[windows]_x000d__x000a_;spooler=yes_x000d__x000a_load=nw 2" xfId="1808"/>
    <cellStyle name="3DP" xfId="1809"/>
    <cellStyle name="40% - Accent1 2" xfId="31"/>
    <cellStyle name="40% - Accent1 2 10" xfId="1810"/>
    <cellStyle name="40% - Accent1 2 10 2" xfId="4477"/>
    <cellStyle name="40% - Accent1 2 10 2 2" xfId="4849"/>
    <cellStyle name="40% - Accent1 2 10 2 2 2" xfId="8592"/>
    <cellStyle name="40% - Accent1 2 10 2 2 2 2" xfId="15140"/>
    <cellStyle name="40% - Accent1 2 10 2 2 3" xfId="6873"/>
    <cellStyle name="40% - Accent1 2 10 2 2 3 2" xfId="13559"/>
    <cellStyle name="40% - Accent1 2 10 2 2 4" xfId="11774"/>
    <cellStyle name="40% - Accent1 2 10 2 3" xfId="5304"/>
    <cellStyle name="40% - Accent1 2 10 2 3 2" xfId="9047"/>
    <cellStyle name="40% - Accent1 2 10 2 3 2 2" xfId="15591"/>
    <cellStyle name="40% - Accent1 2 10 2 3 3" xfId="7328"/>
    <cellStyle name="40% - Accent1 2 10 2 3 3 2" xfId="14010"/>
    <cellStyle name="40% - Accent1 2 10 2 3 4" xfId="12225"/>
    <cellStyle name="40% - Accent1 2 10 2 4" xfId="5742"/>
    <cellStyle name="40% - Accent1 2 10 2 4 2" xfId="9483"/>
    <cellStyle name="40% - Accent1 2 10 2 4 2 2" xfId="15985"/>
    <cellStyle name="40% - Accent1 2 10 2 4 3" xfId="7764"/>
    <cellStyle name="40% - Accent1 2 10 2 4 3 2" xfId="14404"/>
    <cellStyle name="40% - Accent1 2 10 2 4 4" xfId="12635"/>
    <cellStyle name="40% - Accent1 2 10 2 5" xfId="9845"/>
    <cellStyle name="40% - Accent1 2 10 2 5 2" xfId="16326"/>
    <cellStyle name="40% - Accent1 2 10 2 6" xfId="8241"/>
    <cellStyle name="40% - Accent1 2 10 2 6 2" xfId="14798"/>
    <cellStyle name="40% - Accent1 2 10 2 7" xfId="6522"/>
    <cellStyle name="40% - Accent1 2 10 2 7 2" xfId="13212"/>
    <cellStyle name="40% - Accent1 2 10 2 8" xfId="11422"/>
    <cellStyle name="40% - Accent1 2 10 3" xfId="4831"/>
    <cellStyle name="40% - Accent1 2 10 3 2" xfId="8574"/>
    <cellStyle name="40% - Accent1 2 10 3 2 2" xfId="15122"/>
    <cellStyle name="40% - Accent1 2 10 3 3" xfId="6855"/>
    <cellStyle name="40% - Accent1 2 10 3 3 2" xfId="13541"/>
    <cellStyle name="40% - Accent1 2 10 3 4" xfId="11756"/>
    <cellStyle name="40% - Accent1 2 10 4" xfId="5107"/>
    <cellStyle name="40% - Accent1 2 10 4 2" xfId="8850"/>
    <cellStyle name="40% - Accent1 2 10 4 2 2" xfId="15394"/>
    <cellStyle name="40% - Accent1 2 10 4 3" xfId="7131"/>
    <cellStyle name="40% - Accent1 2 10 4 3 2" xfId="13813"/>
    <cellStyle name="40% - Accent1 2 10 4 4" xfId="12028"/>
    <cellStyle name="40% - Accent1 2 10 5" xfId="5540"/>
    <cellStyle name="40% - Accent1 2 10 5 2" xfId="9281"/>
    <cellStyle name="40% - Accent1 2 10 5 2 2" xfId="15788"/>
    <cellStyle name="40% - Accent1 2 10 5 3" xfId="7562"/>
    <cellStyle name="40% - Accent1 2 10 5 3 2" xfId="14207"/>
    <cellStyle name="40% - Accent1 2 10 5 4" xfId="12433"/>
    <cellStyle name="40% - Accent1 2 10 6" xfId="9822"/>
    <cellStyle name="40% - Accent1 2 10 6 2" xfId="16308"/>
    <cellStyle name="40% - Accent1 2 10 7" xfId="7970"/>
    <cellStyle name="40% - Accent1 2 10 7 2" xfId="14601"/>
    <cellStyle name="40% - Accent1 2 10 8" xfId="6117"/>
    <cellStyle name="40% - Accent1 2 10 8 2" xfId="12842"/>
    <cellStyle name="40% - Accent1 2 10 9" xfId="10276"/>
    <cellStyle name="40% - Accent1 2 11" xfId="4466"/>
    <cellStyle name="40% - Accent1 2 11 2" xfId="4850"/>
    <cellStyle name="40% - Accent1 2 11 2 2" xfId="8593"/>
    <cellStyle name="40% - Accent1 2 11 2 2 2" xfId="15141"/>
    <cellStyle name="40% - Accent1 2 11 2 3" xfId="6874"/>
    <cellStyle name="40% - Accent1 2 11 2 3 2" xfId="13560"/>
    <cellStyle name="40% - Accent1 2 11 2 4" xfId="11775"/>
    <cellStyle name="40% - Accent1 2 11 3" xfId="5294"/>
    <cellStyle name="40% - Accent1 2 11 3 2" xfId="9037"/>
    <cellStyle name="40% - Accent1 2 11 3 2 2" xfId="15581"/>
    <cellStyle name="40% - Accent1 2 11 3 3" xfId="7318"/>
    <cellStyle name="40% - Accent1 2 11 3 3 2" xfId="14000"/>
    <cellStyle name="40% - Accent1 2 11 3 4" xfId="12215"/>
    <cellStyle name="40% - Accent1 2 11 4" xfId="5732"/>
    <cellStyle name="40% - Accent1 2 11 4 2" xfId="9473"/>
    <cellStyle name="40% - Accent1 2 11 4 2 2" xfId="15975"/>
    <cellStyle name="40% - Accent1 2 11 4 3" xfId="7754"/>
    <cellStyle name="40% - Accent1 2 11 4 3 2" xfId="14394"/>
    <cellStyle name="40% - Accent1 2 11 4 4" xfId="12625"/>
    <cellStyle name="40% - Accent1 2 11 5" xfId="9846"/>
    <cellStyle name="40% - Accent1 2 11 5 2" xfId="16327"/>
    <cellStyle name="40% - Accent1 2 11 6" xfId="8231"/>
    <cellStyle name="40% - Accent1 2 11 6 2" xfId="14788"/>
    <cellStyle name="40% - Accent1 2 11 7" xfId="6512"/>
    <cellStyle name="40% - Accent1 2 11 7 2" xfId="13202"/>
    <cellStyle name="40% - Accent1 2 11 8" xfId="11411"/>
    <cellStyle name="40% - Accent1 2 12" xfId="4672"/>
    <cellStyle name="40% - Accent1 2 12 2" xfId="8418"/>
    <cellStyle name="40% - Accent1 2 12 2 2" xfId="14970"/>
    <cellStyle name="40% - Accent1 2 12 3" xfId="6699"/>
    <cellStyle name="40% - Accent1 2 12 3 2" xfId="13389"/>
    <cellStyle name="40% - Accent1 2 12 4" xfId="11603"/>
    <cellStyle name="40% - Accent1 2 13" xfId="5093"/>
    <cellStyle name="40% - Accent1 2 13 2" xfId="8836"/>
    <cellStyle name="40% - Accent1 2 13 2 2" xfId="15384"/>
    <cellStyle name="40% - Accent1 2 13 3" xfId="7117"/>
    <cellStyle name="40% - Accent1 2 13 3 2" xfId="13803"/>
    <cellStyle name="40% - Accent1 2 13 4" xfId="12018"/>
    <cellStyle name="40% - Accent1 2 14" xfId="5530"/>
    <cellStyle name="40% - Accent1 2 14 2" xfId="9271"/>
    <cellStyle name="40% - Accent1 2 14 2 2" xfId="15778"/>
    <cellStyle name="40% - Accent1 2 14 3" xfId="7552"/>
    <cellStyle name="40% - Accent1 2 14 3 2" xfId="14197"/>
    <cellStyle name="40% - Accent1 2 14 4" xfId="12423"/>
    <cellStyle name="40% - Accent1 2 15" xfId="9652"/>
    <cellStyle name="40% - Accent1 2 15 2" xfId="16154"/>
    <cellStyle name="40% - Accent1 2 16" xfId="7951"/>
    <cellStyle name="40% - Accent1 2 16 2" xfId="14591"/>
    <cellStyle name="40% - Accent1 2 17" xfId="5930"/>
    <cellStyle name="40% - Accent1 2 17 2" xfId="12823"/>
    <cellStyle name="40% - Accent1 2 18" xfId="10265"/>
    <cellStyle name="40% - Accent1 2 2" xfId="1811"/>
    <cellStyle name="40% - Accent1 2 2 2" xfId="1812"/>
    <cellStyle name="40% - Accent1 2 2 2 2" xfId="1813"/>
    <cellStyle name="40% - Accent1 2 2 2 2 2" xfId="1814"/>
    <cellStyle name="40% - Accent1 2 2 2 3" xfId="1815"/>
    <cellStyle name="40% - Accent1 2 2 2 4" xfId="1816"/>
    <cellStyle name="40% - Accent1 2 2 3" xfId="1817"/>
    <cellStyle name="40% - Accent1 2 2 3 2" xfId="1818"/>
    <cellStyle name="40% - Accent1 2 2 3 2 2" xfId="1819"/>
    <cellStyle name="40% - Accent1 2 2 4" xfId="1820"/>
    <cellStyle name="40% - Accent1 2 2 5" xfId="1821"/>
    <cellStyle name="40% - Accent1 2 2 6" xfId="1822"/>
    <cellStyle name="40% - Accent1 2 2 6 2" xfId="1823"/>
    <cellStyle name="40% - Accent1 2 3" xfId="1824"/>
    <cellStyle name="40% - Accent1 2 4" xfId="1825"/>
    <cellStyle name="40% - Accent1 2 4 2" xfId="1826"/>
    <cellStyle name="40% - Accent1 2 4 2 2" xfId="1827"/>
    <cellStyle name="40% - Accent1 2 5" xfId="1828"/>
    <cellStyle name="40% - Accent1 2 5 2" xfId="1829"/>
    <cellStyle name="40% - Accent1 2 5 2 2" xfId="1830"/>
    <cellStyle name="40% - Accent1 2 6" xfId="1831"/>
    <cellStyle name="40% - Accent1 2 7" xfId="1832"/>
    <cellStyle name="40% - Accent1 2 8" xfId="1833"/>
    <cellStyle name="40% - Accent1 2 9" xfId="1834"/>
    <cellStyle name="40% - Accent1 2 9 2" xfId="4478"/>
    <cellStyle name="40% - Accent1 2 9 2 2" xfId="4851"/>
    <cellStyle name="40% - Accent1 2 9 2 2 2" xfId="8594"/>
    <cellStyle name="40% - Accent1 2 9 2 2 2 2" xfId="15142"/>
    <cellStyle name="40% - Accent1 2 9 2 2 3" xfId="6875"/>
    <cellStyle name="40% - Accent1 2 9 2 2 3 2" xfId="13561"/>
    <cellStyle name="40% - Accent1 2 9 2 2 4" xfId="11776"/>
    <cellStyle name="40% - Accent1 2 9 2 3" xfId="5305"/>
    <cellStyle name="40% - Accent1 2 9 2 3 2" xfId="9048"/>
    <cellStyle name="40% - Accent1 2 9 2 3 2 2" xfId="15592"/>
    <cellStyle name="40% - Accent1 2 9 2 3 3" xfId="7329"/>
    <cellStyle name="40% - Accent1 2 9 2 3 3 2" xfId="14011"/>
    <cellStyle name="40% - Accent1 2 9 2 3 4" xfId="12226"/>
    <cellStyle name="40% - Accent1 2 9 2 4" xfId="5743"/>
    <cellStyle name="40% - Accent1 2 9 2 4 2" xfId="9484"/>
    <cellStyle name="40% - Accent1 2 9 2 4 2 2" xfId="15986"/>
    <cellStyle name="40% - Accent1 2 9 2 4 3" xfId="7765"/>
    <cellStyle name="40% - Accent1 2 9 2 4 3 2" xfId="14405"/>
    <cellStyle name="40% - Accent1 2 9 2 4 4" xfId="12636"/>
    <cellStyle name="40% - Accent1 2 9 2 5" xfId="9847"/>
    <cellStyle name="40% - Accent1 2 9 2 5 2" xfId="16328"/>
    <cellStyle name="40% - Accent1 2 9 2 6" xfId="8242"/>
    <cellStyle name="40% - Accent1 2 9 2 6 2" xfId="14799"/>
    <cellStyle name="40% - Accent1 2 9 2 7" xfId="6523"/>
    <cellStyle name="40% - Accent1 2 9 2 7 2" xfId="13213"/>
    <cellStyle name="40% - Accent1 2 9 2 8" xfId="11423"/>
    <cellStyle name="40% - Accent1 2 9 3" xfId="4763"/>
    <cellStyle name="40% - Accent1 2 9 3 2" xfId="8506"/>
    <cellStyle name="40% - Accent1 2 9 3 2 2" xfId="15058"/>
    <cellStyle name="40% - Accent1 2 9 3 3" xfId="6787"/>
    <cellStyle name="40% - Accent1 2 9 3 3 2" xfId="13477"/>
    <cellStyle name="40% - Accent1 2 9 3 4" xfId="11692"/>
    <cellStyle name="40% - Accent1 2 9 4" xfId="5108"/>
    <cellStyle name="40% - Accent1 2 9 4 2" xfId="8851"/>
    <cellStyle name="40% - Accent1 2 9 4 2 2" xfId="15395"/>
    <cellStyle name="40% - Accent1 2 9 4 3" xfId="7132"/>
    <cellStyle name="40% - Accent1 2 9 4 3 2" xfId="13814"/>
    <cellStyle name="40% - Accent1 2 9 4 4" xfId="12029"/>
    <cellStyle name="40% - Accent1 2 9 5" xfId="5541"/>
    <cellStyle name="40% - Accent1 2 9 5 2" xfId="9282"/>
    <cellStyle name="40% - Accent1 2 9 5 2 2" xfId="15789"/>
    <cellStyle name="40% - Accent1 2 9 5 3" xfId="7563"/>
    <cellStyle name="40% - Accent1 2 9 5 3 2" xfId="14208"/>
    <cellStyle name="40% - Accent1 2 9 5 4" xfId="12434"/>
    <cellStyle name="40% - Accent1 2 9 6" xfId="9753"/>
    <cellStyle name="40% - Accent1 2 9 6 2" xfId="16244"/>
    <cellStyle name="40% - Accent1 2 9 7" xfId="7971"/>
    <cellStyle name="40% - Accent1 2 9 7 2" xfId="14602"/>
    <cellStyle name="40% - Accent1 2 9 8" xfId="6118"/>
    <cellStyle name="40% - Accent1 2 9 8 2" xfId="12843"/>
    <cellStyle name="40% - Accent1 2 9 9" xfId="10277"/>
    <cellStyle name="40% - Accent1 3" xfId="1835"/>
    <cellStyle name="40% - Accent1 3 2" xfId="1836"/>
    <cellStyle name="40% - Accent1 3 3" xfId="1837"/>
    <cellStyle name="40% - Accent1 4" xfId="1838"/>
    <cellStyle name="40% - Accent1 5" xfId="1839"/>
    <cellStyle name="40% - Accent1 6" xfId="1840"/>
    <cellStyle name="40% - Accent1 7" xfId="1841"/>
    <cellStyle name="40% - Accent2 2" xfId="1842"/>
    <cellStyle name="40% - Accent2 2 2" xfId="1843"/>
    <cellStyle name="40% - Accent2 2 2 2" xfId="1844"/>
    <cellStyle name="40% - Accent2 2 2 2 2" xfId="1845"/>
    <cellStyle name="40% - Accent2 2 2 2 2 2" xfId="1846"/>
    <cellStyle name="40% - Accent2 2 2 2 3" xfId="1847"/>
    <cellStyle name="40% - Accent2 2 2 2 4" xfId="1848"/>
    <cellStyle name="40% - Accent2 2 2 3" xfId="1849"/>
    <cellStyle name="40% - Accent2 2 2 3 2" xfId="1850"/>
    <cellStyle name="40% - Accent2 2 2 3 2 2" xfId="1851"/>
    <cellStyle name="40% - Accent2 2 2 4" xfId="1852"/>
    <cellStyle name="40% - Accent2 2 2 5" xfId="1853"/>
    <cellStyle name="40% - Accent2 2 2 6" xfId="1854"/>
    <cellStyle name="40% - Accent2 2 2 6 2" xfId="1855"/>
    <cellStyle name="40% - Accent2 2 3" xfId="1856"/>
    <cellStyle name="40% - Accent2 2 4" xfId="1857"/>
    <cellStyle name="40% - Accent2 2 4 2" xfId="1858"/>
    <cellStyle name="40% - Accent2 2 4 2 2" xfId="1859"/>
    <cellStyle name="40% - Accent2 2 5" xfId="1860"/>
    <cellStyle name="40% - Accent2 2 5 2" xfId="1861"/>
    <cellStyle name="40% - Accent2 2 5 2 2" xfId="1862"/>
    <cellStyle name="40% - Accent2 2 6" xfId="1863"/>
    <cellStyle name="40% - Accent2 2 7" xfId="1864"/>
    <cellStyle name="40% - Accent2 3" xfId="1865"/>
    <cellStyle name="40% - Accent2 3 2" xfId="1866"/>
    <cellStyle name="40% - Accent2 3 3" xfId="1867"/>
    <cellStyle name="40% - Accent2 4" xfId="1868"/>
    <cellStyle name="40% - Accent2 5" xfId="1869"/>
    <cellStyle name="40% - Accent2 6" xfId="1870"/>
    <cellStyle name="40% - Accent2 7" xfId="1871"/>
    <cellStyle name="40% - Accent3 2" xfId="1872"/>
    <cellStyle name="40% - Accent3 2 2" xfId="1873"/>
    <cellStyle name="40% - Accent3 2 2 2" xfId="1874"/>
    <cellStyle name="40% - Accent3 2 2 2 2" xfId="1875"/>
    <cellStyle name="40% - Accent3 2 2 2 2 2" xfId="1876"/>
    <cellStyle name="40% - Accent3 2 2 2 3" xfId="1877"/>
    <cellStyle name="40% - Accent3 2 2 2 4" xfId="1878"/>
    <cellStyle name="40% - Accent3 2 2 3" xfId="1879"/>
    <cellStyle name="40% - Accent3 2 2 3 2" xfId="1880"/>
    <cellStyle name="40% - Accent3 2 2 3 2 2" xfId="1881"/>
    <cellStyle name="40% - Accent3 2 2 4" xfId="1882"/>
    <cellStyle name="40% - Accent3 2 2 5" xfId="1883"/>
    <cellStyle name="40% - Accent3 2 2 6" xfId="1884"/>
    <cellStyle name="40% - Accent3 2 2 6 2" xfId="1885"/>
    <cellStyle name="40% - Accent3 2 3" xfId="1886"/>
    <cellStyle name="40% - Accent3 2 4" xfId="1887"/>
    <cellStyle name="40% - Accent3 2 4 2" xfId="1888"/>
    <cellStyle name="40% - Accent3 2 4 2 2" xfId="1889"/>
    <cellStyle name="40% - Accent3 2 5" xfId="1890"/>
    <cellStyle name="40% - Accent3 2 5 2" xfId="1891"/>
    <cellStyle name="40% - Accent3 2 5 2 2" xfId="1892"/>
    <cellStyle name="40% - Accent3 2 6" xfId="1893"/>
    <cellStyle name="40% - Accent3 2 7" xfId="1894"/>
    <cellStyle name="40% - Accent3 3" xfId="1895"/>
    <cellStyle name="40% - Accent3 3 2" xfId="1896"/>
    <cellStyle name="40% - Accent3 3 3" xfId="1897"/>
    <cellStyle name="40% - Accent3 4" xfId="1898"/>
    <cellStyle name="40% - Accent3 5" xfId="1899"/>
    <cellStyle name="40% - Accent3 6" xfId="1900"/>
    <cellStyle name="40% - Accent3 7" xfId="1901"/>
    <cellStyle name="40% - Accent4 2" xfId="1902"/>
    <cellStyle name="40% - Accent4 2 2" xfId="1903"/>
    <cellStyle name="40% - Accent4 2 2 2" xfId="1904"/>
    <cellStyle name="40% - Accent4 2 2 2 2" xfId="1905"/>
    <cellStyle name="40% - Accent4 2 2 2 2 2" xfId="1906"/>
    <cellStyle name="40% - Accent4 2 2 2 3" xfId="1907"/>
    <cellStyle name="40% - Accent4 2 2 2 4" xfId="1908"/>
    <cellStyle name="40% - Accent4 2 2 3" xfId="1909"/>
    <cellStyle name="40% - Accent4 2 2 3 2" xfId="1910"/>
    <cellStyle name="40% - Accent4 2 2 3 2 2" xfId="1911"/>
    <cellStyle name="40% - Accent4 2 2 4" xfId="1912"/>
    <cellStyle name="40% - Accent4 2 2 5" xfId="1913"/>
    <cellStyle name="40% - Accent4 2 2 6" xfId="1914"/>
    <cellStyle name="40% - Accent4 2 2 6 2" xfId="1915"/>
    <cellStyle name="40% - Accent4 2 3" xfId="1916"/>
    <cellStyle name="40% - Accent4 2 4" xfId="1917"/>
    <cellStyle name="40% - Accent4 2 4 2" xfId="1918"/>
    <cellStyle name="40% - Accent4 2 4 2 2" xfId="1919"/>
    <cellStyle name="40% - Accent4 2 5" xfId="1920"/>
    <cellStyle name="40% - Accent4 2 5 2" xfId="1921"/>
    <cellStyle name="40% - Accent4 2 5 2 2" xfId="1922"/>
    <cellStyle name="40% - Accent4 2 6" xfId="1923"/>
    <cellStyle name="40% - Accent4 2 7" xfId="1924"/>
    <cellStyle name="40% - Accent4 3" xfId="1925"/>
    <cellStyle name="40% - Accent4 3 2" xfId="1926"/>
    <cellStyle name="40% - Accent4 3 3" xfId="1927"/>
    <cellStyle name="40% - Accent4 4" xfId="1928"/>
    <cellStyle name="40% - Accent4 5" xfId="1929"/>
    <cellStyle name="40% - Accent4 6" xfId="1930"/>
    <cellStyle name="40% - Accent4 7" xfId="1931"/>
    <cellStyle name="40% - Accent5 2" xfId="1932"/>
    <cellStyle name="40% - Accent5 2 2" xfId="1933"/>
    <cellStyle name="40% - Accent5 2 2 2" xfId="1934"/>
    <cellStyle name="40% - Accent5 2 2 2 2" xfId="1935"/>
    <cellStyle name="40% - Accent5 2 2 2 2 2" xfId="1936"/>
    <cellStyle name="40% - Accent5 2 2 2 3" xfId="1937"/>
    <cellStyle name="40% - Accent5 2 2 2 4" xfId="1938"/>
    <cellStyle name="40% - Accent5 2 2 3" xfId="1939"/>
    <cellStyle name="40% - Accent5 2 2 3 2" xfId="1940"/>
    <cellStyle name="40% - Accent5 2 2 3 2 2" xfId="1941"/>
    <cellStyle name="40% - Accent5 2 2 4" xfId="1942"/>
    <cellStyle name="40% - Accent5 2 2 5" xfId="1943"/>
    <cellStyle name="40% - Accent5 2 2 6" xfId="1944"/>
    <cellStyle name="40% - Accent5 2 2 6 2" xfId="1945"/>
    <cellStyle name="40% - Accent5 2 3" xfId="1946"/>
    <cellStyle name="40% - Accent5 2 4" xfId="1947"/>
    <cellStyle name="40% - Accent5 2 4 2" xfId="1948"/>
    <cellStyle name="40% - Accent5 2 4 2 2" xfId="1949"/>
    <cellStyle name="40% - Accent5 2 5" xfId="1950"/>
    <cellStyle name="40% - Accent5 2 5 2" xfId="1951"/>
    <cellStyle name="40% - Accent5 2 5 2 2" xfId="1952"/>
    <cellStyle name="40% - Accent5 2 6" xfId="1953"/>
    <cellStyle name="40% - Accent5 2 7" xfId="1954"/>
    <cellStyle name="40% - Accent5 3" xfId="1955"/>
    <cellStyle name="40% - Accent5 3 2" xfId="1956"/>
    <cellStyle name="40% - Accent5 3 3" xfId="1957"/>
    <cellStyle name="40% - Accent5 4" xfId="1958"/>
    <cellStyle name="40% - Accent5 5" xfId="1959"/>
    <cellStyle name="40% - Accent5 6" xfId="1960"/>
    <cellStyle name="40% - Accent5 7" xfId="1961"/>
    <cellStyle name="40% - Accent6 2" xfId="1962"/>
    <cellStyle name="40% - Accent6 2 2" xfId="1963"/>
    <cellStyle name="40% - Accent6 2 2 2" xfId="1964"/>
    <cellStyle name="40% - Accent6 2 2 2 2" xfId="1965"/>
    <cellStyle name="40% - Accent6 2 2 2 2 2" xfId="1966"/>
    <cellStyle name="40% - Accent6 2 2 2 3" xfId="1967"/>
    <cellStyle name="40% - Accent6 2 2 2 4" xfId="1968"/>
    <cellStyle name="40% - Accent6 2 2 3" xfId="1969"/>
    <cellStyle name="40% - Accent6 2 2 3 2" xfId="1970"/>
    <cellStyle name="40% - Accent6 2 2 3 2 2" xfId="1971"/>
    <cellStyle name="40% - Accent6 2 2 4" xfId="1972"/>
    <cellStyle name="40% - Accent6 2 2 5" xfId="1973"/>
    <cellStyle name="40% - Accent6 2 2 6" xfId="1974"/>
    <cellStyle name="40% - Accent6 2 2 6 2" xfId="1975"/>
    <cellStyle name="40% - Accent6 2 3" xfId="1976"/>
    <cellStyle name="40% - Accent6 2 4" xfId="1977"/>
    <cellStyle name="40% - Accent6 2 4 2" xfId="1978"/>
    <cellStyle name="40% - Accent6 2 4 2 2" xfId="1979"/>
    <cellStyle name="40% - Accent6 2 5" xfId="1980"/>
    <cellStyle name="40% - Accent6 2 5 2" xfId="1981"/>
    <cellStyle name="40% - Accent6 2 5 2 2" xfId="1982"/>
    <cellStyle name="40% - Accent6 2 6" xfId="1983"/>
    <cellStyle name="40% - Accent6 2 7" xfId="1984"/>
    <cellStyle name="40% - Accent6 3" xfId="1985"/>
    <cellStyle name="40% - Accent6 3 2" xfId="1986"/>
    <cellStyle name="40% - Accent6 3 3" xfId="1987"/>
    <cellStyle name="40% - Accent6 4" xfId="1988"/>
    <cellStyle name="40% - Accent6 5" xfId="1989"/>
    <cellStyle name="40% - Accent6 6" xfId="1990"/>
    <cellStyle name="40% - Accent6 7" xfId="1991"/>
    <cellStyle name="60% - Accent1 2" xfId="1992"/>
    <cellStyle name="60% - Accent1 2 2" xfId="1993"/>
    <cellStyle name="60% - Accent1 2 2 2" xfId="1994"/>
    <cellStyle name="60% - Accent1 2 2 2 2" xfId="1995"/>
    <cellStyle name="60% - Accent1 2 2 2 2 2" xfId="1996"/>
    <cellStyle name="60% - Accent1 2 2 2 3" xfId="1997"/>
    <cellStyle name="60% - Accent1 2 2 2 4" xfId="1998"/>
    <cellStyle name="60% - Accent1 2 2 3" xfId="1999"/>
    <cellStyle name="60% - Accent1 2 2 3 2" xfId="2000"/>
    <cellStyle name="60% - Accent1 2 2 3 2 2" xfId="2001"/>
    <cellStyle name="60% - Accent1 2 2 4" xfId="2002"/>
    <cellStyle name="60% - Accent1 2 2 5" xfId="2003"/>
    <cellStyle name="60% - Accent1 2 2 6" xfId="2004"/>
    <cellStyle name="60% - Accent1 2 2 6 2" xfId="2005"/>
    <cellStyle name="60% - Accent1 2 3" xfId="2006"/>
    <cellStyle name="60% - Accent1 2 4" xfId="2007"/>
    <cellStyle name="60% - Accent1 2 4 2" xfId="2008"/>
    <cellStyle name="60% - Accent1 2 4 2 2" xfId="2009"/>
    <cellStyle name="60% - Accent1 2 5" xfId="2010"/>
    <cellStyle name="60% - Accent1 2 5 2" xfId="2011"/>
    <cellStyle name="60% - Accent1 2 5 2 2" xfId="2012"/>
    <cellStyle name="60% - Accent1 2 6" xfId="2013"/>
    <cellStyle name="60% - Accent1 2 7" xfId="2014"/>
    <cellStyle name="60% - Accent1 3" xfId="2015"/>
    <cellStyle name="60% - Accent1 3 2" xfId="2016"/>
    <cellStyle name="60% - Accent1 3 3" xfId="2017"/>
    <cellStyle name="60% - Accent1 4" xfId="2018"/>
    <cellStyle name="60% - Accent1 5" xfId="2019"/>
    <cellStyle name="60% - Accent1 6" xfId="2020"/>
    <cellStyle name="60% - Accent1 7" xfId="2021"/>
    <cellStyle name="60% - Accent2 2" xfId="2022"/>
    <cellStyle name="60% - Accent2 2 2" xfId="2023"/>
    <cellStyle name="60% - Accent2 2 2 2" xfId="2024"/>
    <cellStyle name="60% - Accent2 2 2 2 2" xfId="2025"/>
    <cellStyle name="60% - Accent2 2 2 2 2 2" xfId="2026"/>
    <cellStyle name="60% - Accent2 2 2 2 3" xfId="2027"/>
    <cellStyle name="60% - Accent2 2 2 2 4" xfId="2028"/>
    <cellStyle name="60% - Accent2 2 2 3" xfId="2029"/>
    <cellStyle name="60% - Accent2 2 2 3 2" xfId="2030"/>
    <cellStyle name="60% - Accent2 2 2 3 2 2" xfId="2031"/>
    <cellStyle name="60% - Accent2 2 2 4" xfId="2032"/>
    <cellStyle name="60% - Accent2 2 2 5" xfId="2033"/>
    <cellStyle name="60% - Accent2 2 2 6" xfId="2034"/>
    <cellStyle name="60% - Accent2 2 2 6 2" xfId="2035"/>
    <cellStyle name="60% - Accent2 2 3" xfId="2036"/>
    <cellStyle name="60% - Accent2 2 4" xfId="2037"/>
    <cellStyle name="60% - Accent2 2 4 2" xfId="2038"/>
    <cellStyle name="60% - Accent2 2 4 2 2" xfId="2039"/>
    <cellStyle name="60% - Accent2 2 5" xfId="2040"/>
    <cellStyle name="60% - Accent2 2 5 2" xfId="2041"/>
    <cellStyle name="60% - Accent2 2 5 2 2" xfId="2042"/>
    <cellStyle name="60% - Accent2 2 6" xfId="2043"/>
    <cellStyle name="60% - Accent2 2 7" xfId="2044"/>
    <cellStyle name="60% - Accent2 3" xfId="2045"/>
    <cellStyle name="60% - Accent2 3 2" xfId="2046"/>
    <cellStyle name="60% - Accent2 3 3" xfId="2047"/>
    <cellStyle name="60% - Accent2 4" xfId="2048"/>
    <cellStyle name="60% - Accent2 5" xfId="2049"/>
    <cellStyle name="60% - Accent2 6" xfId="2050"/>
    <cellStyle name="60% - Accent2 7" xfId="2051"/>
    <cellStyle name="60% - Accent3 2" xfId="2052"/>
    <cellStyle name="60% - Accent3 2 2" xfId="2053"/>
    <cellStyle name="60% - Accent3 2 2 2" xfId="2054"/>
    <cellStyle name="60% - Accent3 2 2 2 2" xfId="2055"/>
    <cellStyle name="60% - Accent3 2 2 2 2 2" xfId="2056"/>
    <cellStyle name="60% - Accent3 2 2 2 3" xfId="2057"/>
    <cellStyle name="60% - Accent3 2 2 2 4" xfId="2058"/>
    <cellStyle name="60% - Accent3 2 2 3" xfId="2059"/>
    <cellStyle name="60% - Accent3 2 2 3 2" xfId="2060"/>
    <cellStyle name="60% - Accent3 2 2 3 2 2" xfId="2061"/>
    <cellStyle name="60% - Accent3 2 2 4" xfId="2062"/>
    <cellStyle name="60% - Accent3 2 2 5" xfId="2063"/>
    <cellStyle name="60% - Accent3 2 2 6" xfId="2064"/>
    <cellStyle name="60% - Accent3 2 2 6 2" xfId="2065"/>
    <cellStyle name="60% - Accent3 2 3" xfId="2066"/>
    <cellStyle name="60% - Accent3 2 4" xfId="2067"/>
    <cellStyle name="60% - Accent3 2 4 2" xfId="2068"/>
    <cellStyle name="60% - Accent3 2 4 2 2" xfId="2069"/>
    <cellStyle name="60% - Accent3 2 5" xfId="2070"/>
    <cellStyle name="60% - Accent3 2 5 2" xfId="2071"/>
    <cellStyle name="60% - Accent3 2 5 2 2" xfId="2072"/>
    <cellStyle name="60% - Accent3 2 6" xfId="2073"/>
    <cellStyle name="60% - Accent3 2 7" xfId="2074"/>
    <cellStyle name="60% - Accent3 3" xfId="2075"/>
    <cellStyle name="60% - Accent3 3 2" xfId="2076"/>
    <cellStyle name="60% - Accent3 3 3" xfId="2077"/>
    <cellStyle name="60% - Accent3 4" xfId="2078"/>
    <cellStyle name="60% - Accent3 5" xfId="2079"/>
    <cellStyle name="60% - Accent3 6" xfId="2080"/>
    <cellStyle name="60% - Accent3 7" xfId="2081"/>
    <cellStyle name="60% - Accent4 2" xfId="2082"/>
    <cellStyle name="60% - Accent4 2 2" xfId="2083"/>
    <cellStyle name="60% - Accent4 2 2 2" xfId="2084"/>
    <cellStyle name="60% - Accent4 2 2 2 2" xfId="2085"/>
    <cellStyle name="60% - Accent4 2 2 2 2 2" xfId="2086"/>
    <cellStyle name="60% - Accent4 2 2 2 3" xfId="2087"/>
    <cellStyle name="60% - Accent4 2 2 2 4" xfId="2088"/>
    <cellStyle name="60% - Accent4 2 2 3" xfId="2089"/>
    <cellStyle name="60% - Accent4 2 2 3 2" xfId="2090"/>
    <cellStyle name="60% - Accent4 2 2 3 2 2" xfId="2091"/>
    <cellStyle name="60% - Accent4 2 2 4" xfId="2092"/>
    <cellStyle name="60% - Accent4 2 2 5" xfId="2093"/>
    <cellStyle name="60% - Accent4 2 2 6" xfId="2094"/>
    <cellStyle name="60% - Accent4 2 2 6 2" xfId="2095"/>
    <cellStyle name="60% - Accent4 2 3" xfId="2096"/>
    <cellStyle name="60% - Accent4 2 4" xfId="2097"/>
    <cellStyle name="60% - Accent4 2 4 2" xfId="2098"/>
    <cellStyle name="60% - Accent4 2 4 2 2" xfId="2099"/>
    <cellStyle name="60% - Accent4 2 5" xfId="2100"/>
    <cellStyle name="60% - Accent4 2 5 2" xfId="2101"/>
    <cellStyle name="60% - Accent4 2 5 2 2" xfId="2102"/>
    <cellStyle name="60% - Accent4 2 6" xfId="2103"/>
    <cellStyle name="60% - Accent4 2 7" xfId="2104"/>
    <cellStyle name="60% - Accent4 3" xfId="2105"/>
    <cellStyle name="60% - Accent4 3 2" xfId="2106"/>
    <cellStyle name="60% - Accent4 3 3" xfId="2107"/>
    <cellStyle name="60% - Accent4 4" xfId="2108"/>
    <cellStyle name="60% - Accent4 5" xfId="2109"/>
    <cellStyle name="60% - Accent4 6" xfId="2110"/>
    <cellStyle name="60% - Accent4 7" xfId="2111"/>
    <cellStyle name="60% - Accent5 2" xfId="2112"/>
    <cellStyle name="60% - Accent5 2 2" xfId="2113"/>
    <cellStyle name="60% - Accent5 2 2 2" xfId="2114"/>
    <cellStyle name="60% - Accent5 2 2 2 2" xfId="2115"/>
    <cellStyle name="60% - Accent5 2 2 2 2 2" xfId="2116"/>
    <cellStyle name="60% - Accent5 2 2 2 3" xfId="2117"/>
    <cellStyle name="60% - Accent5 2 2 2 4" xfId="2118"/>
    <cellStyle name="60% - Accent5 2 2 3" xfId="2119"/>
    <cellStyle name="60% - Accent5 2 2 3 2" xfId="2120"/>
    <cellStyle name="60% - Accent5 2 2 3 2 2" xfId="2121"/>
    <cellStyle name="60% - Accent5 2 2 4" xfId="2122"/>
    <cellStyle name="60% - Accent5 2 2 5" xfId="2123"/>
    <cellStyle name="60% - Accent5 2 2 6" xfId="2124"/>
    <cellStyle name="60% - Accent5 2 2 6 2" xfId="2125"/>
    <cellStyle name="60% - Accent5 2 3" xfId="2126"/>
    <cellStyle name="60% - Accent5 2 4" xfId="2127"/>
    <cellStyle name="60% - Accent5 2 4 2" xfId="2128"/>
    <cellStyle name="60% - Accent5 2 4 2 2" xfId="2129"/>
    <cellStyle name="60% - Accent5 2 5" xfId="2130"/>
    <cellStyle name="60% - Accent5 2 5 2" xfId="2131"/>
    <cellStyle name="60% - Accent5 2 5 2 2" xfId="2132"/>
    <cellStyle name="60% - Accent5 2 6" xfId="2133"/>
    <cellStyle name="60% - Accent5 2 7" xfId="2134"/>
    <cellStyle name="60% - Accent5 3" xfId="2135"/>
    <cellStyle name="60% - Accent5 3 2" xfId="2136"/>
    <cellStyle name="60% - Accent5 3 3" xfId="2137"/>
    <cellStyle name="60% - Accent5 4" xfId="2138"/>
    <cellStyle name="60% - Accent5 5" xfId="2139"/>
    <cellStyle name="60% - Accent5 6" xfId="2140"/>
    <cellStyle name="60% - Accent5 7" xfId="2141"/>
    <cellStyle name="60% - Accent6 2" xfId="2142"/>
    <cellStyle name="60% - Accent6 2 2" xfId="2143"/>
    <cellStyle name="60% - Accent6 2 2 2" xfId="2144"/>
    <cellStyle name="60% - Accent6 2 2 2 2" xfId="2145"/>
    <cellStyle name="60% - Accent6 2 2 2 2 2" xfId="2146"/>
    <cellStyle name="60% - Accent6 2 2 2 3" xfId="2147"/>
    <cellStyle name="60% - Accent6 2 2 2 4" xfId="2148"/>
    <cellStyle name="60% - Accent6 2 2 3" xfId="2149"/>
    <cellStyle name="60% - Accent6 2 2 3 2" xfId="2150"/>
    <cellStyle name="60% - Accent6 2 2 3 2 2" xfId="2151"/>
    <cellStyle name="60% - Accent6 2 2 4" xfId="2152"/>
    <cellStyle name="60% - Accent6 2 2 5" xfId="2153"/>
    <cellStyle name="60% - Accent6 2 2 6" xfId="2154"/>
    <cellStyle name="60% - Accent6 2 2 6 2" xfId="2155"/>
    <cellStyle name="60% - Accent6 2 3" xfId="2156"/>
    <cellStyle name="60% - Accent6 2 4" xfId="2157"/>
    <cellStyle name="60% - Accent6 2 4 2" xfId="2158"/>
    <cellStyle name="60% - Accent6 2 4 2 2" xfId="2159"/>
    <cellStyle name="60% - Accent6 2 5" xfId="2160"/>
    <cellStyle name="60% - Accent6 2 5 2" xfId="2161"/>
    <cellStyle name="60% - Accent6 2 5 2 2" xfId="2162"/>
    <cellStyle name="60% - Accent6 2 6" xfId="2163"/>
    <cellStyle name="60% - Accent6 2 7" xfId="2164"/>
    <cellStyle name="60% - Accent6 3" xfId="2165"/>
    <cellStyle name="60% - Accent6 3 2" xfId="2166"/>
    <cellStyle name="60% - Accent6 3 3" xfId="2167"/>
    <cellStyle name="60% - Accent6 4" xfId="2168"/>
    <cellStyle name="60% - Accent6 5" xfId="2169"/>
    <cellStyle name="60% - Accent6 6" xfId="2170"/>
    <cellStyle name="60% - Accent6 7" xfId="2171"/>
    <cellStyle name="aaa" xfId="2172"/>
    <cellStyle name="Accent1 - 20%" xfId="2173"/>
    <cellStyle name="Accent1 - 20% 2" xfId="2174"/>
    <cellStyle name="Accent1 - 40%" xfId="2175"/>
    <cellStyle name="Accent1 - 40% 2" xfId="2176"/>
    <cellStyle name="Accent1 - 60%" xfId="2177"/>
    <cellStyle name="Accent1 2" xfId="2178"/>
    <cellStyle name="Accent1 2 2" xfId="2179"/>
    <cellStyle name="Accent1 2 2 2" xfId="2180"/>
    <cellStyle name="Accent1 2 2 2 2" xfId="2181"/>
    <cellStyle name="Accent1 2 2 2 2 2" xfId="2182"/>
    <cellStyle name="Accent1 2 2 2 3" xfId="2183"/>
    <cellStyle name="Accent1 2 2 2 4" xfId="2184"/>
    <cellStyle name="Accent1 2 2 3" xfId="2185"/>
    <cellStyle name="Accent1 2 2 3 2" xfId="2186"/>
    <cellStyle name="Accent1 2 2 3 2 2" xfId="2187"/>
    <cellStyle name="Accent1 2 2 4" xfId="2188"/>
    <cellStyle name="Accent1 2 2 5" xfId="2189"/>
    <cellStyle name="Accent1 2 2 6" xfId="2190"/>
    <cellStyle name="Accent1 2 2 6 2" xfId="2191"/>
    <cellStyle name="Accent1 2 3" xfId="2192"/>
    <cellStyle name="Accent1 2 4" xfId="2193"/>
    <cellStyle name="Accent1 2 4 2" xfId="2194"/>
    <cellStyle name="Accent1 2 4 2 2" xfId="2195"/>
    <cellStyle name="Accent1 2 5" xfId="2196"/>
    <cellStyle name="Accent1 2 5 2" xfId="2197"/>
    <cellStyle name="Accent1 2 5 2 2" xfId="2198"/>
    <cellStyle name="Accent1 2 6" xfId="2199"/>
    <cellStyle name="Accent1 2 7" xfId="2200"/>
    <cellStyle name="Accent1 3" xfId="2201"/>
    <cellStyle name="Accent1 3 2" xfId="2202"/>
    <cellStyle name="Accent1 3 3" xfId="2203"/>
    <cellStyle name="Accent1 4" xfId="2204"/>
    <cellStyle name="Accent1 5" xfId="2205"/>
    <cellStyle name="Accent1 6" xfId="2206"/>
    <cellStyle name="Accent1 7" xfId="2207"/>
    <cellStyle name="Accent2 - 20%" xfId="2208"/>
    <cellStyle name="Accent2 - 20% 2" xfId="2209"/>
    <cellStyle name="Accent2 - 40%" xfId="2210"/>
    <cellStyle name="Accent2 - 40% 2" xfId="2211"/>
    <cellStyle name="Accent2 - 60%" xfId="2212"/>
    <cellStyle name="Accent2 2" xfId="2213"/>
    <cellStyle name="Accent2 2 2" xfId="2214"/>
    <cellStyle name="Accent2 2 2 2" xfId="2215"/>
    <cellStyle name="Accent2 2 2 2 2" xfId="2216"/>
    <cellStyle name="Accent2 2 2 2 2 2" xfId="2217"/>
    <cellStyle name="Accent2 2 2 2 3" xfId="2218"/>
    <cellStyle name="Accent2 2 2 2 4" xfId="2219"/>
    <cellStyle name="Accent2 2 2 3" xfId="2220"/>
    <cellStyle name="Accent2 2 2 3 2" xfId="2221"/>
    <cellStyle name="Accent2 2 2 3 2 2" xfId="2222"/>
    <cellStyle name="Accent2 2 2 4" xfId="2223"/>
    <cellStyle name="Accent2 2 2 5" xfId="2224"/>
    <cellStyle name="Accent2 2 2 6" xfId="2225"/>
    <cellStyle name="Accent2 2 2 6 2" xfId="2226"/>
    <cellStyle name="Accent2 2 3" xfId="2227"/>
    <cellStyle name="Accent2 2 4" xfId="2228"/>
    <cellStyle name="Accent2 2 4 2" xfId="2229"/>
    <cellStyle name="Accent2 2 4 2 2" xfId="2230"/>
    <cellStyle name="Accent2 2 5" xfId="2231"/>
    <cellStyle name="Accent2 2 5 2" xfId="2232"/>
    <cellStyle name="Accent2 2 5 2 2" xfId="2233"/>
    <cellStyle name="Accent2 2 6" xfId="2234"/>
    <cellStyle name="Accent2 2 7" xfId="2235"/>
    <cellStyle name="Accent2 3" xfId="2236"/>
    <cellStyle name="Accent2 3 2" xfId="2237"/>
    <cellStyle name="Accent2 3 3" xfId="2238"/>
    <cellStyle name="Accent2 4" xfId="2239"/>
    <cellStyle name="Accent2 5" xfId="2240"/>
    <cellStyle name="Accent2 6" xfId="2241"/>
    <cellStyle name="Accent2 7" xfId="2242"/>
    <cellStyle name="Accent3 - 20%" xfId="2243"/>
    <cellStyle name="Accent3 - 20% 2" xfId="2244"/>
    <cellStyle name="Accent3 - 40%" xfId="2245"/>
    <cellStyle name="Accent3 - 40% 2" xfId="2246"/>
    <cellStyle name="Accent3 - 60%" xfId="2247"/>
    <cellStyle name="Accent3 2" xfId="2248"/>
    <cellStyle name="Accent3 2 2" xfId="2249"/>
    <cellStyle name="Accent3 2 2 2" xfId="2250"/>
    <cellStyle name="Accent3 2 2 2 2" xfId="2251"/>
    <cellStyle name="Accent3 2 2 2 2 2" xfId="2252"/>
    <cellStyle name="Accent3 2 2 2 3" xfId="2253"/>
    <cellStyle name="Accent3 2 2 2 4" xfId="2254"/>
    <cellStyle name="Accent3 2 2 3" xfId="2255"/>
    <cellStyle name="Accent3 2 2 3 2" xfId="2256"/>
    <cellStyle name="Accent3 2 2 3 2 2" xfId="2257"/>
    <cellStyle name="Accent3 2 2 4" xfId="2258"/>
    <cellStyle name="Accent3 2 2 5" xfId="2259"/>
    <cellStyle name="Accent3 2 2 6" xfId="2260"/>
    <cellStyle name="Accent3 2 2 6 2" xfId="2261"/>
    <cellStyle name="Accent3 2 3" xfId="2262"/>
    <cellStyle name="Accent3 2 4" xfId="2263"/>
    <cellStyle name="Accent3 2 4 2" xfId="2264"/>
    <cellStyle name="Accent3 2 4 2 2" xfId="2265"/>
    <cellStyle name="Accent3 2 5" xfId="2266"/>
    <cellStyle name="Accent3 2 5 2" xfId="2267"/>
    <cellStyle name="Accent3 2 5 2 2" xfId="2268"/>
    <cellStyle name="Accent3 2 6" xfId="2269"/>
    <cellStyle name="Accent3 2 7" xfId="2270"/>
    <cellStyle name="Accent3 3" xfId="2271"/>
    <cellStyle name="Accent3 3 2" xfId="2272"/>
    <cellStyle name="Accent3 3 3" xfId="2273"/>
    <cellStyle name="Accent3 4" xfId="2274"/>
    <cellStyle name="Accent3 5" xfId="2275"/>
    <cellStyle name="Accent3 6" xfId="2276"/>
    <cellStyle name="Accent3 7" xfId="2277"/>
    <cellStyle name="Accent4 - 20%" xfId="2278"/>
    <cellStyle name="Accent4 - 20% 2" xfId="2279"/>
    <cellStyle name="Accent4 - 40%" xfId="2280"/>
    <cellStyle name="Accent4 - 40% 2" xfId="2281"/>
    <cellStyle name="Accent4 - 60%" xfId="2282"/>
    <cellStyle name="Accent4 2" xfId="2283"/>
    <cellStyle name="Accent4 2 2" xfId="2284"/>
    <cellStyle name="Accent4 2 2 2" xfId="2285"/>
    <cellStyle name="Accent4 2 2 2 2" xfId="2286"/>
    <cellStyle name="Accent4 2 2 2 2 2" xfId="2287"/>
    <cellStyle name="Accent4 2 2 2 3" xfId="2288"/>
    <cellStyle name="Accent4 2 2 2 4" xfId="2289"/>
    <cellStyle name="Accent4 2 2 3" xfId="2290"/>
    <cellStyle name="Accent4 2 2 3 2" xfId="2291"/>
    <cellStyle name="Accent4 2 2 3 2 2" xfId="2292"/>
    <cellStyle name="Accent4 2 2 4" xfId="2293"/>
    <cellStyle name="Accent4 2 2 5" xfId="2294"/>
    <cellStyle name="Accent4 2 2 6" xfId="2295"/>
    <cellStyle name="Accent4 2 2 6 2" xfId="2296"/>
    <cellStyle name="Accent4 2 3" xfId="2297"/>
    <cellStyle name="Accent4 2 4" xfId="2298"/>
    <cellStyle name="Accent4 2 4 2" xfId="2299"/>
    <cellStyle name="Accent4 2 4 2 2" xfId="2300"/>
    <cellStyle name="Accent4 2 5" xfId="2301"/>
    <cellStyle name="Accent4 2 5 2" xfId="2302"/>
    <cellStyle name="Accent4 2 5 2 2" xfId="2303"/>
    <cellStyle name="Accent4 2 6" xfId="2304"/>
    <cellStyle name="Accent4 2 7" xfId="2305"/>
    <cellStyle name="Accent4 3" xfId="2306"/>
    <cellStyle name="Accent4 3 2" xfId="2307"/>
    <cellStyle name="Accent4 3 3" xfId="2308"/>
    <cellStyle name="Accent4 4" xfId="2309"/>
    <cellStyle name="Accent4 5" xfId="2310"/>
    <cellStyle name="Accent4 6" xfId="2311"/>
    <cellStyle name="Accent4 7" xfId="2312"/>
    <cellStyle name="Accent5 - 20%" xfId="2313"/>
    <cellStyle name="Accent5 - 20% 2" xfId="2314"/>
    <cellStyle name="Accent5 - 40%" xfId="2315"/>
    <cellStyle name="Accent5 - 40% 2" xfId="2316"/>
    <cellStyle name="Accent5 - 60%" xfId="2317"/>
    <cellStyle name="Accent5 2" xfId="2318"/>
    <cellStyle name="Accent5 2 2" xfId="2319"/>
    <cellStyle name="Accent5 2 2 2" xfId="2320"/>
    <cellStyle name="Accent5 2 2 2 2" xfId="2321"/>
    <cellStyle name="Accent5 2 2 2 2 2" xfId="2322"/>
    <cellStyle name="Accent5 2 2 2 3" xfId="2323"/>
    <cellStyle name="Accent5 2 2 2 4" xfId="2324"/>
    <cellStyle name="Accent5 2 2 3" xfId="2325"/>
    <cellStyle name="Accent5 2 2 3 2" xfId="2326"/>
    <cellStyle name="Accent5 2 2 3 2 2" xfId="2327"/>
    <cellStyle name="Accent5 2 2 4" xfId="2328"/>
    <cellStyle name="Accent5 2 2 5" xfId="2329"/>
    <cellStyle name="Accent5 2 2 6" xfId="2330"/>
    <cellStyle name="Accent5 2 2 6 2" xfId="2331"/>
    <cellStyle name="Accent5 2 3" xfId="2332"/>
    <cellStyle name="Accent5 2 4" xfId="2333"/>
    <cellStyle name="Accent5 2 4 2" xfId="2334"/>
    <cellStyle name="Accent5 2 4 2 2" xfId="2335"/>
    <cellStyle name="Accent5 2 5" xfId="2336"/>
    <cellStyle name="Accent5 2 5 2" xfId="2337"/>
    <cellStyle name="Accent5 2 5 2 2" xfId="2338"/>
    <cellStyle name="Accent5 2 6" xfId="2339"/>
    <cellStyle name="Accent5 2 7" xfId="2340"/>
    <cellStyle name="Accent5 3" xfId="2341"/>
    <cellStyle name="Accent5 3 2" xfId="2342"/>
    <cellStyle name="Accent5 3 3" xfId="2343"/>
    <cellStyle name="Accent5 4" xfId="2344"/>
    <cellStyle name="Accent5 5" xfId="2345"/>
    <cellStyle name="Accent5 6" xfId="2346"/>
    <cellStyle name="Accent5 7" xfId="2347"/>
    <cellStyle name="Accent6 - 20%" xfId="2348"/>
    <cellStyle name="Accent6 - 20% 2" xfId="2349"/>
    <cellStyle name="Accent6 - 40%" xfId="2350"/>
    <cellStyle name="Accent6 - 40% 2" xfId="2351"/>
    <cellStyle name="Accent6 - 60%" xfId="2352"/>
    <cellStyle name="Accent6 2" xfId="2353"/>
    <cellStyle name="Accent6 2 2" xfId="2354"/>
    <cellStyle name="Accent6 2 2 2" xfId="2355"/>
    <cellStyle name="Accent6 2 2 2 2" xfId="2356"/>
    <cellStyle name="Accent6 2 2 2 2 2" xfId="2357"/>
    <cellStyle name="Accent6 2 2 2 3" xfId="2358"/>
    <cellStyle name="Accent6 2 2 2 4" xfId="2359"/>
    <cellStyle name="Accent6 2 2 3" xfId="2360"/>
    <cellStyle name="Accent6 2 2 3 2" xfId="2361"/>
    <cellStyle name="Accent6 2 2 3 2 2" xfId="2362"/>
    <cellStyle name="Accent6 2 2 4" xfId="2363"/>
    <cellStyle name="Accent6 2 2 5" xfId="2364"/>
    <cellStyle name="Accent6 2 2 6" xfId="2365"/>
    <cellStyle name="Accent6 2 2 6 2" xfId="2366"/>
    <cellStyle name="Accent6 2 3" xfId="2367"/>
    <cellStyle name="Accent6 2 4" xfId="2368"/>
    <cellStyle name="Accent6 2 4 2" xfId="2369"/>
    <cellStyle name="Accent6 2 4 2 2" xfId="2370"/>
    <cellStyle name="Accent6 2 5" xfId="2371"/>
    <cellStyle name="Accent6 2 5 2" xfId="2372"/>
    <cellStyle name="Accent6 2 5 2 2" xfId="2373"/>
    <cellStyle name="Accent6 2 6" xfId="2374"/>
    <cellStyle name="Accent6 2 7" xfId="2375"/>
    <cellStyle name="Accent6 3" xfId="2376"/>
    <cellStyle name="Accent6 3 2" xfId="2377"/>
    <cellStyle name="Accent6 3 3" xfId="2378"/>
    <cellStyle name="Accent6 4" xfId="2379"/>
    <cellStyle name="Accent6 5" xfId="2380"/>
    <cellStyle name="Accent6 6" xfId="2381"/>
    <cellStyle name="Accent6 7" xfId="2382"/>
    <cellStyle name="Acrual" xfId="2383"/>
    <cellStyle name="Actual" xfId="2384"/>
    <cellStyle name="Actual Date" xfId="2385"/>
    <cellStyle name="ÅëÈ­ [0]_±âÅ¸" xfId="2386"/>
    <cellStyle name="ÅëÈ­_±âÅ¸" xfId="2387"/>
    <cellStyle name="AFE" xfId="2388"/>
    <cellStyle name="Allign center" xfId="2389"/>
    <cellStyle name="alternate" xfId="2390"/>
    <cellStyle name="Ancillary" xfId="2391"/>
    <cellStyle name="Anos" xfId="2392"/>
    <cellStyle name="Array" xfId="2393"/>
    <cellStyle name="ÄÞ¸¶ [0]_±âÅ¸" xfId="2394"/>
    <cellStyle name="ÄÞ¸¶_±âÅ¸" xfId="2395"/>
    <cellStyle name="Bad 2" xfId="2396"/>
    <cellStyle name="Bad 2 10" xfId="2397"/>
    <cellStyle name="Bad 2 11" xfId="2398"/>
    <cellStyle name="Bad 2 12" xfId="2399"/>
    <cellStyle name="Bad 2 13" xfId="2400"/>
    <cellStyle name="Bad 2 14" xfId="2401"/>
    <cellStyle name="Bad 2 15" xfId="2402"/>
    <cellStyle name="Bad 2 16" xfId="2403"/>
    <cellStyle name="Bad 2 17" xfId="2404"/>
    <cellStyle name="Bad 2 18" xfId="2405"/>
    <cellStyle name="Bad 2 19" xfId="2406"/>
    <cellStyle name="Bad 2 2" xfId="2407"/>
    <cellStyle name="Bad 2 2 2" xfId="2408"/>
    <cellStyle name="Bad 2 2 2 2" xfId="2409"/>
    <cellStyle name="Bad 2 2 2 2 2" xfId="2410"/>
    <cellStyle name="Bad 2 2 2 3" xfId="2411"/>
    <cellStyle name="Bad 2 2 2 4" xfId="2412"/>
    <cellStyle name="Bad 2 2 3" xfId="2413"/>
    <cellStyle name="Bad 2 2 3 2" xfId="2414"/>
    <cellStyle name="Bad 2 2 3 2 2" xfId="2415"/>
    <cellStyle name="Bad 2 2 4" xfId="2416"/>
    <cellStyle name="Bad 2 2 5" xfId="2417"/>
    <cellStyle name="Bad 2 2 6" xfId="2418"/>
    <cellStyle name="Bad 2 2 6 2" xfId="2419"/>
    <cellStyle name="Bad 2 20" xfId="2420"/>
    <cellStyle name="Bad 2 21" xfId="2421"/>
    <cellStyle name="Bad 2 22" xfId="2422"/>
    <cellStyle name="Bad 2 23" xfId="2423"/>
    <cellStyle name="Bad 2 24" xfId="2424"/>
    <cellStyle name="Bad 2 25" xfId="2425"/>
    <cellStyle name="Bad 2 26" xfId="2426"/>
    <cellStyle name="Bad 2 27" xfId="2427"/>
    <cellStyle name="Bad 2 28" xfId="2428"/>
    <cellStyle name="Bad 2 29" xfId="2429"/>
    <cellStyle name="Bad 2 3" xfId="2430"/>
    <cellStyle name="Bad 2 30" xfId="2431"/>
    <cellStyle name="Bad 2 31" xfId="2432"/>
    <cellStyle name="Bad 2 32" xfId="2433"/>
    <cellStyle name="Bad 2 33" xfId="2434"/>
    <cellStyle name="Bad 2 34" xfId="2435"/>
    <cellStyle name="Bad 2 35" xfId="2436"/>
    <cellStyle name="Bad 2 36" xfId="2437"/>
    <cellStyle name="Bad 2 37" xfId="2438"/>
    <cellStyle name="Bad 2 38" xfId="2439"/>
    <cellStyle name="Bad 2 39" xfId="2440"/>
    <cellStyle name="Bad 2 4" xfId="2441"/>
    <cellStyle name="Bad 2 4 2" xfId="2442"/>
    <cellStyle name="Bad 2 4 2 2" xfId="2443"/>
    <cellStyle name="Bad 2 40" xfId="2444"/>
    <cellStyle name="Bad 2 41" xfId="2445"/>
    <cellStyle name="Bad 2 42" xfId="2446"/>
    <cellStyle name="Bad 2 43" xfId="2447"/>
    <cellStyle name="Bad 2 44" xfId="2448"/>
    <cellStyle name="Bad 2 45" xfId="2449"/>
    <cellStyle name="Bad 2 46" xfId="2450"/>
    <cellStyle name="Bad 2 47" xfId="2451"/>
    <cellStyle name="Bad 2 48" xfId="2452"/>
    <cellStyle name="Bad 2 49" xfId="2453"/>
    <cellStyle name="Bad 2 5" xfId="2454"/>
    <cellStyle name="Bad 2 5 2" xfId="2455"/>
    <cellStyle name="Bad 2 5 2 2" xfId="2456"/>
    <cellStyle name="Bad 2 50" xfId="2457"/>
    <cellStyle name="Bad 2 51" xfId="2458"/>
    <cellStyle name="Bad 2 52" xfId="2459"/>
    <cellStyle name="Bad 2 53" xfId="2460"/>
    <cellStyle name="Bad 2 54" xfId="2461"/>
    <cellStyle name="Bad 2 55" xfId="2462"/>
    <cellStyle name="Bad 2 56" xfId="2463"/>
    <cellStyle name="Bad 2 57" xfId="2464"/>
    <cellStyle name="Bad 2 58" xfId="2465"/>
    <cellStyle name="Bad 2 59" xfId="2466"/>
    <cellStyle name="Bad 2 6" xfId="2467"/>
    <cellStyle name="Bad 2 60" xfId="2468"/>
    <cellStyle name="Bad 2 61" xfId="2469"/>
    <cellStyle name="Bad 2 62" xfId="2470"/>
    <cellStyle name="Bad 2 63" xfId="2471"/>
    <cellStyle name="Bad 2 7" xfId="2472"/>
    <cellStyle name="Bad 2 8" xfId="2473"/>
    <cellStyle name="Bad 2 9" xfId="2474"/>
    <cellStyle name="Bad 3" xfId="2475"/>
    <cellStyle name="Bad 3 10" xfId="2476"/>
    <cellStyle name="Bad 3 11" xfId="2477"/>
    <cellStyle name="Bad 3 12" xfId="2478"/>
    <cellStyle name="Bad 3 13" xfId="2479"/>
    <cellStyle name="Bad 3 14" xfId="2480"/>
    <cellStyle name="Bad 3 2" xfId="2481"/>
    <cellStyle name="Bad 3 3" xfId="2482"/>
    <cellStyle name="Bad 3 4" xfId="2483"/>
    <cellStyle name="Bad 3 5" xfId="2484"/>
    <cellStyle name="Bad 3 6" xfId="2485"/>
    <cellStyle name="Bad 3 7" xfId="2486"/>
    <cellStyle name="Bad 3 8" xfId="2487"/>
    <cellStyle name="Bad 3 9" xfId="2488"/>
    <cellStyle name="Bad 4" xfId="2489"/>
    <cellStyle name="Bad 4 2" xfId="2490"/>
    <cellStyle name="Bad 4 3" xfId="2491"/>
    <cellStyle name="Bad 5" xfId="2492"/>
    <cellStyle name="Bad 6" xfId="2493"/>
    <cellStyle name="Bad 7" xfId="2494"/>
    <cellStyle name="Bad 8" xfId="2495"/>
    <cellStyle name="Band 1" xfId="2496"/>
    <cellStyle name="Band 2" xfId="2497"/>
    <cellStyle name="billion" xfId="2498"/>
    <cellStyle name="blank" xfId="2499"/>
    <cellStyle name="BlankCellReferenced" xfId="2500"/>
    <cellStyle name="BlankCellReferenced 2" xfId="6116"/>
    <cellStyle name="blue axis cells" xfId="2501"/>
    <cellStyle name="Blue Percent" xfId="2502"/>
    <cellStyle name="blue text cells" xfId="2503"/>
    <cellStyle name="BMHeading" xfId="2504"/>
    <cellStyle name="BMPercent" xfId="2505"/>
    <cellStyle name="Body" xfId="2506"/>
    <cellStyle name="Bold/Border" xfId="2507"/>
    <cellStyle name="BooleanYorN" xfId="2508"/>
    <cellStyle name="bp--" xfId="2509"/>
    <cellStyle name="brakcomma" xfId="2510"/>
    <cellStyle name="Brand Default" xfId="2511"/>
    <cellStyle name="Brand Source" xfId="2512"/>
    <cellStyle name="Brand Subtitle with Underline" xfId="2513"/>
    <cellStyle name="Brand Title" xfId="2514"/>
    <cellStyle name="Bullet" xfId="2515"/>
    <cellStyle name="c" xfId="2516"/>
    <cellStyle name="c_Bal Sheets" xfId="2517"/>
    <cellStyle name="c_Credit (2)" xfId="2518"/>
    <cellStyle name="c_Earnings" xfId="2519"/>
    <cellStyle name="c_Earnings (2)" xfId="2520"/>
    <cellStyle name="c_finsumm" xfId="2521"/>
    <cellStyle name="c_GoroWipTax-to2050_fromCo_Oct21_99" xfId="2522"/>
    <cellStyle name="c_HardInc " xfId="2523"/>
    <cellStyle name="c_Hist Inputs (2)" xfId="2524"/>
    <cellStyle name="c_IEL_finsumm" xfId="2525"/>
    <cellStyle name="c_IEL_finsumm1" xfId="2526"/>
    <cellStyle name="c_LBO Summary" xfId="2527"/>
    <cellStyle name="c_Schedules" xfId="2528"/>
    <cellStyle name="c_Trans Assump (2)" xfId="2529"/>
    <cellStyle name="c_Unit Price Sen. (2)" xfId="2530"/>
    <cellStyle name="Ç¥ÁØ_¿ù°£¿ä¾àº¸°í" xfId="2531"/>
    <cellStyle name="CALC Amount" xfId="2532"/>
    <cellStyle name="CALC Amount [1]" xfId="2533"/>
    <cellStyle name="CALC Amount [2]" xfId="2534"/>
    <cellStyle name="CALC Amount Total" xfId="2535"/>
    <cellStyle name="CALC Amount Total [1]" xfId="2536"/>
    <cellStyle name="CALC Amount Total [1] 2" xfId="2537"/>
    <cellStyle name="CALC Amount Total [2]" xfId="2538"/>
    <cellStyle name="CALC Amount Total [2] 2" xfId="2539"/>
    <cellStyle name="CALC Amount Total 2" xfId="2540"/>
    <cellStyle name="CALC Currency" xfId="2541"/>
    <cellStyle name="Calc Currency (0)" xfId="2542"/>
    <cellStyle name="CALC Currency [1]" xfId="2543"/>
    <cellStyle name="CALC Currency [2]" xfId="2544"/>
    <cellStyle name="CALC Currency Total" xfId="2545"/>
    <cellStyle name="CALC Currency Total [1]" xfId="2546"/>
    <cellStyle name="CALC Currency Total [1] 2" xfId="2547"/>
    <cellStyle name="CALC Currency Total [2]" xfId="2548"/>
    <cellStyle name="CALC Currency Total [2] 2" xfId="2549"/>
    <cellStyle name="CALC Currency Total 2" xfId="2550"/>
    <cellStyle name="CALC Date Long" xfId="2551"/>
    <cellStyle name="CALC Date Short" xfId="2552"/>
    <cellStyle name="CALC Percent" xfId="2553"/>
    <cellStyle name="CALC Percent [1]" xfId="2554"/>
    <cellStyle name="CALC Percent [2]" xfId="2555"/>
    <cellStyle name="CALC Percent Total" xfId="2556"/>
    <cellStyle name="CALC Percent Total [1]" xfId="2557"/>
    <cellStyle name="CALC Percent Total [1] 2" xfId="2558"/>
    <cellStyle name="CALC Percent Total [2]" xfId="2559"/>
    <cellStyle name="CALC Percent Total [2] 2" xfId="2560"/>
    <cellStyle name="CALC Percent Total 2" xfId="2561"/>
    <cellStyle name="Calc0" xfId="2562"/>
    <cellStyle name="Calc1" xfId="2563"/>
    <cellStyle name="Calc2" xfId="2564"/>
    <cellStyle name="Calc4" xfId="2565"/>
    <cellStyle name="CalcInput" xfId="2566"/>
    <cellStyle name="Calcs" xfId="2567"/>
    <cellStyle name="Calculation 2" xfId="2568"/>
    <cellStyle name="Calculation 2 10" xfId="2569"/>
    <cellStyle name="Calculation 2 10 2" xfId="6114"/>
    <cellStyle name="Calculation 2 11" xfId="2570"/>
    <cellStyle name="Calculation 2 11 2" xfId="6113"/>
    <cellStyle name="Calculation 2 12" xfId="2571"/>
    <cellStyle name="Calculation 2 12 2" xfId="6112"/>
    <cellStyle name="Calculation 2 13" xfId="2572"/>
    <cellStyle name="Calculation 2 13 2" xfId="6111"/>
    <cellStyle name="Calculation 2 14" xfId="2573"/>
    <cellStyle name="Calculation 2 14 2" xfId="6110"/>
    <cellStyle name="Calculation 2 15" xfId="2574"/>
    <cellStyle name="Calculation 2 15 2" xfId="6109"/>
    <cellStyle name="Calculation 2 16" xfId="2575"/>
    <cellStyle name="Calculation 2 16 2" xfId="6108"/>
    <cellStyle name="Calculation 2 17" xfId="2576"/>
    <cellStyle name="Calculation 2 17 2" xfId="6107"/>
    <cellStyle name="Calculation 2 18" xfId="2577"/>
    <cellStyle name="Calculation 2 18 2" xfId="6106"/>
    <cellStyle name="Calculation 2 19" xfId="2578"/>
    <cellStyle name="Calculation 2 19 2" xfId="6105"/>
    <cellStyle name="Calculation 2 2" xfId="2579"/>
    <cellStyle name="Calculation 2 2 10" xfId="2580"/>
    <cellStyle name="Calculation 2 2 10 2" xfId="6103"/>
    <cellStyle name="Calculation 2 2 11" xfId="2581"/>
    <cellStyle name="Calculation 2 2 11 2" xfId="6102"/>
    <cellStyle name="Calculation 2 2 12" xfId="2582"/>
    <cellStyle name="Calculation 2 2 12 2" xfId="6101"/>
    <cellStyle name="Calculation 2 2 13" xfId="2583"/>
    <cellStyle name="Calculation 2 2 13 2" xfId="6100"/>
    <cellStyle name="Calculation 2 2 14" xfId="2584"/>
    <cellStyle name="Calculation 2 2 14 2" xfId="6099"/>
    <cellStyle name="Calculation 2 2 15" xfId="2585"/>
    <cellStyle name="Calculation 2 2 15 2" xfId="6098"/>
    <cellStyle name="Calculation 2 2 16" xfId="2586"/>
    <cellStyle name="Calculation 2 2 16 2" xfId="6097"/>
    <cellStyle name="Calculation 2 2 17" xfId="2587"/>
    <cellStyle name="Calculation 2 2 17 2" xfId="6096"/>
    <cellStyle name="Calculation 2 2 18" xfId="2588"/>
    <cellStyle name="Calculation 2 2 18 2" xfId="6095"/>
    <cellStyle name="Calculation 2 2 19" xfId="2589"/>
    <cellStyle name="Calculation 2 2 19 2" xfId="6094"/>
    <cellStyle name="Calculation 2 2 2" xfId="2590"/>
    <cellStyle name="Calculation 2 2 2 2" xfId="6093"/>
    <cellStyle name="Calculation 2 2 20" xfId="2591"/>
    <cellStyle name="Calculation 2 2 20 2" xfId="6092"/>
    <cellStyle name="Calculation 2 2 21" xfId="2592"/>
    <cellStyle name="Calculation 2 2 21 2" xfId="6091"/>
    <cellStyle name="Calculation 2 2 22" xfId="2593"/>
    <cellStyle name="Calculation 2 2 22 2" xfId="6090"/>
    <cellStyle name="Calculation 2 2 23" xfId="2594"/>
    <cellStyle name="Calculation 2 2 23 2" xfId="6089"/>
    <cellStyle name="Calculation 2 2 24" xfId="2595"/>
    <cellStyle name="Calculation 2 2 24 2" xfId="6088"/>
    <cellStyle name="Calculation 2 2 25" xfId="2596"/>
    <cellStyle name="Calculation 2 2 25 2" xfId="6087"/>
    <cellStyle name="Calculation 2 2 26" xfId="2597"/>
    <cellStyle name="Calculation 2 2 26 2" xfId="6086"/>
    <cellStyle name="Calculation 2 2 27" xfId="2598"/>
    <cellStyle name="Calculation 2 2 27 2" xfId="6085"/>
    <cellStyle name="Calculation 2 2 28" xfId="2599"/>
    <cellStyle name="Calculation 2 2 28 2" xfId="6084"/>
    <cellStyle name="Calculation 2 2 29" xfId="2600"/>
    <cellStyle name="Calculation 2 2 29 2" xfId="6083"/>
    <cellStyle name="Calculation 2 2 3" xfId="2601"/>
    <cellStyle name="Calculation 2 2 3 2" xfId="6082"/>
    <cellStyle name="Calculation 2 2 30" xfId="2602"/>
    <cellStyle name="Calculation 2 2 30 2" xfId="6081"/>
    <cellStyle name="Calculation 2 2 31" xfId="2603"/>
    <cellStyle name="Calculation 2 2 31 2" xfId="6080"/>
    <cellStyle name="Calculation 2 2 32" xfId="2604"/>
    <cellStyle name="Calculation 2 2 32 2" xfId="6079"/>
    <cellStyle name="Calculation 2 2 33" xfId="6104"/>
    <cellStyle name="Calculation 2 2 4" xfId="2605"/>
    <cellStyle name="Calculation 2 2 4 2" xfId="6078"/>
    <cellStyle name="Calculation 2 2 5" xfId="2606"/>
    <cellStyle name="Calculation 2 2 5 2" xfId="6077"/>
    <cellStyle name="Calculation 2 2 6" xfId="2607"/>
    <cellStyle name="Calculation 2 2 6 2" xfId="6076"/>
    <cellStyle name="Calculation 2 2 7" xfId="2608"/>
    <cellStyle name="Calculation 2 2 7 2" xfId="6075"/>
    <cellStyle name="Calculation 2 2 8" xfId="2609"/>
    <cellStyle name="Calculation 2 2 8 2" xfId="6074"/>
    <cellStyle name="Calculation 2 2 9" xfId="2610"/>
    <cellStyle name="Calculation 2 2 9 2" xfId="6073"/>
    <cellStyle name="Calculation 2 20" xfId="2611"/>
    <cellStyle name="Calculation 2 20 2" xfId="6072"/>
    <cellStyle name="Calculation 2 21" xfId="2612"/>
    <cellStyle name="Calculation 2 21 2" xfId="6071"/>
    <cellStyle name="Calculation 2 22" xfId="2613"/>
    <cellStyle name="Calculation 2 22 2" xfId="6070"/>
    <cellStyle name="Calculation 2 23" xfId="2614"/>
    <cellStyle name="Calculation 2 23 2" xfId="6069"/>
    <cellStyle name="Calculation 2 24" xfId="2615"/>
    <cellStyle name="Calculation 2 24 2" xfId="6068"/>
    <cellStyle name="Calculation 2 25" xfId="2616"/>
    <cellStyle name="Calculation 2 25 2" xfId="6067"/>
    <cellStyle name="Calculation 2 26" xfId="2617"/>
    <cellStyle name="Calculation 2 26 2" xfId="6066"/>
    <cellStyle name="Calculation 2 27" xfId="2618"/>
    <cellStyle name="Calculation 2 27 2" xfId="6065"/>
    <cellStyle name="Calculation 2 28" xfId="2619"/>
    <cellStyle name="Calculation 2 28 2" xfId="6064"/>
    <cellStyle name="Calculation 2 29" xfId="2620"/>
    <cellStyle name="Calculation 2 29 2" xfId="6063"/>
    <cellStyle name="Calculation 2 3" xfId="2621"/>
    <cellStyle name="Calculation 2 3 10" xfId="2622"/>
    <cellStyle name="Calculation 2 3 10 2" xfId="6061"/>
    <cellStyle name="Calculation 2 3 11" xfId="2623"/>
    <cellStyle name="Calculation 2 3 11 2" xfId="6060"/>
    <cellStyle name="Calculation 2 3 12" xfId="2624"/>
    <cellStyle name="Calculation 2 3 12 2" xfId="6059"/>
    <cellStyle name="Calculation 2 3 13" xfId="2625"/>
    <cellStyle name="Calculation 2 3 13 2" xfId="6058"/>
    <cellStyle name="Calculation 2 3 14" xfId="2626"/>
    <cellStyle name="Calculation 2 3 14 2" xfId="6057"/>
    <cellStyle name="Calculation 2 3 15" xfId="2627"/>
    <cellStyle name="Calculation 2 3 15 2" xfId="6056"/>
    <cellStyle name="Calculation 2 3 16" xfId="2628"/>
    <cellStyle name="Calculation 2 3 16 2" xfId="6055"/>
    <cellStyle name="Calculation 2 3 17" xfId="2629"/>
    <cellStyle name="Calculation 2 3 17 2" xfId="6054"/>
    <cellStyle name="Calculation 2 3 18" xfId="2630"/>
    <cellStyle name="Calculation 2 3 18 2" xfId="6053"/>
    <cellStyle name="Calculation 2 3 19" xfId="2631"/>
    <cellStyle name="Calculation 2 3 19 2" xfId="6052"/>
    <cellStyle name="Calculation 2 3 2" xfId="2632"/>
    <cellStyle name="Calculation 2 3 2 2" xfId="6051"/>
    <cellStyle name="Calculation 2 3 20" xfId="2633"/>
    <cellStyle name="Calculation 2 3 20 2" xfId="6050"/>
    <cellStyle name="Calculation 2 3 21" xfId="2634"/>
    <cellStyle name="Calculation 2 3 21 2" xfId="6049"/>
    <cellStyle name="Calculation 2 3 22" xfId="2635"/>
    <cellStyle name="Calculation 2 3 22 2" xfId="6048"/>
    <cellStyle name="Calculation 2 3 23" xfId="2636"/>
    <cellStyle name="Calculation 2 3 23 2" xfId="6047"/>
    <cellStyle name="Calculation 2 3 24" xfId="2637"/>
    <cellStyle name="Calculation 2 3 24 2" xfId="6046"/>
    <cellStyle name="Calculation 2 3 25" xfId="2638"/>
    <cellStyle name="Calculation 2 3 25 2" xfId="6045"/>
    <cellStyle name="Calculation 2 3 26" xfId="2639"/>
    <cellStyle name="Calculation 2 3 26 2" xfId="6044"/>
    <cellStyle name="Calculation 2 3 27" xfId="2640"/>
    <cellStyle name="Calculation 2 3 27 2" xfId="6043"/>
    <cellStyle name="Calculation 2 3 28" xfId="2641"/>
    <cellStyle name="Calculation 2 3 28 2" xfId="6042"/>
    <cellStyle name="Calculation 2 3 29" xfId="2642"/>
    <cellStyle name="Calculation 2 3 29 2" xfId="6041"/>
    <cellStyle name="Calculation 2 3 3" xfId="2643"/>
    <cellStyle name="Calculation 2 3 3 2" xfId="6040"/>
    <cellStyle name="Calculation 2 3 30" xfId="2644"/>
    <cellStyle name="Calculation 2 3 30 2" xfId="6039"/>
    <cellStyle name="Calculation 2 3 31" xfId="2645"/>
    <cellStyle name="Calculation 2 3 31 2" xfId="6038"/>
    <cellStyle name="Calculation 2 3 32" xfId="2646"/>
    <cellStyle name="Calculation 2 3 32 2" xfId="6037"/>
    <cellStyle name="Calculation 2 3 33" xfId="6062"/>
    <cellStyle name="Calculation 2 3 4" xfId="2647"/>
    <cellStyle name="Calculation 2 3 4 2" xfId="6036"/>
    <cellStyle name="Calculation 2 3 5" xfId="2648"/>
    <cellStyle name="Calculation 2 3 5 2" xfId="6035"/>
    <cellStyle name="Calculation 2 3 6" xfId="2649"/>
    <cellStyle name="Calculation 2 3 6 2" xfId="6034"/>
    <cellStyle name="Calculation 2 3 7" xfId="2650"/>
    <cellStyle name="Calculation 2 3 7 2" xfId="6033"/>
    <cellStyle name="Calculation 2 3 8" xfId="2651"/>
    <cellStyle name="Calculation 2 3 8 2" xfId="6032"/>
    <cellStyle name="Calculation 2 3 9" xfId="2652"/>
    <cellStyle name="Calculation 2 3 9 2" xfId="6031"/>
    <cellStyle name="Calculation 2 30" xfId="2653"/>
    <cellStyle name="Calculation 2 30 2" xfId="6030"/>
    <cellStyle name="Calculation 2 31" xfId="2654"/>
    <cellStyle name="Calculation 2 31 2" xfId="6029"/>
    <cellStyle name="Calculation 2 32" xfId="2655"/>
    <cellStyle name="Calculation 2 32 2" xfId="6028"/>
    <cellStyle name="Calculation 2 33" xfId="2656"/>
    <cellStyle name="Calculation 2 33 2" xfId="6027"/>
    <cellStyle name="Calculation 2 34" xfId="2657"/>
    <cellStyle name="Calculation 2 34 2" xfId="6026"/>
    <cellStyle name="Calculation 2 35" xfId="2658"/>
    <cellStyle name="Calculation 2 35 2" xfId="6025"/>
    <cellStyle name="Calculation 2 36" xfId="2659"/>
    <cellStyle name="Calculation 2 36 2" xfId="6024"/>
    <cellStyle name="Calculation 2 37" xfId="6115"/>
    <cellStyle name="Calculation 2 4" xfId="2660"/>
    <cellStyle name="Calculation 2 4 10" xfId="2661"/>
    <cellStyle name="Calculation 2 4 10 2" xfId="6022"/>
    <cellStyle name="Calculation 2 4 11" xfId="2662"/>
    <cellStyle name="Calculation 2 4 11 2" xfId="6021"/>
    <cellStyle name="Calculation 2 4 12" xfId="2663"/>
    <cellStyle name="Calculation 2 4 12 2" xfId="6020"/>
    <cellStyle name="Calculation 2 4 13" xfId="2664"/>
    <cellStyle name="Calculation 2 4 13 2" xfId="6019"/>
    <cellStyle name="Calculation 2 4 14" xfId="2665"/>
    <cellStyle name="Calculation 2 4 14 2" xfId="6018"/>
    <cellStyle name="Calculation 2 4 15" xfId="2666"/>
    <cellStyle name="Calculation 2 4 15 2" xfId="6017"/>
    <cellStyle name="Calculation 2 4 16" xfId="2667"/>
    <cellStyle name="Calculation 2 4 16 2" xfId="6016"/>
    <cellStyle name="Calculation 2 4 17" xfId="2668"/>
    <cellStyle name="Calculation 2 4 17 2" xfId="6015"/>
    <cellStyle name="Calculation 2 4 18" xfId="2669"/>
    <cellStyle name="Calculation 2 4 18 2" xfId="6014"/>
    <cellStyle name="Calculation 2 4 19" xfId="2670"/>
    <cellStyle name="Calculation 2 4 19 2" xfId="6013"/>
    <cellStyle name="Calculation 2 4 2" xfId="2671"/>
    <cellStyle name="Calculation 2 4 2 2" xfId="6012"/>
    <cellStyle name="Calculation 2 4 20" xfId="2672"/>
    <cellStyle name="Calculation 2 4 20 2" xfId="6011"/>
    <cellStyle name="Calculation 2 4 21" xfId="2673"/>
    <cellStyle name="Calculation 2 4 21 2" xfId="6010"/>
    <cellStyle name="Calculation 2 4 22" xfId="2674"/>
    <cellStyle name="Calculation 2 4 22 2" xfId="6009"/>
    <cellStyle name="Calculation 2 4 23" xfId="2675"/>
    <cellStyle name="Calculation 2 4 23 2" xfId="6008"/>
    <cellStyle name="Calculation 2 4 24" xfId="2676"/>
    <cellStyle name="Calculation 2 4 24 2" xfId="6007"/>
    <cellStyle name="Calculation 2 4 25" xfId="2677"/>
    <cellStyle name="Calculation 2 4 25 2" xfId="6006"/>
    <cellStyle name="Calculation 2 4 26" xfId="2678"/>
    <cellStyle name="Calculation 2 4 26 2" xfId="6005"/>
    <cellStyle name="Calculation 2 4 27" xfId="2679"/>
    <cellStyle name="Calculation 2 4 27 2" xfId="6004"/>
    <cellStyle name="Calculation 2 4 28" xfId="2680"/>
    <cellStyle name="Calculation 2 4 28 2" xfId="6003"/>
    <cellStyle name="Calculation 2 4 29" xfId="2681"/>
    <cellStyle name="Calculation 2 4 29 2" xfId="6002"/>
    <cellStyle name="Calculation 2 4 3" xfId="2682"/>
    <cellStyle name="Calculation 2 4 3 2" xfId="6001"/>
    <cellStyle name="Calculation 2 4 30" xfId="2683"/>
    <cellStyle name="Calculation 2 4 30 2" xfId="6000"/>
    <cellStyle name="Calculation 2 4 31" xfId="2684"/>
    <cellStyle name="Calculation 2 4 31 2" xfId="5999"/>
    <cellStyle name="Calculation 2 4 32" xfId="2685"/>
    <cellStyle name="Calculation 2 4 32 2" xfId="5998"/>
    <cellStyle name="Calculation 2 4 33" xfId="6023"/>
    <cellStyle name="Calculation 2 4 4" xfId="2686"/>
    <cellStyle name="Calculation 2 4 4 2" xfId="5997"/>
    <cellStyle name="Calculation 2 4 5" xfId="2687"/>
    <cellStyle name="Calculation 2 4 5 2" xfId="5996"/>
    <cellStyle name="Calculation 2 4 6" xfId="2688"/>
    <cellStyle name="Calculation 2 4 6 2" xfId="5995"/>
    <cellStyle name="Calculation 2 4 7" xfId="2689"/>
    <cellStyle name="Calculation 2 4 7 2" xfId="5994"/>
    <cellStyle name="Calculation 2 4 8" xfId="2690"/>
    <cellStyle name="Calculation 2 4 8 2" xfId="5993"/>
    <cellStyle name="Calculation 2 4 9" xfId="2691"/>
    <cellStyle name="Calculation 2 4 9 2" xfId="5992"/>
    <cellStyle name="Calculation 2 5" xfId="2692"/>
    <cellStyle name="Calculation 2 5 10" xfId="2693"/>
    <cellStyle name="Calculation 2 5 10 2" xfId="5990"/>
    <cellStyle name="Calculation 2 5 11" xfId="2694"/>
    <cellStyle name="Calculation 2 5 11 2" xfId="5989"/>
    <cellStyle name="Calculation 2 5 12" xfId="2695"/>
    <cellStyle name="Calculation 2 5 12 2" xfId="5988"/>
    <cellStyle name="Calculation 2 5 13" xfId="2696"/>
    <cellStyle name="Calculation 2 5 13 2" xfId="5987"/>
    <cellStyle name="Calculation 2 5 14" xfId="2697"/>
    <cellStyle name="Calculation 2 5 14 2" xfId="5986"/>
    <cellStyle name="Calculation 2 5 15" xfId="2698"/>
    <cellStyle name="Calculation 2 5 15 2" xfId="5985"/>
    <cellStyle name="Calculation 2 5 16" xfId="2699"/>
    <cellStyle name="Calculation 2 5 16 2" xfId="5984"/>
    <cellStyle name="Calculation 2 5 17" xfId="2700"/>
    <cellStyle name="Calculation 2 5 17 2" xfId="5983"/>
    <cellStyle name="Calculation 2 5 18" xfId="2701"/>
    <cellStyle name="Calculation 2 5 18 2" xfId="5982"/>
    <cellStyle name="Calculation 2 5 19" xfId="2702"/>
    <cellStyle name="Calculation 2 5 19 2" xfId="5981"/>
    <cellStyle name="Calculation 2 5 2" xfId="2703"/>
    <cellStyle name="Calculation 2 5 2 2" xfId="5980"/>
    <cellStyle name="Calculation 2 5 20" xfId="2704"/>
    <cellStyle name="Calculation 2 5 20 2" xfId="5979"/>
    <cellStyle name="Calculation 2 5 21" xfId="2705"/>
    <cellStyle name="Calculation 2 5 21 2" xfId="5978"/>
    <cellStyle name="Calculation 2 5 22" xfId="2706"/>
    <cellStyle name="Calculation 2 5 22 2" xfId="5977"/>
    <cellStyle name="Calculation 2 5 23" xfId="2707"/>
    <cellStyle name="Calculation 2 5 23 2" xfId="5976"/>
    <cellStyle name="Calculation 2 5 24" xfId="2708"/>
    <cellStyle name="Calculation 2 5 24 2" xfId="5975"/>
    <cellStyle name="Calculation 2 5 25" xfId="2709"/>
    <cellStyle name="Calculation 2 5 25 2" xfId="5974"/>
    <cellStyle name="Calculation 2 5 26" xfId="2710"/>
    <cellStyle name="Calculation 2 5 26 2" xfId="5973"/>
    <cellStyle name="Calculation 2 5 27" xfId="2711"/>
    <cellStyle name="Calculation 2 5 27 2" xfId="5972"/>
    <cellStyle name="Calculation 2 5 28" xfId="2712"/>
    <cellStyle name="Calculation 2 5 28 2" xfId="5971"/>
    <cellStyle name="Calculation 2 5 29" xfId="2713"/>
    <cellStyle name="Calculation 2 5 29 2" xfId="5970"/>
    <cellStyle name="Calculation 2 5 3" xfId="2714"/>
    <cellStyle name="Calculation 2 5 3 2" xfId="5969"/>
    <cellStyle name="Calculation 2 5 30" xfId="2715"/>
    <cellStyle name="Calculation 2 5 30 2" xfId="5968"/>
    <cellStyle name="Calculation 2 5 31" xfId="2716"/>
    <cellStyle name="Calculation 2 5 31 2" xfId="5967"/>
    <cellStyle name="Calculation 2 5 32" xfId="2717"/>
    <cellStyle name="Calculation 2 5 32 2" xfId="5966"/>
    <cellStyle name="Calculation 2 5 33" xfId="5991"/>
    <cellStyle name="Calculation 2 5 4" xfId="2718"/>
    <cellStyle name="Calculation 2 5 4 2" xfId="5965"/>
    <cellStyle name="Calculation 2 5 5" xfId="2719"/>
    <cellStyle name="Calculation 2 5 5 2" xfId="5964"/>
    <cellStyle name="Calculation 2 5 6" xfId="2720"/>
    <cellStyle name="Calculation 2 5 6 2" xfId="5963"/>
    <cellStyle name="Calculation 2 5 7" xfId="2721"/>
    <cellStyle name="Calculation 2 5 7 2" xfId="5962"/>
    <cellStyle name="Calculation 2 5 8" xfId="2722"/>
    <cellStyle name="Calculation 2 5 8 2" xfId="5961"/>
    <cellStyle name="Calculation 2 5 9" xfId="2723"/>
    <cellStyle name="Calculation 2 5 9 2" xfId="5960"/>
    <cellStyle name="Calculation 2 6" xfId="2724"/>
    <cellStyle name="Calculation 2 6 2" xfId="5959"/>
    <cellStyle name="Calculation 2 7" xfId="2725"/>
    <cellStyle name="Calculation 2 7 2" xfId="5958"/>
    <cellStyle name="Calculation 2 8" xfId="2726"/>
    <cellStyle name="Calculation 2 8 2" xfId="5957"/>
    <cellStyle name="Calculation 2 9" xfId="2727"/>
    <cellStyle name="Calculation 2 9 2" xfId="5956"/>
    <cellStyle name="Calculation 3" xfId="2728"/>
    <cellStyle name="Calculation 3 2" xfId="5955"/>
    <cellStyle name="CalculationDate" xfId="2729"/>
    <cellStyle name="CalculationDate 2" xfId="5954"/>
    <cellStyle name="Cash (0dp)" xfId="2730"/>
    <cellStyle name="Cash (0dp+NZ)" xfId="2731"/>
    <cellStyle name="Cash (2dp)" xfId="2732"/>
    <cellStyle name="Cash (2dp+NZ)" xfId="2733"/>
    <cellStyle name="Check" xfId="2734"/>
    <cellStyle name="Check Cell 2" xfId="2735"/>
    <cellStyle name="Check Cell 3" xfId="2736"/>
    <cellStyle name="ColBlue" xfId="2737"/>
    <cellStyle name="ColGreen" xfId="2738"/>
    <cellStyle name="ColRed" xfId="2739"/>
    <cellStyle name="column Head Underlined" xfId="2740"/>
    <cellStyle name="Column Heading" xfId="2741"/>
    <cellStyle name="ColumnHeading" xfId="2742"/>
    <cellStyle name="ColumnHeadings" xfId="2743"/>
    <cellStyle name="ColumnHeadings2" xfId="2744"/>
    <cellStyle name="Comma" xfId="1" builtinId="3"/>
    <cellStyle name="Comma  - Style1" xfId="2745"/>
    <cellStyle name="Comma  - Style2" xfId="2746"/>
    <cellStyle name="Comma  - Style3" xfId="2747"/>
    <cellStyle name="Comma  - Style4" xfId="2748"/>
    <cellStyle name="Comma  - Style5" xfId="2749"/>
    <cellStyle name="Comma  - Style6" xfId="2750"/>
    <cellStyle name="Comma  - Style7" xfId="2751"/>
    <cellStyle name="Comma  - Style8" xfId="2752"/>
    <cellStyle name="Comma (0)" xfId="2753"/>
    <cellStyle name="Comma (0dp)" xfId="2754"/>
    <cellStyle name="Comma (0dp+NZ)" xfId="2755"/>
    <cellStyle name="Comma (1)" xfId="2756"/>
    <cellStyle name="Comma (2)" xfId="2757"/>
    <cellStyle name="Comma (2dp)" xfId="2758"/>
    <cellStyle name="Comma (2dp) Dashed" xfId="2759"/>
    <cellStyle name="Comma (2dp) Nil" xfId="2760"/>
    <cellStyle name="Comma (2dp)_Budget Est Oct 03" xfId="2761"/>
    <cellStyle name="Comma (2dp+NZ)" xfId="2762"/>
    <cellStyle name="Comma (nz)" xfId="2763"/>
    <cellStyle name="Comma [1]" xfId="2764"/>
    <cellStyle name="Comma [2]" xfId="2765"/>
    <cellStyle name="Comma [3]" xfId="2766"/>
    <cellStyle name="Comma 0" xfId="2767"/>
    <cellStyle name="Comma 0*" xfId="2768"/>
    <cellStyle name="Comma 0_Model_Sep_2_02" xfId="2769"/>
    <cellStyle name="Comma 10" xfId="2770"/>
    <cellStyle name="Comma 10 2" xfId="10278"/>
    <cellStyle name="Comma 11" xfId="2771"/>
    <cellStyle name="Comma 11 2" xfId="10279"/>
    <cellStyle name="Comma 12" xfId="2772"/>
    <cellStyle name="Comma 12 2" xfId="10280"/>
    <cellStyle name="Comma 13" xfId="2773"/>
    <cellStyle name="Comma 13 2" xfId="10281"/>
    <cellStyle name="Comma 14" xfId="2774"/>
    <cellStyle name="Comma 14 2" xfId="10282"/>
    <cellStyle name="Comma 15" xfId="2775"/>
    <cellStyle name="Comma 15 2" xfId="10283"/>
    <cellStyle name="Comma 16" xfId="2776"/>
    <cellStyle name="Comma 16 2" xfId="10284"/>
    <cellStyle name="Comma 17" xfId="2777"/>
    <cellStyle name="Comma 17 2" xfId="10285"/>
    <cellStyle name="Comma 18" xfId="2778"/>
    <cellStyle name="Comma 18 2" xfId="10286"/>
    <cellStyle name="Comma 19" xfId="2779"/>
    <cellStyle name="Comma 19 10" xfId="6213"/>
    <cellStyle name="Comma 19 10 2" xfId="12938"/>
    <cellStyle name="Comma 19 11" xfId="10287"/>
    <cellStyle name="Comma 19 2" xfId="2780"/>
    <cellStyle name="Comma 19 2 10" xfId="10288"/>
    <cellStyle name="Comma 19 2 2" xfId="2781"/>
    <cellStyle name="Comma 19 2 2 2" xfId="4481"/>
    <cellStyle name="Comma 19 2 2 2 2" xfId="4852"/>
    <cellStyle name="Comma 19 2 2 2 2 2" xfId="8595"/>
    <cellStyle name="Comma 19 2 2 2 2 2 2" xfId="15143"/>
    <cellStyle name="Comma 19 2 2 2 2 3" xfId="6876"/>
    <cellStyle name="Comma 19 2 2 2 2 3 2" xfId="13562"/>
    <cellStyle name="Comma 19 2 2 2 2 4" xfId="11777"/>
    <cellStyle name="Comma 19 2 2 2 3" xfId="5308"/>
    <cellStyle name="Comma 19 2 2 2 3 2" xfId="9051"/>
    <cellStyle name="Comma 19 2 2 2 3 2 2" xfId="15595"/>
    <cellStyle name="Comma 19 2 2 2 3 3" xfId="7332"/>
    <cellStyle name="Comma 19 2 2 2 3 3 2" xfId="14014"/>
    <cellStyle name="Comma 19 2 2 2 3 4" xfId="12229"/>
    <cellStyle name="Comma 19 2 2 2 4" xfId="5746"/>
    <cellStyle name="Comma 19 2 2 2 4 2" xfId="9487"/>
    <cellStyle name="Comma 19 2 2 2 4 2 2" xfId="15989"/>
    <cellStyle name="Comma 19 2 2 2 4 3" xfId="7768"/>
    <cellStyle name="Comma 19 2 2 2 4 3 2" xfId="14408"/>
    <cellStyle name="Comma 19 2 2 2 4 4" xfId="12639"/>
    <cellStyle name="Comma 19 2 2 2 5" xfId="9848"/>
    <cellStyle name="Comma 19 2 2 2 5 2" xfId="16329"/>
    <cellStyle name="Comma 19 2 2 2 6" xfId="8245"/>
    <cellStyle name="Comma 19 2 2 2 6 2" xfId="14802"/>
    <cellStyle name="Comma 19 2 2 2 7" xfId="6526"/>
    <cellStyle name="Comma 19 2 2 2 7 2" xfId="13216"/>
    <cellStyle name="Comma 19 2 2 2 8" xfId="11426"/>
    <cellStyle name="Comma 19 2 2 3" xfId="4756"/>
    <cellStyle name="Comma 19 2 2 3 2" xfId="8499"/>
    <cellStyle name="Comma 19 2 2 3 2 2" xfId="15051"/>
    <cellStyle name="Comma 19 2 2 3 3" xfId="6780"/>
    <cellStyle name="Comma 19 2 2 3 3 2" xfId="13470"/>
    <cellStyle name="Comma 19 2 2 3 4" xfId="11685"/>
    <cellStyle name="Comma 19 2 2 4" xfId="5111"/>
    <cellStyle name="Comma 19 2 2 4 2" xfId="8854"/>
    <cellStyle name="Comma 19 2 2 4 2 2" xfId="15398"/>
    <cellStyle name="Comma 19 2 2 4 3" xfId="7135"/>
    <cellStyle name="Comma 19 2 2 4 3 2" xfId="13817"/>
    <cellStyle name="Comma 19 2 2 4 4" xfId="12032"/>
    <cellStyle name="Comma 19 2 2 5" xfId="5544"/>
    <cellStyle name="Comma 19 2 2 5 2" xfId="9285"/>
    <cellStyle name="Comma 19 2 2 5 2 2" xfId="15792"/>
    <cellStyle name="Comma 19 2 2 5 3" xfId="7566"/>
    <cellStyle name="Comma 19 2 2 5 3 2" xfId="14211"/>
    <cellStyle name="Comma 19 2 2 5 4" xfId="12437"/>
    <cellStyle name="Comma 19 2 2 6" xfId="9746"/>
    <cellStyle name="Comma 19 2 2 6 2" xfId="16237"/>
    <cellStyle name="Comma 19 2 2 7" xfId="7988"/>
    <cellStyle name="Comma 19 2 2 7 2" xfId="14605"/>
    <cellStyle name="Comma 19 2 2 8" xfId="6215"/>
    <cellStyle name="Comma 19 2 2 8 2" xfId="12940"/>
    <cellStyle name="Comma 19 2 2 9" xfId="10289"/>
    <cellStyle name="Comma 19 2 3" xfId="4480"/>
    <cellStyle name="Comma 19 2 3 2" xfId="4853"/>
    <cellStyle name="Comma 19 2 3 2 2" xfId="8596"/>
    <cellStyle name="Comma 19 2 3 2 2 2" xfId="15144"/>
    <cellStyle name="Comma 19 2 3 2 3" xfId="6877"/>
    <cellStyle name="Comma 19 2 3 2 3 2" xfId="13563"/>
    <cellStyle name="Comma 19 2 3 2 4" xfId="11778"/>
    <cellStyle name="Comma 19 2 3 3" xfId="5307"/>
    <cellStyle name="Comma 19 2 3 3 2" xfId="9050"/>
    <cellStyle name="Comma 19 2 3 3 2 2" xfId="15594"/>
    <cellStyle name="Comma 19 2 3 3 3" xfId="7331"/>
    <cellStyle name="Comma 19 2 3 3 3 2" xfId="14013"/>
    <cellStyle name="Comma 19 2 3 3 4" xfId="12228"/>
    <cellStyle name="Comma 19 2 3 4" xfId="5745"/>
    <cellStyle name="Comma 19 2 3 4 2" xfId="9486"/>
    <cellStyle name="Comma 19 2 3 4 2 2" xfId="15988"/>
    <cellStyle name="Comma 19 2 3 4 3" xfId="7767"/>
    <cellStyle name="Comma 19 2 3 4 3 2" xfId="14407"/>
    <cellStyle name="Comma 19 2 3 4 4" xfId="12638"/>
    <cellStyle name="Comma 19 2 3 5" xfId="9849"/>
    <cellStyle name="Comma 19 2 3 5 2" xfId="16330"/>
    <cellStyle name="Comma 19 2 3 6" xfId="8244"/>
    <cellStyle name="Comma 19 2 3 6 2" xfId="14801"/>
    <cellStyle name="Comma 19 2 3 7" xfId="6525"/>
    <cellStyle name="Comma 19 2 3 7 2" xfId="13215"/>
    <cellStyle name="Comma 19 2 3 8" xfId="11425"/>
    <cellStyle name="Comma 19 2 4" xfId="4692"/>
    <cellStyle name="Comma 19 2 4 2" xfId="8438"/>
    <cellStyle name="Comma 19 2 4 2 2" xfId="14990"/>
    <cellStyle name="Comma 19 2 4 3" xfId="6719"/>
    <cellStyle name="Comma 19 2 4 3 2" xfId="13409"/>
    <cellStyle name="Comma 19 2 4 4" xfId="11623"/>
    <cellStyle name="Comma 19 2 5" xfId="5110"/>
    <cellStyle name="Comma 19 2 5 2" xfId="8853"/>
    <cellStyle name="Comma 19 2 5 2 2" xfId="15397"/>
    <cellStyle name="Comma 19 2 5 3" xfId="7134"/>
    <cellStyle name="Comma 19 2 5 3 2" xfId="13816"/>
    <cellStyle name="Comma 19 2 5 4" xfId="12031"/>
    <cellStyle name="Comma 19 2 6" xfId="5543"/>
    <cellStyle name="Comma 19 2 6 2" xfId="9284"/>
    <cellStyle name="Comma 19 2 6 2 2" xfId="15791"/>
    <cellStyle name="Comma 19 2 6 3" xfId="7565"/>
    <cellStyle name="Comma 19 2 6 3 2" xfId="14210"/>
    <cellStyle name="Comma 19 2 6 4" xfId="12436"/>
    <cellStyle name="Comma 19 2 7" xfId="9675"/>
    <cellStyle name="Comma 19 2 7 2" xfId="16175"/>
    <cellStyle name="Comma 19 2 8" xfId="7987"/>
    <cellStyle name="Comma 19 2 8 2" xfId="14604"/>
    <cellStyle name="Comma 19 2 9" xfId="6214"/>
    <cellStyle name="Comma 19 2 9 2" xfId="12939"/>
    <cellStyle name="Comma 19 3" xfId="2782"/>
    <cellStyle name="Comma 19 3 2" xfId="4482"/>
    <cellStyle name="Comma 19 3 2 2" xfId="4854"/>
    <cellStyle name="Comma 19 3 2 2 2" xfId="8597"/>
    <cellStyle name="Comma 19 3 2 2 2 2" xfId="15145"/>
    <cellStyle name="Comma 19 3 2 2 3" xfId="6878"/>
    <cellStyle name="Comma 19 3 2 2 3 2" xfId="13564"/>
    <cellStyle name="Comma 19 3 2 2 4" xfId="11779"/>
    <cellStyle name="Comma 19 3 2 3" xfId="5309"/>
    <cellStyle name="Comma 19 3 2 3 2" xfId="9052"/>
    <cellStyle name="Comma 19 3 2 3 2 2" xfId="15596"/>
    <cellStyle name="Comma 19 3 2 3 3" xfId="7333"/>
    <cellStyle name="Comma 19 3 2 3 3 2" xfId="14015"/>
    <cellStyle name="Comma 19 3 2 3 4" xfId="12230"/>
    <cellStyle name="Comma 19 3 2 4" xfId="5747"/>
    <cellStyle name="Comma 19 3 2 4 2" xfId="9488"/>
    <cellStyle name="Comma 19 3 2 4 2 2" xfId="15990"/>
    <cellStyle name="Comma 19 3 2 4 3" xfId="7769"/>
    <cellStyle name="Comma 19 3 2 4 3 2" xfId="14409"/>
    <cellStyle name="Comma 19 3 2 4 4" xfId="12640"/>
    <cellStyle name="Comma 19 3 2 5" xfId="9850"/>
    <cellStyle name="Comma 19 3 2 5 2" xfId="16331"/>
    <cellStyle name="Comma 19 3 2 6" xfId="8246"/>
    <cellStyle name="Comma 19 3 2 6 2" xfId="14803"/>
    <cellStyle name="Comma 19 3 2 7" xfId="6527"/>
    <cellStyle name="Comma 19 3 2 7 2" xfId="13217"/>
    <cellStyle name="Comma 19 3 2 8" xfId="11427"/>
    <cellStyle name="Comma 19 3 3" xfId="4755"/>
    <cellStyle name="Comma 19 3 3 2" xfId="8498"/>
    <cellStyle name="Comma 19 3 3 2 2" xfId="15050"/>
    <cellStyle name="Comma 19 3 3 3" xfId="6779"/>
    <cellStyle name="Comma 19 3 3 3 2" xfId="13469"/>
    <cellStyle name="Comma 19 3 3 4" xfId="11684"/>
    <cellStyle name="Comma 19 3 4" xfId="5112"/>
    <cellStyle name="Comma 19 3 4 2" xfId="8855"/>
    <cellStyle name="Comma 19 3 4 2 2" xfId="15399"/>
    <cellStyle name="Comma 19 3 4 3" xfId="7136"/>
    <cellStyle name="Comma 19 3 4 3 2" xfId="13818"/>
    <cellStyle name="Comma 19 3 4 4" xfId="12033"/>
    <cellStyle name="Comma 19 3 5" xfId="5545"/>
    <cellStyle name="Comma 19 3 5 2" xfId="9286"/>
    <cellStyle name="Comma 19 3 5 2 2" xfId="15793"/>
    <cellStyle name="Comma 19 3 5 3" xfId="7567"/>
    <cellStyle name="Comma 19 3 5 3 2" xfId="14212"/>
    <cellStyle name="Comma 19 3 5 4" xfId="12438"/>
    <cellStyle name="Comma 19 3 6" xfId="9745"/>
    <cellStyle name="Comma 19 3 6 2" xfId="16236"/>
    <cellStyle name="Comma 19 3 7" xfId="7989"/>
    <cellStyle name="Comma 19 3 7 2" xfId="14606"/>
    <cellStyle name="Comma 19 3 8" xfId="6216"/>
    <cellStyle name="Comma 19 3 8 2" xfId="12941"/>
    <cellStyle name="Comma 19 3 9" xfId="10290"/>
    <cellStyle name="Comma 19 4" xfId="4479"/>
    <cellStyle name="Comma 19 4 2" xfId="4855"/>
    <cellStyle name="Comma 19 4 2 2" xfId="8598"/>
    <cellStyle name="Comma 19 4 2 2 2" xfId="15146"/>
    <cellStyle name="Comma 19 4 2 3" xfId="6879"/>
    <cellStyle name="Comma 19 4 2 3 2" xfId="13565"/>
    <cellStyle name="Comma 19 4 2 4" xfId="11780"/>
    <cellStyle name="Comma 19 4 3" xfId="5306"/>
    <cellStyle name="Comma 19 4 3 2" xfId="9049"/>
    <cellStyle name="Comma 19 4 3 2 2" xfId="15593"/>
    <cellStyle name="Comma 19 4 3 3" xfId="7330"/>
    <cellStyle name="Comma 19 4 3 3 2" xfId="14012"/>
    <cellStyle name="Comma 19 4 3 4" xfId="12227"/>
    <cellStyle name="Comma 19 4 4" xfId="5744"/>
    <cellStyle name="Comma 19 4 4 2" xfId="9485"/>
    <cellStyle name="Comma 19 4 4 2 2" xfId="15987"/>
    <cellStyle name="Comma 19 4 4 3" xfId="7766"/>
    <cellStyle name="Comma 19 4 4 3 2" xfId="14406"/>
    <cellStyle name="Comma 19 4 4 4" xfId="12637"/>
    <cellStyle name="Comma 19 4 5" xfId="9851"/>
    <cellStyle name="Comma 19 4 5 2" xfId="16332"/>
    <cellStyle name="Comma 19 4 6" xfId="8243"/>
    <cellStyle name="Comma 19 4 6 2" xfId="14800"/>
    <cellStyle name="Comma 19 4 7" xfId="6524"/>
    <cellStyle name="Comma 19 4 7 2" xfId="13214"/>
    <cellStyle name="Comma 19 4 8" xfId="11424"/>
    <cellStyle name="Comma 19 5" xfId="4691"/>
    <cellStyle name="Comma 19 5 2" xfId="8437"/>
    <cellStyle name="Comma 19 5 2 2" xfId="14989"/>
    <cellStyle name="Comma 19 5 3" xfId="6718"/>
    <cellStyle name="Comma 19 5 3 2" xfId="13408"/>
    <cellStyle name="Comma 19 5 4" xfId="11622"/>
    <cellStyle name="Comma 19 6" xfId="5109"/>
    <cellStyle name="Comma 19 6 2" xfId="8852"/>
    <cellStyle name="Comma 19 6 2 2" xfId="15396"/>
    <cellStyle name="Comma 19 6 3" xfId="7133"/>
    <cellStyle name="Comma 19 6 3 2" xfId="13815"/>
    <cellStyle name="Comma 19 6 4" xfId="12030"/>
    <cellStyle name="Comma 19 7" xfId="5542"/>
    <cellStyle name="Comma 19 7 2" xfId="9283"/>
    <cellStyle name="Comma 19 7 2 2" xfId="15790"/>
    <cellStyle name="Comma 19 7 3" xfId="7564"/>
    <cellStyle name="Comma 19 7 3 2" xfId="14209"/>
    <cellStyle name="Comma 19 7 4" xfId="12435"/>
    <cellStyle name="Comma 19 8" xfId="9674"/>
    <cellStyle name="Comma 19 8 2" xfId="16174"/>
    <cellStyle name="Comma 19 9" xfId="7986"/>
    <cellStyle name="Comma 19 9 2" xfId="14603"/>
    <cellStyle name="Comma 2" xfId="10"/>
    <cellStyle name="Comma 2 10" xfId="2783"/>
    <cellStyle name="Comma 2 10 10" xfId="2784"/>
    <cellStyle name="Comma 2 10 11" xfId="2785"/>
    <cellStyle name="Comma 2 10 12" xfId="2786"/>
    <cellStyle name="Comma 2 10 13" xfId="10291"/>
    <cellStyle name="Comma 2 10 2" xfId="2787"/>
    <cellStyle name="Comma 2 10 2 2" xfId="2788"/>
    <cellStyle name="Comma 2 10 2 3" xfId="2789"/>
    <cellStyle name="Comma 2 10 3" xfId="2790"/>
    <cellStyle name="Comma 2 10 4" xfId="2791"/>
    <cellStyle name="Comma 2 10 5" xfId="2792"/>
    <cellStyle name="Comma 2 10 6" xfId="2793"/>
    <cellStyle name="Comma 2 10 6 2" xfId="2794"/>
    <cellStyle name="Comma 2 10 7" xfId="2795"/>
    <cellStyle name="Comma 2 10 7 2" xfId="2796"/>
    <cellStyle name="Comma 2 10 7 3" xfId="2797"/>
    <cellStyle name="Comma 2 10 8" xfId="2798"/>
    <cellStyle name="Comma 2 10 9" xfId="2799"/>
    <cellStyle name="Comma 2 100" xfId="2800"/>
    <cellStyle name="Comma 2 101" xfId="2801"/>
    <cellStyle name="Comma 2 102" xfId="2802"/>
    <cellStyle name="Comma 2 103" xfId="2803"/>
    <cellStyle name="Comma 2 104" xfId="2804"/>
    <cellStyle name="Comma 2 105" xfId="2805"/>
    <cellStyle name="Comma 2 106" xfId="2806"/>
    <cellStyle name="Comma 2 107" xfId="2807"/>
    <cellStyle name="Comma 2 108" xfId="2808"/>
    <cellStyle name="Comma 2 109" xfId="2809"/>
    <cellStyle name="Comma 2 11" xfId="2810"/>
    <cellStyle name="Comma 2 11 2" xfId="10292"/>
    <cellStyle name="Comma 2 110" xfId="2811"/>
    <cellStyle name="Comma 2 111" xfId="2812"/>
    <cellStyle name="Comma 2 112" xfId="2813"/>
    <cellStyle name="Comma 2 112 2" xfId="10293"/>
    <cellStyle name="Comma 2 113" xfId="2814"/>
    <cellStyle name="Comma 2 113 2" xfId="10294"/>
    <cellStyle name="Comma 2 114" xfId="2815"/>
    <cellStyle name="Comma 2 114 2" xfId="10295"/>
    <cellStyle name="Comma 2 115" xfId="2816"/>
    <cellStyle name="Comma 2 115 2" xfId="10296"/>
    <cellStyle name="Comma 2 116" xfId="2817"/>
    <cellStyle name="Comma 2 116 2" xfId="10297"/>
    <cellStyle name="Comma 2 117" xfId="2818"/>
    <cellStyle name="Comma 2 117 2" xfId="10298"/>
    <cellStyle name="Comma 2 118" xfId="2819"/>
    <cellStyle name="Comma 2 118 2" xfId="10299"/>
    <cellStyle name="Comma 2 119" xfId="2820"/>
    <cellStyle name="Comma 2 119 2" xfId="10300"/>
    <cellStyle name="Comma 2 12" xfId="2821"/>
    <cellStyle name="Comma 2 12 2" xfId="10301"/>
    <cellStyle name="Comma 2 120" xfId="2822"/>
    <cellStyle name="Comma 2 120 2" xfId="10302"/>
    <cellStyle name="Comma 2 121" xfId="2823"/>
    <cellStyle name="Comma 2 121 2" xfId="10303"/>
    <cellStyle name="Comma 2 122" xfId="2824"/>
    <cellStyle name="Comma 2 122 2" xfId="10304"/>
    <cellStyle name="Comma 2 123" xfId="2825"/>
    <cellStyle name="Comma 2 123 2" xfId="10305"/>
    <cellStyle name="Comma 2 124" xfId="2826"/>
    <cellStyle name="Comma 2 124 2" xfId="10306"/>
    <cellStyle name="Comma 2 125" xfId="2827"/>
    <cellStyle name="Comma 2 125 2" xfId="10307"/>
    <cellStyle name="Comma 2 126" xfId="2828"/>
    <cellStyle name="Comma 2 126 2" xfId="10308"/>
    <cellStyle name="Comma 2 127" xfId="2829"/>
    <cellStyle name="Comma 2 127 2" xfId="10309"/>
    <cellStyle name="Comma 2 128" xfId="2830"/>
    <cellStyle name="Comma 2 128 2" xfId="10310"/>
    <cellStyle name="Comma 2 129" xfId="2831"/>
    <cellStyle name="Comma 2 129 2" xfId="10311"/>
    <cellStyle name="Comma 2 129 3" xfId="16644"/>
    <cellStyle name="Comma 2 13" xfId="2832"/>
    <cellStyle name="Comma 2 13 2" xfId="10312"/>
    <cellStyle name="Comma 2 130" xfId="10249"/>
    <cellStyle name="Comma 2 131" xfId="16630"/>
    <cellStyle name="Comma 2 14" xfId="2833"/>
    <cellStyle name="Comma 2 14 2" xfId="10313"/>
    <cellStyle name="Comma 2 15" xfId="2834"/>
    <cellStyle name="Comma 2 15 2" xfId="10314"/>
    <cellStyle name="Comma 2 16" xfId="2835"/>
    <cellStyle name="Comma 2 16 2" xfId="10315"/>
    <cellStyle name="Comma 2 17" xfId="2836"/>
    <cellStyle name="Comma 2 17 2" xfId="10316"/>
    <cellStyle name="Comma 2 18" xfId="2837"/>
    <cellStyle name="Comma 2 18 2" xfId="10317"/>
    <cellStyle name="Comma 2 19" xfId="2838"/>
    <cellStyle name="Comma 2 19 2" xfId="10318"/>
    <cellStyle name="Comma 2 2" xfId="11"/>
    <cellStyle name="Comma 2 2 10" xfId="2839"/>
    <cellStyle name="Comma 2 2 11" xfId="2840"/>
    <cellStyle name="Comma 2 2 12" xfId="2841"/>
    <cellStyle name="Comma 2 2 13" xfId="2842"/>
    <cellStyle name="Comma 2 2 14" xfId="2843"/>
    <cellStyle name="Comma 2 2 15" xfId="2844"/>
    <cellStyle name="Comma 2 2 16" xfId="2845"/>
    <cellStyle name="Comma 2 2 17" xfId="2846"/>
    <cellStyle name="Comma 2 2 18" xfId="2847"/>
    <cellStyle name="Comma 2 2 19" xfId="2848"/>
    <cellStyle name="Comma 2 2 2" xfId="2849"/>
    <cellStyle name="Comma 2 2 2 10" xfId="2850"/>
    <cellStyle name="Comma 2 2 2 10 2" xfId="10320"/>
    <cellStyle name="Comma 2 2 2 11" xfId="2851"/>
    <cellStyle name="Comma 2 2 2 11 2" xfId="10321"/>
    <cellStyle name="Comma 2 2 2 12" xfId="2852"/>
    <cellStyle name="Comma 2 2 2 12 2" xfId="10322"/>
    <cellStyle name="Comma 2 2 2 13" xfId="2853"/>
    <cellStyle name="Comma 2 2 2 13 2" xfId="10323"/>
    <cellStyle name="Comma 2 2 2 14" xfId="2854"/>
    <cellStyle name="Comma 2 2 2 14 2" xfId="10324"/>
    <cellStyle name="Comma 2 2 2 15" xfId="2855"/>
    <cellStyle name="Comma 2 2 2 15 2" xfId="10325"/>
    <cellStyle name="Comma 2 2 2 16" xfId="4411"/>
    <cellStyle name="Comma 2 2 2 16 2" xfId="11367"/>
    <cellStyle name="Comma 2 2 2 16 3" xfId="16668"/>
    <cellStyle name="Comma 2 2 2 17" xfId="10319"/>
    <cellStyle name="Comma 2 2 2 2" xfId="2856"/>
    <cellStyle name="Comma 2 2 2 2 2" xfId="2857"/>
    <cellStyle name="Comma 2 2 2 2 2 10" xfId="2858"/>
    <cellStyle name="Comma 2 2 2 2 2 10 2" xfId="10327"/>
    <cellStyle name="Comma 2 2 2 2 2 11" xfId="2859"/>
    <cellStyle name="Comma 2 2 2 2 2 11 2" xfId="10328"/>
    <cellStyle name="Comma 2 2 2 2 2 12" xfId="2860"/>
    <cellStyle name="Comma 2 2 2 2 2 12 2" xfId="10329"/>
    <cellStyle name="Comma 2 2 2 2 2 13" xfId="2861"/>
    <cellStyle name="Comma 2 2 2 2 2 13 2" xfId="10330"/>
    <cellStyle name="Comma 2 2 2 2 2 14" xfId="2862"/>
    <cellStyle name="Comma 2 2 2 2 2 14 2" xfId="10331"/>
    <cellStyle name="Comma 2 2 2 2 2 15" xfId="10326"/>
    <cellStyle name="Comma 2 2 2 2 2 2" xfId="2863"/>
    <cellStyle name="Comma 2 2 2 2 2 3" xfId="2864"/>
    <cellStyle name="Comma 2 2 2 2 2 3 2" xfId="10332"/>
    <cellStyle name="Comma 2 2 2 2 2 4" xfId="2865"/>
    <cellStyle name="Comma 2 2 2 2 2 4 2" xfId="10333"/>
    <cellStyle name="Comma 2 2 2 2 2 5" xfId="2866"/>
    <cellStyle name="Comma 2 2 2 2 2 5 2" xfId="10334"/>
    <cellStyle name="Comma 2 2 2 2 2 6" xfId="2867"/>
    <cellStyle name="Comma 2 2 2 2 2 6 2" xfId="10335"/>
    <cellStyle name="Comma 2 2 2 2 2 7" xfId="2868"/>
    <cellStyle name="Comma 2 2 2 2 2 7 2" xfId="10336"/>
    <cellStyle name="Comma 2 2 2 2 2 8" xfId="2869"/>
    <cellStyle name="Comma 2 2 2 2 2 8 2" xfId="10337"/>
    <cellStyle name="Comma 2 2 2 2 2 9" xfId="2870"/>
    <cellStyle name="Comma 2 2 2 2 2 9 2" xfId="10338"/>
    <cellStyle name="Comma 2 2 2 3" xfId="2871"/>
    <cellStyle name="Comma 2 2 2 4" xfId="2872"/>
    <cellStyle name="Comma 2 2 2 4 2" xfId="10339"/>
    <cellStyle name="Comma 2 2 2 5" xfId="2873"/>
    <cellStyle name="Comma 2 2 2 5 2" xfId="10340"/>
    <cellStyle name="Comma 2 2 2 6" xfId="2874"/>
    <cellStyle name="Comma 2 2 2 6 2" xfId="10341"/>
    <cellStyle name="Comma 2 2 2 7" xfId="2875"/>
    <cellStyle name="Comma 2 2 2 7 2" xfId="10342"/>
    <cellStyle name="Comma 2 2 2 8" xfId="2876"/>
    <cellStyle name="Comma 2 2 2 8 2" xfId="10343"/>
    <cellStyle name="Comma 2 2 2 9" xfId="2877"/>
    <cellStyle name="Comma 2 2 2 9 2" xfId="10344"/>
    <cellStyle name="Comma 2 2 20" xfId="2878"/>
    <cellStyle name="Comma 2 2 21" xfId="2879"/>
    <cellStyle name="Comma 2 2 22" xfId="2880"/>
    <cellStyle name="Comma 2 2 23" xfId="2881"/>
    <cellStyle name="Comma 2 2 24" xfId="2882"/>
    <cellStyle name="Comma 2 2 25" xfId="2883"/>
    <cellStyle name="Comma 2 2 26" xfId="2884"/>
    <cellStyle name="Comma 2 2 27" xfId="2885"/>
    <cellStyle name="Comma 2 2 28" xfId="2886"/>
    <cellStyle name="Comma 2 2 29" xfId="2887"/>
    <cellStyle name="Comma 2 2 3" xfId="2888"/>
    <cellStyle name="Comma 2 2 3 10" xfId="2889"/>
    <cellStyle name="Comma 2 2 3 10 2" xfId="10346"/>
    <cellStyle name="Comma 2 2 3 11" xfId="2890"/>
    <cellStyle name="Comma 2 2 3 11 2" xfId="10347"/>
    <cellStyle name="Comma 2 2 3 12" xfId="2891"/>
    <cellStyle name="Comma 2 2 3 12 2" xfId="10348"/>
    <cellStyle name="Comma 2 2 3 13" xfId="2892"/>
    <cellStyle name="Comma 2 2 3 13 2" xfId="10349"/>
    <cellStyle name="Comma 2 2 3 14" xfId="10345"/>
    <cellStyle name="Comma 2 2 3 2" xfId="2893"/>
    <cellStyle name="Comma 2 2 3 2 2" xfId="10350"/>
    <cellStyle name="Comma 2 2 3 3" xfId="2894"/>
    <cellStyle name="Comma 2 2 3 3 2" xfId="10351"/>
    <cellStyle name="Comma 2 2 3 4" xfId="2895"/>
    <cellStyle name="Comma 2 2 3 4 2" xfId="10352"/>
    <cellStyle name="Comma 2 2 3 5" xfId="2896"/>
    <cellStyle name="Comma 2 2 3 5 2" xfId="10353"/>
    <cellStyle name="Comma 2 2 3 6" xfId="2897"/>
    <cellStyle name="Comma 2 2 3 6 2" xfId="10354"/>
    <cellStyle name="Comma 2 2 3 7" xfId="2898"/>
    <cellStyle name="Comma 2 2 3 7 2" xfId="10355"/>
    <cellStyle name="Comma 2 2 3 8" xfId="2899"/>
    <cellStyle name="Comma 2 2 3 8 2" xfId="10356"/>
    <cellStyle name="Comma 2 2 3 9" xfId="2900"/>
    <cellStyle name="Comma 2 2 3 9 2" xfId="10357"/>
    <cellStyle name="Comma 2 2 30" xfId="2901"/>
    <cellStyle name="Comma 2 2 31" xfId="2902"/>
    <cellStyle name="Comma 2 2 32" xfId="2903"/>
    <cellStyle name="Comma 2 2 33" xfId="2904"/>
    <cellStyle name="Comma 2 2 34" xfId="2905"/>
    <cellStyle name="Comma 2 2 35" xfId="2906"/>
    <cellStyle name="Comma 2 2 36" xfId="2907"/>
    <cellStyle name="Comma 2 2 37" xfId="2908"/>
    <cellStyle name="Comma 2 2 38" xfId="2909"/>
    <cellStyle name="Comma 2 2 39" xfId="2910"/>
    <cellStyle name="Comma 2 2 4" xfId="2911"/>
    <cellStyle name="Comma 2 2 40" xfId="2912"/>
    <cellStyle name="Comma 2 2 41" xfId="2913"/>
    <cellStyle name="Comma 2 2 42" xfId="2914"/>
    <cellStyle name="Comma 2 2 43" xfId="2915"/>
    <cellStyle name="Comma 2 2 44" xfId="2916"/>
    <cellStyle name="Comma 2 2 45" xfId="2917"/>
    <cellStyle name="Comma 2 2 46" xfId="2918"/>
    <cellStyle name="Comma 2 2 47" xfId="2919"/>
    <cellStyle name="Comma 2 2 48" xfId="2920"/>
    <cellStyle name="Comma 2 2 49" xfId="2921"/>
    <cellStyle name="Comma 2 2 49 2" xfId="10358"/>
    <cellStyle name="Comma 2 2 5" xfId="2922"/>
    <cellStyle name="Comma 2 2 6" xfId="2923"/>
    <cellStyle name="Comma 2 2 7" xfId="2924"/>
    <cellStyle name="Comma 2 2 8" xfId="2925"/>
    <cellStyle name="Comma 2 2 9" xfId="2926"/>
    <cellStyle name="Comma 2 2_3.1.2 DB Pension Detail" xfId="2927"/>
    <cellStyle name="Comma 2 20" xfId="2928"/>
    <cellStyle name="Comma 2 20 2" xfId="10359"/>
    <cellStyle name="Comma 2 21" xfId="2929"/>
    <cellStyle name="Comma 2 21 2" xfId="10360"/>
    <cellStyle name="Comma 2 22" xfId="2930"/>
    <cellStyle name="Comma 2 22 2" xfId="10361"/>
    <cellStyle name="Comma 2 23" xfId="2931"/>
    <cellStyle name="Comma 2 23 2" xfId="10362"/>
    <cellStyle name="Comma 2 24" xfId="2932"/>
    <cellStyle name="Comma 2 24 2" xfId="10363"/>
    <cellStyle name="Comma 2 25" xfId="2933"/>
    <cellStyle name="Comma 2 25 2" xfId="10364"/>
    <cellStyle name="Comma 2 26" xfId="2934"/>
    <cellStyle name="Comma 2 26 2" xfId="10365"/>
    <cellStyle name="Comma 2 27" xfId="2935"/>
    <cellStyle name="Comma 2 27 2" xfId="10366"/>
    <cellStyle name="Comma 2 28" xfId="2936"/>
    <cellStyle name="Comma 2 28 2" xfId="10367"/>
    <cellStyle name="Comma 2 29" xfId="2937"/>
    <cellStyle name="Comma 2 29 2" xfId="10368"/>
    <cellStyle name="Comma 2 3" xfId="2938"/>
    <cellStyle name="Comma 2 3 10" xfId="2939"/>
    <cellStyle name="Comma 2 3 10 2" xfId="10369"/>
    <cellStyle name="Comma 2 3 11" xfId="2940"/>
    <cellStyle name="Comma 2 3 11 2" xfId="10370"/>
    <cellStyle name="Comma 2 3 12" xfId="2941"/>
    <cellStyle name="Comma 2 3 12 2" xfId="10371"/>
    <cellStyle name="Comma 2 3 13" xfId="2942"/>
    <cellStyle name="Comma 2 3 13 2" xfId="10372"/>
    <cellStyle name="Comma 2 3 14" xfId="2943"/>
    <cellStyle name="Comma 2 3 14 2" xfId="10373"/>
    <cellStyle name="Comma 2 3 15" xfId="2944"/>
    <cellStyle name="Comma 2 3 15 2" xfId="10374"/>
    <cellStyle name="Comma 2 3 16" xfId="2945"/>
    <cellStyle name="Comma 2 3 16 2" xfId="10375"/>
    <cellStyle name="Comma 2 3 17" xfId="2946"/>
    <cellStyle name="Comma 2 3 17 2" xfId="10376"/>
    <cellStyle name="Comma 2 3 18" xfId="2947"/>
    <cellStyle name="Comma 2 3 18 2" xfId="10377"/>
    <cellStyle name="Comma 2 3 19" xfId="2948"/>
    <cellStyle name="Comma 2 3 19 2" xfId="10378"/>
    <cellStyle name="Comma 2 3 2" xfId="2949"/>
    <cellStyle name="Comma 2 3 2 2" xfId="2950"/>
    <cellStyle name="Comma 2 3 2 2 10" xfId="2951"/>
    <cellStyle name="Comma 2 3 2 2 10 2" xfId="10381"/>
    <cellStyle name="Comma 2 3 2 2 11" xfId="2952"/>
    <cellStyle name="Comma 2 3 2 2 11 2" xfId="10382"/>
    <cellStyle name="Comma 2 3 2 2 12" xfId="2953"/>
    <cellStyle name="Comma 2 3 2 2 12 2" xfId="10383"/>
    <cellStyle name="Comma 2 3 2 2 13" xfId="2954"/>
    <cellStyle name="Comma 2 3 2 2 13 2" xfId="10384"/>
    <cellStyle name="Comma 2 3 2 2 14" xfId="2955"/>
    <cellStyle name="Comma 2 3 2 2 14 2" xfId="10385"/>
    <cellStyle name="Comma 2 3 2 2 15" xfId="2956"/>
    <cellStyle name="Comma 2 3 2 2 15 2" xfId="10386"/>
    <cellStyle name="Comma 2 3 2 2 16" xfId="10380"/>
    <cellStyle name="Comma 2 3 2 2 2" xfId="2957"/>
    <cellStyle name="Comma 2 3 2 2 2 2" xfId="10387"/>
    <cellStyle name="Comma 2 3 2 2 3" xfId="2958"/>
    <cellStyle name="Comma 2 3 2 2 3 2" xfId="10388"/>
    <cellStyle name="Comma 2 3 2 2 4" xfId="2959"/>
    <cellStyle name="Comma 2 3 2 2 4 2" xfId="10389"/>
    <cellStyle name="Comma 2 3 2 2 5" xfId="2960"/>
    <cellStyle name="Comma 2 3 2 2 5 2" xfId="10390"/>
    <cellStyle name="Comma 2 3 2 2 6" xfId="2961"/>
    <cellStyle name="Comma 2 3 2 2 6 2" xfId="10391"/>
    <cellStyle name="Comma 2 3 2 2 7" xfId="2962"/>
    <cellStyle name="Comma 2 3 2 2 7 2" xfId="10392"/>
    <cellStyle name="Comma 2 3 2 2 8" xfId="2963"/>
    <cellStyle name="Comma 2 3 2 2 8 2" xfId="10393"/>
    <cellStyle name="Comma 2 3 2 2 9" xfId="2964"/>
    <cellStyle name="Comma 2 3 2 2 9 2" xfId="10394"/>
    <cellStyle name="Comma 2 3 2 3" xfId="10379"/>
    <cellStyle name="Comma 2 3 2_3.1.2 DB Pension Detail" xfId="2965"/>
    <cellStyle name="Comma 2 3 20" xfId="2966"/>
    <cellStyle name="Comma 2 3 20 2" xfId="10395"/>
    <cellStyle name="Comma 2 3 21" xfId="2967"/>
    <cellStyle name="Comma 2 3 21 2" xfId="10396"/>
    <cellStyle name="Comma 2 3 22" xfId="2968"/>
    <cellStyle name="Comma 2 3 22 2" xfId="10397"/>
    <cellStyle name="Comma 2 3 23" xfId="2969"/>
    <cellStyle name="Comma 2 3 23 2" xfId="10398"/>
    <cellStyle name="Comma 2 3 24" xfId="2970"/>
    <cellStyle name="Comma 2 3 24 2" xfId="10399"/>
    <cellStyle name="Comma 2 3 25" xfId="2971"/>
    <cellStyle name="Comma 2 3 25 2" xfId="10400"/>
    <cellStyle name="Comma 2 3 26" xfId="2972"/>
    <cellStyle name="Comma 2 3 26 2" xfId="10401"/>
    <cellStyle name="Comma 2 3 27" xfId="2973"/>
    <cellStyle name="Comma 2 3 27 2" xfId="10402"/>
    <cellStyle name="Comma 2 3 28" xfId="2974"/>
    <cellStyle name="Comma 2 3 28 2" xfId="10403"/>
    <cellStyle name="Comma 2 3 29" xfId="2975"/>
    <cellStyle name="Comma 2 3 29 2" xfId="10404"/>
    <cellStyle name="Comma 2 3 3" xfId="2976"/>
    <cellStyle name="Comma 2 3 3 10" xfId="2977"/>
    <cellStyle name="Comma 2 3 3 10 2" xfId="10406"/>
    <cellStyle name="Comma 2 3 3 11" xfId="2978"/>
    <cellStyle name="Comma 2 3 3 11 2" xfId="10407"/>
    <cellStyle name="Comma 2 3 3 12" xfId="2979"/>
    <cellStyle name="Comma 2 3 3 12 2" xfId="10408"/>
    <cellStyle name="Comma 2 3 3 13" xfId="2980"/>
    <cellStyle name="Comma 2 3 3 13 2" xfId="10409"/>
    <cellStyle name="Comma 2 3 3 14" xfId="10405"/>
    <cellStyle name="Comma 2 3 3 2" xfId="2981"/>
    <cellStyle name="Comma 2 3 3 2 2" xfId="10410"/>
    <cellStyle name="Comma 2 3 3 3" xfId="2982"/>
    <cellStyle name="Comma 2 3 3 3 2" xfId="10411"/>
    <cellStyle name="Comma 2 3 3 4" xfId="2983"/>
    <cellStyle name="Comma 2 3 3 4 2" xfId="10412"/>
    <cellStyle name="Comma 2 3 3 5" xfId="2984"/>
    <cellStyle name="Comma 2 3 3 5 2" xfId="10413"/>
    <cellStyle name="Comma 2 3 3 6" xfId="2985"/>
    <cellStyle name="Comma 2 3 3 6 2" xfId="10414"/>
    <cellStyle name="Comma 2 3 3 7" xfId="2986"/>
    <cellStyle name="Comma 2 3 3 7 2" xfId="10415"/>
    <cellStyle name="Comma 2 3 3 8" xfId="2987"/>
    <cellStyle name="Comma 2 3 3 8 2" xfId="10416"/>
    <cellStyle name="Comma 2 3 3 9" xfId="2988"/>
    <cellStyle name="Comma 2 3 3 9 2" xfId="10417"/>
    <cellStyle name="Comma 2 3 30" xfId="2989"/>
    <cellStyle name="Comma 2 3 30 2" xfId="10418"/>
    <cellStyle name="Comma 2 3 31" xfId="2990"/>
    <cellStyle name="Comma 2 3 31 2" xfId="10419"/>
    <cellStyle name="Comma 2 3 32" xfId="2991"/>
    <cellStyle name="Comma 2 3 32 2" xfId="10420"/>
    <cellStyle name="Comma 2 3 33" xfId="2992"/>
    <cellStyle name="Comma 2 3 33 2" xfId="10421"/>
    <cellStyle name="Comma 2 3 34" xfId="2993"/>
    <cellStyle name="Comma 2 3 34 2" xfId="10422"/>
    <cellStyle name="Comma 2 3 35" xfId="2994"/>
    <cellStyle name="Comma 2 3 35 2" xfId="10423"/>
    <cellStyle name="Comma 2 3 36" xfId="2995"/>
    <cellStyle name="Comma 2 3 36 2" xfId="10424"/>
    <cellStyle name="Comma 2 3 37" xfId="2996"/>
    <cellStyle name="Comma 2 3 37 2" xfId="10425"/>
    <cellStyle name="Comma 2 3 38" xfId="2997"/>
    <cellStyle name="Comma 2 3 38 2" xfId="10426"/>
    <cellStyle name="Comma 2 3 39" xfId="2998"/>
    <cellStyle name="Comma 2 3 39 2" xfId="10427"/>
    <cellStyle name="Comma 2 3 4" xfId="2999"/>
    <cellStyle name="Comma 2 3 4 2" xfId="10428"/>
    <cellStyle name="Comma 2 3 40" xfId="3000"/>
    <cellStyle name="Comma 2 3 40 2" xfId="10429"/>
    <cellStyle name="Comma 2 3 41" xfId="3001"/>
    <cellStyle name="Comma 2 3 41 2" xfId="10430"/>
    <cellStyle name="Comma 2 3 42" xfId="3002"/>
    <cellStyle name="Comma 2 3 42 2" xfId="10431"/>
    <cellStyle name="Comma 2 3 43" xfId="3003"/>
    <cellStyle name="Comma 2 3 43 2" xfId="10432"/>
    <cellStyle name="Comma 2 3 44" xfId="3004"/>
    <cellStyle name="Comma 2 3 44 2" xfId="10433"/>
    <cellStyle name="Comma 2 3 45" xfId="3005"/>
    <cellStyle name="Comma 2 3 45 2" xfId="10434"/>
    <cellStyle name="Comma 2 3 46" xfId="3006"/>
    <cellStyle name="Comma 2 3 46 2" xfId="10435"/>
    <cellStyle name="Comma 2 3 47" xfId="3007"/>
    <cellStyle name="Comma 2 3 47 2" xfId="10436"/>
    <cellStyle name="Comma 2 3 48" xfId="3008"/>
    <cellStyle name="Comma 2 3 48 2" xfId="10437"/>
    <cellStyle name="Comma 2 3 5" xfId="3009"/>
    <cellStyle name="Comma 2 3 5 2" xfId="10438"/>
    <cellStyle name="Comma 2 3 6" xfId="3010"/>
    <cellStyle name="Comma 2 3 6 2" xfId="10439"/>
    <cellStyle name="Comma 2 3 7" xfId="3011"/>
    <cellStyle name="Comma 2 3 7 2" xfId="10440"/>
    <cellStyle name="Comma 2 3 8" xfId="3012"/>
    <cellStyle name="Comma 2 3 8 2" xfId="10441"/>
    <cellStyle name="Comma 2 3 9" xfId="3013"/>
    <cellStyle name="Comma 2 3 9 2" xfId="10442"/>
    <cellStyle name="Comma 2 3_3.1.2 DB Pension Detail" xfId="3014"/>
    <cellStyle name="Comma 2 30" xfId="3015"/>
    <cellStyle name="Comma 2 30 2" xfId="10443"/>
    <cellStyle name="Comma 2 31" xfId="3016"/>
    <cellStyle name="Comma 2 31 2" xfId="10444"/>
    <cellStyle name="Comma 2 32" xfId="3017"/>
    <cellStyle name="Comma 2 32 2" xfId="10445"/>
    <cellStyle name="Comma 2 33" xfId="3018"/>
    <cellStyle name="Comma 2 33 2" xfId="10446"/>
    <cellStyle name="Comma 2 34" xfId="3019"/>
    <cellStyle name="Comma 2 34 2" xfId="10447"/>
    <cellStyle name="Comma 2 35" xfId="3020"/>
    <cellStyle name="Comma 2 35 2" xfId="10448"/>
    <cellStyle name="Comma 2 36" xfId="3021"/>
    <cellStyle name="Comma 2 36 2" xfId="10449"/>
    <cellStyle name="Comma 2 37" xfId="3022"/>
    <cellStyle name="Comma 2 37 2" xfId="10450"/>
    <cellStyle name="Comma 2 38" xfId="3023"/>
    <cellStyle name="Comma 2 38 2" xfId="10451"/>
    <cellStyle name="Comma 2 39" xfId="3024"/>
    <cellStyle name="Comma 2 39 2" xfId="10452"/>
    <cellStyle name="Comma 2 4" xfId="3025"/>
    <cellStyle name="Comma 2 4 10" xfId="3026"/>
    <cellStyle name="Comma 2 4 10 2" xfId="10454"/>
    <cellStyle name="Comma 2 4 11" xfId="3027"/>
    <cellStyle name="Comma 2 4 11 2" xfId="10455"/>
    <cellStyle name="Comma 2 4 12" xfId="3028"/>
    <cellStyle name="Comma 2 4 12 2" xfId="10456"/>
    <cellStyle name="Comma 2 4 13" xfId="3029"/>
    <cellStyle name="Comma 2 4 13 2" xfId="10457"/>
    <cellStyle name="Comma 2 4 14" xfId="3030"/>
    <cellStyle name="Comma 2 4 14 2" xfId="10458"/>
    <cellStyle name="Comma 2 4 15" xfId="3031"/>
    <cellStyle name="Comma 2 4 15 2" xfId="10459"/>
    <cellStyle name="Comma 2 4 16" xfId="3032"/>
    <cellStyle name="Comma 2 4 16 2" xfId="10460"/>
    <cellStyle name="Comma 2 4 17" xfId="3033"/>
    <cellStyle name="Comma 2 4 17 2" xfId="10461"/>
    <cellStyle name="Comma 2 4 18" xfId="3034"/>
    <cellStyle name="Comma 2 4 18 2" xfId="10462"/>
    <cellStyle name="Comma 2 4 19" xfId="3035"/>
    <cellStyle name="Comma 2 4 19 2" xfId="10463"/>
    <cellStyle name="Comma 2 4 2" xfId="3036"/>
    <cellStyle name="Comma 2 4 2 10" xfId="3037"/>
    <cellStyle name="Comma 2 4 2 10 2" xfId="10465"/>
    <cellStyle name="Comma 2 4 2 11" xfId="3038"/>
    <cellStyle name="Comma 2 4 2 11 2" xfId="10466"/>
    <cellStyle name="Comma 2 4 2 12" xfId="3039"/>
    <cellStyle name="Comma 2 4 2 12 2" xfId="10467"/>
    <cellStyle name="Comma 2 4 2 13" xfId="3040"/>
    <cellStyle name="Comma 2 4 2 13 2" xfId="10468"/>
    <cellStyle name="Comma 2 4 2 14" xfId="3041"/>
    <cellStyle name="Comma 2 4 2 14 2" xfId="10469"/>
    <cellStyle name="Comma 2 4 2 15" xfId="3042"/>
    <cellStyle name="Comma 2 4 2 15 2" xfId="10470"/>
    <cellStyle name="Comma 2 4 2 16" xfId="3043"/>
    <cellStyle name="Comma 2 4 2 16 2" xfId="10471"/>
    <cellStyle name="Comma 2 4 2 17" xfId="3044"/>
    <cellStyle name="Comma 2 4 2 17 2" xfId="10472"/>
    <cellStyle name="Comma 2 4 2 18" xfId="10464"/>
    <cellStyle name="Comma 2 4 2 2" xfId="3045"/>
    <cellStyle name="Comma 2 4 2 2 2" xfId="10473"/>
    <cellStyle name="Comma 2 4 2 3" xfId="3046"/>
    <cellStyle name="Comma 2 4 2 3 2" xfId="10474"/>
    <cellStyle name="Comma 2 4 2 4" xfId="3047"/>
    <cellStyle name="Comma 2 4 2 4 2" xfId="10475"/>
    <cellStyle name="Comma 2 4 2 5" xfId="3048"/>
    <cellStyle name="Comma 2 4 2 5 2" xfId="10476"/>
    <cellStyle name="Comma 2 4 2 6" xfId="3049"/>
    <cellStyle name="Comma 2 4 2 6 2" xfId="10477"/>
    <cellStyle name="Comma 2 4 2 7" xfId="3050"/>
    <cellStyle name="Comma 2 4 2 7 2" xfId="10478"/>
    <cellStyle name="Comma 2 4 2 8" xfId="3051"/>
    <cellStyle name="Comma 2 4 2 8 2" xfId="10479"/>
    <cellStyle name="Comma 2 4 2 9" xfId="3052"/>
    <cellStyle name="Comma 2 4 2 9 2" xfId="10480"/>
    <cellStyle name="Comma 2 4 20" xfId="3053"/>
    <cellStyle name="Comma 2 4 20 2" xfId="10481"/>
    <cellStyle name="Comma 2 4 21" xfId="3054"/>
    <cellStyle name="Comma 2 4 21 2" xfId="10482"/>
    <cellStyle name="Comma 2 4 22" xfId="3055"/>
    <cellStyle name="Comma 2 4 22 2" xfId="10483"/>
    <cellStyle name="Comma 2 4 23" xfId="3056"/>
    <cellStyle name="Comma 2 4 23 2" xfId="10484"/>
    <cellStyle name="Comma 2 4 24" xfId="3057"/>
    <cellStyle name="Comma 2 4 24 2" xfId="10485"/>
    <cellStyle name="Comma 2 4 25" xfId="3058"/>
    <cellStyle name="Comma 2 4 25 2" xfId="10486"/>
    <cellStyle name="Comma 2 4 26" xfId="3059"/>
    <cellStyle name="Comma 2 4 26 2" xfId="10487"/>
    <cellStyle name="Comma 2 4 27" xfId="3060"/>
    <cellStyle name="Comma 2 4 27 2" xfId="10488"/>
    <cellStyle name="Comma 2 4 28" xfId="3061"/>
    <cellStyle name="Comma 2 4 28 2" xfId="10489"/>
    <cellStyle name="Comma 2 4 29" xfId="3062"/>
    <cellStyle name="Comma 2 4 29 2" xfId="10490"/>
    <cellStyle name="Comma 2 4 3" xfId="3063"/>
    <cellStyle name="Comma 2 4 3 2" xfId="10491"/>
    <cellStyle name="Comma 2 4 30" xfId="3064"/>
    <cellStyle name="Comma 2 4 30 2" xfId="10492"/>
    <cellStyle name="Comma 2 4 31" xfId="3065"/>
    <cellStyle name="Comma 2 4 31 2" xfId="10493"/>
    <cellStyle name="Comma 2 4 32" xfId="3066"/>
    <cellStyle name="Comma 2 4 32 2" xfId="10494"/>
    <cellStyle name="Comma 2 4 33" xfId="3067"/>
    <cellStyle name="Comma 2 4 33 2" xfId="10495"/>
    <cellStyle name="Comma 2 4 34" xfId="3068"/>
    <cellStyle name="Comma 2 4 34 2" xfId="10496"/>
    <cellStyle name="Comma 2 4 35" xfId="3069"/>
    <cellStyle name="Comma 2 4 35 2" xfId="10497"/>
    <cellStyle name="Comma 2 4 36" xfId="3070"/>
    <cellStyle name="Comma 2 4 36 2" xfId="10498"/>
    <cellStyle name="Comma 2 4 37" xfId="3071"/>
    <cellStyle name="Comma 2 4 37 2" xfId="10499"/>
    <cellStyle name="Comma 2 4 38" xfId="3072"/>
    <cellStyle name="Comma 2 4 38 2" xfId="10500"/>
    <cellStyle name="Comma 2 4 39" xfId="3073"/>
    <cellStyle name="Comma 2 4 39 2" xfId="10501"/>
    <cellStyle name="Comma 2 4 4" xfId="3074"/>
    <cellStyle name="Comma 2 4 4 2" xfId="10502"/>
    <cellStyle name="Comma 2 4 40" xfId="3075"/>
    <cellStyle name="Comma 2 4 40 2" xfId="10503"/>
    <cellStyle name="Comma 2 4 41" xfId="3076"/>
    <cellStyle name="Comma 2 4 41 2" xfId="10504"/>
    <cellStyle name="Comma 2 4 42" xfId="3077"/>
    <cellStyle name="Comma 2 4 42 2" xfId="10505"/>
    <cellStyle name="Comma 2 4 43" xfId="3078"/>
    <cellStyle name="Comma 2 4 43 2" xfId="10506"/>
    <cellStyle name="Comma 2 4 44" xfId="3079"/>
    <cellStyle name="Comma 2 4 44 2" xfId="10507"/>
    <cellStyle name="Comma 2 4 45" xfId="3080"/>
    <cellStyle name="Comma 2 4 45 2" xfId="10508"/>
    <cellStyle name="Comma 2 4 46" xfId="3081"/>
    <cellStyle name="Comma 2 4 46 2" xfId="10509"/>
    <cellStyle name="Comma 2 4 47" xfId="3082"/>
    <cellStyle name="Comma 2 4 47 2" xfId="10510"/>
    <cellStyle name="Comma 2 4 48" xfId="3083"/>
    <cellStyle name="Comma 2 4 48 2" xfId="10511"/>
    <cellStyle name="Comma 2 4 49" xfId="3084"/>
    <cellStyle name="Comma 2 4 49 2" xfId="10512"/>
    <cellStyle name="Comma 2 4 5" xfId="3085"/>
    <cellStyle name="Comma 2 4 5 2" xfId="10513"/>
    <cellStyle name="Comma 2 4 50" xfId="3086"/>
    <cellStyle name="Comma 2 4 50 2" xfId="10514"/>
    <cellStyle name="Comma 2 4 51" xfId="3087"/>
    <cellStyle name="Comma 2 4 51 2" xfId="10515"/>
    <cellStyle name="Comma 2 4 52" xfId="3088"/>
    <cellStyle name="Comma 2 4 52 2" xfId="10516"/>
    <cellStyle name="Comma 2 4 53" xfId="3089"/>
    <cellStyle name="Comma 2 4 53 2" xfId="10517"/>
    <cellStyle name="Comma 2 4 54" xfId="3090"/>
    <cellStyle name="Comma 2 4 54 2" xfId="10518"/>
    <cellStyle name="Comma 2 4 55" xfId="3091"/>
    <cellStyle name="Comma 2 4 55 2" xfId="10519"/>
    <cellStyle name="Comma 2 4 56" xfId="3092"/>
    <cellStyle name="Comma 2 4 56 2" xfId="10520"/>
    <cellStyle name="Comma 2 4 57" xfId="3093"/>
    <cellStyle name="Comma 2 4 57 2" xfId="10521"/>
    <cellStyle name="Comma 2 4 58" xfId="3094"/>
    <cellStyle name="Comma 2 4 58 2" xfId="10522"/>
    <cellStyle name="Comma 2 4 59" xfId="3095"/>
    <cellStyle name="Comma 2 4 59 2" xfId="10523"/>
    <cellStyle name="Comma 2 4 6" xfId="3096"/>
    <cellStyle name="Comma 2 4 6 2" xfId="10524"/>
    <cellStyle name="Comma 2 4 60" xfId="3097"/>
    <cellStyle name="Comma 2 4 60 2" xfId="10525"/>
    <cellStyle name="Comma 2 4 61" xfId="3098"/>
    <cellStyle name="Comma 2 4 61 2" xfId="10526"/>
    <cellStyle name="Comma 2 4 62" xfId="3099"/>
    <cellStyle name="Comma 2 4 62 2" xfId="10527"/>
    <cellStyle name="Comma 2 4 63" xfId="3100"/>
    <cellStyle name="Comma 2 4 63 2" xfId="10528"/>
    <cellStyle name="Comma 2 4 64" xfId="3101"/>
    <cellStyle name="Comma 2 4 65" xfId="3102"/>
    <cellStyle name="Comma 2 4 66" xfId="3103"/>
    <cellStyle name="Comma 2 4 67" xfId="3104"/>
    <cellStyle name="Comma 2 4 68" xfId="3105"/>
    <cellStyle name="Comma 2 4 69" xfId="3106"/>
    <cellStyle name="Comma 2 4 7" xfId="3107"/>
    <cellStyle name="Comma 2 4 7 2" xfId="10529"/>
    <cellStyle name="Comma 2 4 70" xfId="3108"/>
    <cellStyle name="Comma 2 4 71" xfId="3109"/>
    <cellStyle name="Comma 2 4 72" xfId="3110"/>
    <cellStyle name="Comma 2 4 73" xfId="3111"/>
    <cellStyle name="Comma 2 4 74" xfId="3112"/>
    <cellStyle name="Comma 2 4 75" xfId="3113"/>
    <cellStyle name="Comma 2 4 76" xfId="3114"/>
    <cellStyle name="Comma 2 4 77" xfId="3115"/>
    <cellStyle name="Comma 2 4 78" xfId="3116"/>
    <cellStyle name="Comma 2 4 79" xfId="10453"/>
    <cellStyle name="Comma 2 4 8" xfId="3117"/>
    <cellStyle name="Comma 2 4 8 2" xfId="10530"/>
    <cellStyle name="Comma 2 4 9" xfId="3118"/>
    <cellStyle name="Comma 2 4 9 2" xfId="10531"/>
    <cellStyle name="Comma 2 40" xfId="3119"/>
    <cellStyle name="Comma 2 40 2" xfId="10532"/>
    <cellStyle name="Comma 2 41" xfId="3120"/>
    <cellStyle name="Comma 2 41 2" xfId="10533"/>
    <cellStyle name="Comma 2 42" xfId="3121"/>
    <cellStyle name="Comma 2 42 2" xfId="10534"/>
    <cellStyle name="Comma 2 43" xfId="3122"/>
    <cellStyle name="Comma 2 43 2" xfId="10535"/>
    <cellStyle name="Comma 2 44" xfId="3123"/>
    <cellStyle name="Comma 2 44 2" xfId="10536"/>
    <cellStyle name="Comma 2 45" xfId="3124"/>
    <cellStyle name="Comma 2 45 2" xfId="10537"/>
    <cellStyle name="Comma 2 46" xfId="3125"/>
    <cellStyle name="Comma 2 46 2" xfId="10538"/>
    <cellStyle name="Comma 2 47" xfId="3126"/>
    <cellStyle name="Comma 2 47 2" xfId="10539"/>
    <cellStyle name="Comma 2 48" xfId="3127"/>
    <cellStyle name="Comma 2 48 2" xfId="10540"/>
    <cellStyle name="Comma 2 49" xfId="3128"/>
    <cellStyle name="Comma 2 49 2" xfId="10541"/>
    <cellStyle name="Comma 2 5" xfId="3129"/>
    <cellStyle name="Comma 2 5 2" xfId="10542"/>
    <cellStyle name="Comma 2 50" xfId="3130"/>
    <cellStyle name="Comma 2 50 2" xfId="10543"/>
    <cellStyle name="Comma 2 51" xfId="3131"/>
    <cellStyle name="Comma 2 51 10" xfId="3132"/>
    <cellStyle name="Comma 2 51 11" xfId="3133"/>
    <cellStyle name="Comma 2 51 12" xfId="3134"/>
    <cellStyle name="Comma 2 51 13" xfId="3135"/>
    <cellStyle name="Comma 2 51 14" xfId="3136"/>
    <cellStyle name="Comma 2 51 15" xfId="3137"/>
    <cellStyle name="Comma 2 51 16" xfId="3138"/>
    <cellStyle name="Comma 2 51 17" xfId="3139"/>
    <cellStyle name="Comma 2 51 18" xfId="10544"/>
    <cellStyle name="Comma 2 51 2" xfId="3140"/>
    <cellStyle name="Comma 2 51 3" xfId="3141"/>
    <cellStyle name="Comma 2 51 4" xfId="3142"/>
    <cellStyle name="Comma 2 51 5" xfId="3143"/>
    <cellStyle name="Comma 2 51 6" xfId="3144"/>
    <cellStyle name="Comma 2 51 7" xfId="3145"/>
    <cellStyle name="Comma 2 51 8" xfId="3146"/>
    <cellStyle name="Comma 2 51 9" xfId="3147"/>
    <cellStyle name="Comma 2 52" xfId="3148"/>
    <cellStyle name="Comma 2 52 10" xfId="3149"/>
    <cellStyle name="Comma 2 52 11" xfId="3150"/>
    <cellStyle name="Comma 2 52 12" xfId="3151"/>
    <cellStyle name="Comma 2 52 13" xfId="3152"/>
    <cellStyle name="Comma 2 52 14" xfId="3153"/>
    <cellStyle name="Comma 2 52 15" xfId="3154"/>
    <cellStyle name="Comma 2 52 16" xfId="3155"/>
    <cellStyle name="Comma 2 52 17" xfId="3156"/>
    <cellStyle name="Comma 2 52 18" xfId="10545"/>
    <cellStyle name="Comma 2 52 2" xfId="3157"/>
    <cellStyle name="Comma 2 52 3" xfId="3158"/>
    <cellStyle name="Comma 2 52 4" xfId="3159"/>
    <cellStyle name="Comma 2 52 5" xfId="3160"/>
    <cellStyle name="Comma 2 52 6" xfId="3161"/>
    <cellStyle name="Comma 2 52 7" xfId="3162"/>
    <cellStyle name="Comma 2 52 8" xfId="3163"/>
    <cellStyle name="Comma 2 52 9" xfId="3164"/>
    <cellStyle name="Comma 2 53" xfId="3165"/>
    <cellStyle name="Comma 2 53 2" xfId="10546"/>
    <cellStyle name="Comma 2 54" xfId="3166"/>
    <cellStyle name="Comma 2 54 2" xfId="10547"/>
    <cellStyle name="Comma 2 55" xfId="3167"/>
    <cellStyle name="Comma 2 55 2" xfId="10548"/>
    <cellStyle name="Comma 2 56" xfId="3168"/>
    <cellStyle name="Comma 2 56 2" xfId="10549"/>
    <cellStyle name="Comma 2 57" xfId="3169"/>
    <cellStyle name="Comma 2 57 2" xfId="10550"/>
    <cellStyle name="Comma 2 58" xfId="3170"/>
    <cellStyle name="Comma 2 58 2" xfId="10551"/>
    <cellStyle name="Comma 2 59" xfId="3171"/>
    <cellStyle name="Comma 2 59 2" xfId="10552"/>
    <cellStyle name="Comma 2 6" xfId="3172"/>
    <cellStyle name="Comma 2 6 2" xfId="10553"/>
    <cellStyle name="Comma 2 60" xfId="3173"/>
    <cellStyle name="Comma 2 60 2" xfId="10554"/>
    <cellStyle name="Comma 2 61" xfId="3174"/>
    <cellStyle name="Comma 2 61 2" xfId="10555"/>
    <cellStyle name="Comma 2 62" xfId="3175"/>
    <cellStyle name="Comma 2 62 2" xfId="10556"/>
    <cellStyle name="Comma 2 63" xfId="3176"/>
    <cellStyle name="Comma 2 63 2" xfId="10557"/>
    <cellStyle name="Comma 2 64" xfId="3177"/>
    <cellStyle name="Comma 2 65" xfId="3178"/>
    <cellStyle name="Comma 2 66" xfId="3179"/>
    <cellStyle name="Comma 2 67" xfId="3180"/>
    <cellStyle name="Comma 2 68" xfId="3181"/>
    <cellStyle name="Comma 2 69" xfId="3182"/>
    <cellStyle name="Comma 2 7" xfId="3183"/>
    <cellStyle name="Comma 2 7 2" xfId="10558"/>
    <cellStyle name="Comma 2 70" xfId="3184"/>
    <cellStyle name="Comma 2 71" xfId="3185"/>
    <cellStyle name="Comma 2 72" xfId="3186"/>
    <cellStyle name="Comma 2 73" xfId="3187"/>
    <cellStyle name="Comma 2 74" xfId="3188"/>
    <cellStyle name="Comma 2 75" xfId="3189"/>
    <cellStyle name="Comma 2 76" xfId="3190"/>
    <cellStyle name="Comma 2 77" xfId="3191"/>
    <cellStyle name="Comma 2 78" xfId="3192"/>
    <cellStyle name="Comma 2 79" xfId="3193"/>
    <cellStyle name="Comma 2 8" xfId="3194"/>
    <cellStyle name="Comma 2 8 2" xfId="10559"/>
    <cellStyle name="Comma 2 80" xfId="3195"/>
    <cellStyle name="Comma 2 81" xfId="3196"/>
    <cellStyle name="Comma 2 82" xfId="3197"/>
    <cellStyle name="Comma 2 83" xfId="3198"/>
    <cellStyle name="Comma 2 84" xfId="3199"/>
    <cellStyle name="Comma 2 85" xfId="3200"/>
    <cellStyle name="Comma 2 86" xfId="3201"/>
    <cellStyle name="Comma 2 87" xfId="3202"/>
    <cellStyle name="Comma 2 88" xfId="3203"/>
    <cellStyle name="Comma 2 89" xfId="3204"/>
    <cellStyle name="Comma 2 9" xfId="3205"/>
    <cellStyle name="Comma 2 9 2" xfId="10560"/>
    <cellStyle name="Comma 2 90" xfId="3206"/>
    <cellStyle name="Comma 2 91" xfId="3207"/>
    <cellStyle name="Comma 2 92" xfId="3208"/>
    <cellStyle name="Comma 2 93" xfId="3209"/>
    <cellStyle name="Comma 2 94" xfId="3210"/>
    <cellStyle name="Comma 2 95" xfId="3211"/>
    <cellStyle name="Comma 2 96" xfId="3212"/>
    <cellStyle name="Comma 2 97" xfId="3213"/>
    <cellStyle name="Comma 2 98" xfId="3214"/>
    <cellStyle name="Comma 2 99" xfId="3215"/>
    <cellStyle name="Comma 2*" xfId="3216"/>
    <cellStyle name="Comma 2_2.11 Staff NG BS" xfId="3217"/>
    <cellStyle name="Comma 20" xfId="3218"/>
    <cellStyle name="Comma 20 2" xfId="3219"/>
    <cellStyle name="Comma 20 2 2" xfId="10562"/>
    <cellStyle name="Comma 20 3" xfId="3220"/>
    <cellStyle name="Comma 20 3 2" xfId="10563"/>
    <cellStyle name="Comma 20 4" xfId="10561"/>
    <cellStyle name="Comma 21" xfId="3221"/>
    <cellStyle name="Comma 21 2" xfId="3222"/>
    <cellStyle name="Comma 21 2 2" xfId="10565"/>
    <cellStyle name="Comma 21 3" xfId="3223"/>
    <cellStyle name="Comma 21 3 2" xfId="10566"/>
    <cellStyle name="Comma 21 4" xfId="3224"/>
    <cellStyle name="Comma 21 4 2" xfId="10567"/>
    <cellStyle name="Comma 21 5" xfId="10564"/>
    <cellStyle name="Comma 22" xfId="3225"/>
    <cellStyle name="Comma 22 10" xfId="10568"/>
    <cellStyle name="Comma 22 11" xfId="16636"/>
    <cellStyle name="Comma 22 2" xfId="3226"/>
    <cellStyle name="Comma 22 2 10" xfId="16643"/>
    <cellStyle name="Comma 22 2 2" xfId="4484"/>
    <cellStyle name="Comma 22 2 2 2" xfId="4856"/>
    <cellStyle name="Comma 22 2 2 2 2" xfId="8599"/>
    <cellStyle name="Comma 22 2 2 2 2 2" xfId="15147"/>
    <cellStyle name="Comma 22 2 2 2 3" xfId="6880"/>
    <cellStyle name="Comma 22 2 2 2 3 2" xfId="13566"/>
    <cellStyle name="Comma 22 2 2 2 4" xfId="11781"/>
    <cellStyle name="Comma 22 2 2 3" xfId="5311"/>
    <cellStyle name="Comma 22 2 2 3 2" xfId="9054"/>
    <cellStyle name="Comma 22 2 2 3 2 2" xfId="15598"/>
    <cellStyle name="Comma 22 2 2 3 3" xfId="7335"/>
    <cellStyle name="Comma 22 2 2 3 3 2" xfId="14017"/>
    <cellStyle name="Comma 22 2 2 3 4" xfId="12232"/>
    <cellStyle name="Comma 22 2 2 4" xfId="5749"/>
    <cellStyle name="Comma 22 2 2 4 2" xfId="9490"/>
    <cellStyle name="Comma 22 2 2 4 2 2" xfId="15992"/>
    <cellStyle name="Comma 22 2 2 4 3" xfId="7771"/>
    <cellStyle name="Comma 22 2 2 4 3 2" xfId="14411"/>
    <cellStyle name="Comma 22 2 2 4 4" xfId="12642"/>
    <cellStyle name="Comma 22 2 2 5" xfId="9852"/>
    <cellStyle name="Comma 22 2 2 5 2" xfId="16333"/>
    <cellStyle name="Comma 22 2 2 6" xfId="8248"/>
    <cellStyle name="Comma 22 2 2 6 2" xfId="14805"/>
    <cellStyle name="Comma 22 2 2 7" xfId="6529"/>
    <cellStyle name="Comma 22 2 2 7 2" xfId="13219"/>
    <cellStyle name="Comma 22 2 2 8" xfId="11429"/>
    <cellStyle name="Comma 22 2 2 9" xfId="16669"/>
    <cellStyle name="Comma 22 2 3" xfId="4757"/>
    <cellStyle name="Comma 22 2 3 2" xfId="8500"/>
    <cellStyle name="Comma 22 2 3 2 2" xfId="15052"/>
    <cellStyle name="Comma 22 2 3 3" xfId="6781"/>
    <cellStyle name="Comma 22 2 3 3 2" xfId="13471"/>
    <cellStyle name="Comma 22 2 3 4" xfId="11686"/>
    <cellStyle name="Comma 22 2 4" xfId="5114"/>
    <cellStyle name="Comma 22 2 4 2" xfId="8857"/>
    <cellStyle name="Comma 22 2 4 2 2" xfId="15401"/>
    <cellStyle name="Comma 22 2 4 3" xfId="7138"/>
    <cellStyle name="Comma 22 2 4 3 2" xfId="13820"/>
    <cellStyle name="Comma 22 2 4 4" xfId="12035"/>
    <cellStyle name="Comma 22 2 5" xfId="5547"/>
    <cellStyle name="Comma 22 2 5 2" xfId="9288"/>
    <cellStyle name="Comma 22 2 5 2 2" xfId="15795"/>
    <cellStyle name="Comma 22 2 5 3" xfId="7569"/>
    <cellStyle name="Comma 22 2 5 3 2" xfId="14214"/>
    <cellStyle name="Comma 22 2 5 4" xfId="12440"/>
    <cellStyle name="Comma 22 2 6" xfId="9747"/>
    <cellStyle name="Comma 22 2 6 2" xfId="16238"/>
    <cellStyle name="Comma 22 2 7" xfId="7994"/>
    <cellStyle name="Comma 22 2 7 2" xfId="14608"/>
    <cellStyle name="Comma 22 2 8" xfId="6226"/>
    <cellStyle name="Comma 22 2 8 2" xfId="12951"/>
    <cellStyle name="Comma 22 2 9" xfId="10569"/>
    <cellStyle name="Comma 22 3" xfId="4483"/>
    <cellStyle name="Comma 22 3 2" xfId="4857"/>
    <cellStyle name="Comma 22 3 2 2" xfId="8600"/>
    <cellStyle name="Comma 22 3 2 2 2" xfId="15148"/>
    <cellStyle name="Comma 22 3 2 3" xfId="6881"/>
    <cellStyle name="Comma 22 3 2 3 2" xfId="13567"/>
    <cellStyle name="Comma 22 3 2 4" xfId="11782"/>
    <cellStyle name="Comma 22 3 3" xfId="5310"/>
    <cellStyle name="Comma 22 3 3 2" xfId="9053"/>
    <cellStyle name="Comma 22 3 3 2 2" xfId="15597"/>
    <cellStyle name="Comma 22 3 3 3" xfId="7334"/>
    <cellStyle name="Comma 22 3 3 3 2" xfId="14016"/>
    <cellStyle name="Comma 22 3 3 4" xfId="12231"/>
    <cellStyle name="Comma 22 3 4" xfId="5748"/>
    <cellStyle name="Comma 22 3 4 2" xfId="9489"/>
    <cellStyle name="Comma 22 3 4 2 2" xfId="15991"/>
    <cellStyle name="Comma 22 3 4 3" xfId="7770"/>
    <cellStyle name="Comma 22 3 4 3 2" xfId="14410"/>
    <cellStyle name="Comma 22 3 4 4" xfId="12641"/>
    <cellStyle name="Comma 22 3 5" xfId="9853"/>
    <cellStyle name="Comma 22 3 5 2" xfId="16334"/>
    <cellStyle name="Comma 22 3 6" xfId="8247"/>
    <cellStyle name="Comma 22 3 6 2" xfId="14804"/>
    <cellStyle name="Comma 22 3 7" xfId="6528"/>
    <cellStyle name="Comma 22 3 7 2" xfId="13218"/>
    <cellStyle name="Comma 22 3 8" xfId="11428"/>
    <cellStyle name="Comma 22 3 9" xfId="16670"/>
    <cellStyle name="Comma 22 4" xfId="4693"/>
    <cellStyle name="Comma 22 4 2" xfId="8439"/>
    <cellStyle name="Comma 22 4 2 2" xfId="14991"/>
    <cellStyle name="Comma 22 4 3" xfId="6720"/>
    <cellStyle name="Comma 22 4 3 2" xfId="13410"/>
    <cellStyle name="Comma 22 4 4" xfId="11624"/>
    <cellStyle name="Comma 22 5" xfId="5113"/>
    <cellStyle name="Comma 22 5 2" xfId="8856"/>
    <cellStyle name="Comma 22 5 2 2" xfId="15400"/>
    <cellStyle name="Comma 22 5 3" xfId="7137"/>
    <cellStyle name="Comma 22 5 3 2" xfId="13819"/>
    <cellStyle name="Comma 22 5 4" xfId="12034"/>
    <cellStyle name="Comma 22 6" xfId="5546"/>
    <cellStyle name="Comma 22 6 2" xfId="9287"/>
    <cellStyle name="Comma 22 6 2 2" xfId="15794"/>
    <cellStyle name="Comma 22 6 3" xfId="7568"/>
    <cellStyle name="Comma 22 6 3 2" xfId="14213"/>
    <cellStyle name="Comma 22 6 4" xfId="12439"/>
    <cellStyle name="Comma 22 7" xfId="9676"/>
    <cellStyle name="Comma 22 7 2" xfId="16176"/>
    <cellStyle name="Comma 22 8" xfId="7993"/>
    <cellStyle name="Comma 22 8 2" xfId="14607"/>
    <cellStyle name="Comma 22 9" xfId="6225"/>
    <cellStyle name="Comma 22 9 2" xfId="12950"/>
    <cellStyle name="Comma 23" xfId="3227"/>
    <cellStyle name="Comma 23 2" xfId="10570"/>
    <cellStyle name="Comma 24" xfId="3228"/>
    <cellStyle name="Comma 24 2" xfId="10571"/>
    <cellStyle name="Comma 25" xfId="3229"/>
    <cellStyle name="Comma 25 2" xfId="10572"/>
    <cellStyle name="Comma 25 3" xfId="16656"/>
    <cellStyle name="Comma 26" xfId="3230"/>
    <cellStyle name="Comma 26 2" xfId="10573"/>
    <cellStyle name="Comma 26 3" xfId="16657"/>
    <cellStyle name="Comma 27" xfId="4646"/>
    <cellStyle name="Comma 27 2" xfId="11591"/>
    <cellStyle name="Comma 27 3" xfId="16659"/>
    <cellStyle name="Comma 28" xfId="4647"/>
    <cellStyle name="Comma 28 2" xfId="11592"/>
    <cellStyle name="Comma 28 3" xfId="16660"/>
    <cellStyle name="Comma 29" xfId="4648"/>
    <cellStyle name="Comma 29 2" xfId="11593"/>
    <cellStyle name="Comma 29 3" xfId="16661"/>
    <cellStyle name="Comma 3" xfId="12"/>
    <cellStyle name="Comma 3 10" xfId="3231"/>
    <cellStyle name="Comma 3 10 2" xfId="10574"/>
    <cellStyle name="Comma 3 100" xfId="3232"/>
    <cellStyle name="Comma 3 100 2" xfId="10575"/>
    <cellStyle name="Comma 3 101" xfId="3233"/>
    <cellStyle name="Comma 3 101 2" xfId="10576"/>
    <cellStyle name="Comma 3 102" xfId="3234"/>
    <cellStyle name="Comma 3 102 2" xfId="10577"/>
    <cellStyle name="Comma 3 103" xfId="3235"/>
    <cellStyle name="Comma 3 103 2" xfId="10578"/>
    <cellStyle name="Comma 3 104" xfId="3236"/>
    <cellStyle name="Comma 3 104 2" xfId="10579"/>
    <cellStyle name="Comma 3 105" xfId="3237"/>
    <cellStyle name="Comma 3 105 2" xfId="10580"/>
    <cellStyle name="Comma 3 106" xfId="3238"/>
    <cellStyle name="Comma 3 106 2" xfId="10581"/>
    <cellStyle name="Comma 3 107" xfId="3239"/>
    <cellStyle name="Comma 3 107 2" xfId="10582"/>
    <cellStyle name="Comma 3 108" xfId="3240"/>
    <cellStyle name="Comma 3 108 2" xfId="10583"/>
    <cellStyle name="Comma 3 109" xfId="3241"/>
    <cellStyle name="Comma 3 109 2" xfId="10584"/>
    <cellStyle name="Comma 3 11" xfId="3242"/>
    <cellStyle name="Comma 3 11 2" xfId="10585"/>
    <cellStyle name="Comma 3 110" xfId="3243"/>
    <cellStyle name="Comma 3 110 2" xfId="10586"/>
    <cellStyle name="Comma 3 111" xfId="3244"/>
    <cellStyle name="Comma 3 111 2" xfId="10587"/>
    <cellStyle name="Comma 3 112" xfId="3245"/>
    <cellStyle name="Comma 3 112 2" xfId="10588"/>
    <cellStyle name="Comma 3 113" xfId="3246"/>
    <cellStyle name="Comma 3 113 2" xfId="10589"/>
    <cellStyle name="Comma 3 114" xfId="3247"/>
    <cellStyle name="Comma 3 114 2" xfId="10590"/>
    <cellStyle name="Comma 3 115" xfId="3248"/>
    <cellStyle name="Comma 3 115 2" xfId="10591"/>
    <cellStyle name="Comma 3 116" xfId="3249"/>
    <cellStyle name="Comma 3 116 2" xfId="10592"/>
    <cellStyle name="Comma 3 117" xfId="3250"/>
    <cellStyle name="Comma 3 117 2" xfId="10593"/>
    <cellStyle name="Comma 3 118" xfId="3251"/>
    <cellStyle name="Comma 3 118 2" xfId="10594"/>
    <cellStyle name="Comma 3 119" xfId="3252"/>
    <cellStyle name="Comma 3 119 2" xfId="10595"/>
    <cellStyle name="Comma 3 12" xfId="3253"/>
    <cellStyle name="Comma 3 12 2" xfId="10596"/>
    <cellStyle name="Comma 3 120" xfId="3254"/>
    <cellStyle name="Comma 3 120 2" xfId="10597"/>
    <cellStyle name="Comma 3 121" xfId="3255"/>
    <cellStyle name="Comma 3 121 2" xfId="10598"/>
    <cellStyle name="Comma 3 122" xfId="3256"/>
    <cellStyle name="Comma 3 122 2" xfId="10599"/>
    <cellStyle name="Comma 3 123" xfId="3257"/>
    <cellStyle name="Comma 3 123 2" xfId="10600"/>
    <cellStyle name="Comma 3 124" xfId="3258"/>
    <cellStyle name="Comma 3 124 2" xfId="10601"/>
    <cellStyle name="Comma 3 125" xfId="3259"/>
    <cellStyle name="Comma 3 125 2" xfId="10602"/>
    <cellStyle name="Comma 3 126" xfId="3260"/>
    <cellStyle name="Comma 3 126 2" xfId="10603"/>
    <cellStyle name="Comma 3 127" xfId="10250"/>
    <cellStyle name="Comma 3 128" xfId="16631"/>
    <cellStyle name="Comma 3 13" xfId="3261"/>
    <cellStyle name="Comma 3 13 2" xfId="10604"/>
    <cellStyle name="Comma 3 14" xfId="3262"/>
    <cellStyle name="Comma 3 14 2" xfId="10605"/>
    <cellStyle name="Comma 3 15" xfId="3263"/>
    <cellStyle name="Comma 3 15 2" xfId="10606"/>
    <cellStyle name="Comma 3 16" xfId="3264"/>
    <cellStyle name="Comma 3 16 2" xfId="10607"/>
    <cellStyle name="Comma 3 17" xfId="3265"/>
    <cellStyle name="Comma 3 17 2" xfId="10608"/>
    <cellStyle name="Comma 3 18" xfId="3266"/>
    <cellStyle name="Comma 3 18 2" xfId="10609"/>
    <cellStyle name="Comma 3 19" xfId="3267"/>
    <cellStyle name="Comma 3 19 2" xfId="10610"/>
    <cellStyle name="Comma 3 2" xfId="3268"/>
    <cellStyle name="Comma 3 2 2" xfId="3269"/>
    <cellStyle name="Comma 3 2 2 10" xfId="3270"/>
    <cellStyle name="Comma 3 2 2 10 2" xfId="10613"/>
    <cellStyle name="Comma 3 2 2 11" xfId="3271"/>
    <cellStyle name="Comma 3 2 2 11 2" xfId="10614"/>
    <cellStyle name="Comma 3 2 2 12" xfId="3272"/>
    <cellStyle name="Comma 3 2 2 12 2" xfId="10615"/>
    <cellStyle name="Comma 3 2 2 13" xfId="3273"/>
    <cellStyle name="Comma 3 2 2 13 2" xfId="10616"/>
    <cellStyle name="Comma 3 2 2 14" xfId="3274"/>
    <cellStyle name="Comma 3 2 2 14 2" xfId="10617"/>
    <cellStyle name="Comma 3 2 2 15" xfId="10612"/>
    <cellStyle name="Comma 3 2 2 2" xfId="3275"/>
    <cellStyle name="Comma 3 2 2 2 2" xfId="10618"/>
    <cellStyle name="Comma 3 2 2 3" xfId="3276"/>
    <cellStyle name="Comma 3 2 2 3 2" xfId="10619"/>
    <cellStyle name="Comma 3 2 2 4" xfId="3277"/>
    <cellStyle name="Comma 3 2 2 4 2" xfId="10620"/>
    <cellStyle name="Comma 3 2 2 5" xfId="3278"/>
    <cellStyle name="Comma 3 2 2 5 2" xfId="10621"/>
    <cellStyle name="Comma 3 2 2 6" xfId="3279"/>
    <cellStyle name="Comma 3 2 2 6 2" xfId="10622"/>
    <cellStyle name="Comma 3 2 2 7" xfId="3280"/>
    <cellStyle name="Comma 3 2 2 7 2" xfId="10623"/>
    <cellStyle name="Comma 3 2 2 8" xfId="3281"/>
    <cellStyle name="Comma 3 2 2 8 2" xfId="10624"/>
    <cellStyle name="Comma 3 2 2 9" xfId="3282"/>
    <cellStyle name="Comma 3 2 2 9 2" xfId="10625"/>
    <cellStyle name="Comma 3 2 3" xfId="3283"/>
    <cellStyle name="Comma 3 2 3 2" xfId="3284"/>
    <cellStyle name="Comma 3 2 3 2 2" xfId="10627"/>
    <cellStyle name="Comma 3 2 3 3" xfId="10626"/>
    <cellStyle name="Comma 3 2 4" xfId="3285"/>
    <cellStyle name="Comma 3 2 4 2" xfId="10628"/>
    <cellStyle name="Comma 3 2 5" xfId="3286"/>
    <cellStyle name="Comma 3 2 5 2" xfId="10629"/>
    <cellStyle name="Comma 3 2 6" xfId="10611"/>
    <cellStyle name="Comma 3 2_3.1.2 DB Pension Detail" xfId="3287"/>
    <cellStyle name="Comma 3 20" xfId="3288"/>
    <cellStyle name="Comma 3 20 2" xfId="10630"/>
    <cellStyle name="Comma 3 21" xfId="3289"/>
    <cellStyle name="Comma 3 21 2" xfId="10631"/>
    <cellStyle name="Comma 3 22" xfId="3290"/>
    <cellStyle name="Comma 3 22 2" xfId="10632"/>
    <cellStyle name="Comma 3 23" xfId="3291"/>
    <cellStyle name="Comma 3 23 2" xfId="10633"/>
    <cellStyle name="Comma 3 24" xfId="3292"/>
    <cellStyle name="Comma 3 24 2" xfId="10634"/>
    <cellStyle name="Comma 3 25" xfId="3293"/>
    <cellStyle name="Comma 3 25 2" xfId="10635"/>
    <cellStyle name="Comma 3 26" xfId="3294"/>
    <cellStyle name="Comma 3 26 2" xfId="10636"/>
    <cellStyle name="Comma 3 27" xfId="3295"/>
    <cellStyle name="Comma 3 27 2" xfId="10637"/>
    <cellStyle name="Comma 3 28" xfId="3296"/>
    <cellStyle name="Comma 3 28 2" xfId="10638"/>
    <cellStyle name="Comma 3 29" xfId="3297"/>
    <cellStyle name="Comma 3 29 2" xfId="10639"/>
    <cellStyle name="Comma 3 3" xfId="3298"/>
    <cellStyle name="Comma 3 3 2" xfId="3299"/>
    <cellStyle name="Comma 3 3 2 2" xfId="3300"/>
    <cellStyle name="Comma 3 3 2 2 2" xfId="10642"/>
    <cellStyle name="Comma 3 3 2 3" xfId="10641"/>
    <cellStyle name="Comma 3 3 3" xfId="3301"/>
    <cellStyle name="Comma 3 3 3 2" xfId="10643"/>
    <cellStyle name="Comma 3 3 4" xfId="3302"/>
    <cellStyle name="Comma 3 3 4 2" xfId="10644"/>
    <cellStyle name="Comma 3 3 5" xfId="10640"/>
    <cellStyle name="Comma 3 30" xfId="3303"/>
    <cellStyle name="Comma 3 30 2" xfId="10645"/>
    <cellStyle name="Comma 3 31" xfId="3304"/>
    <cellStyle name="Comma 3 31 2" xfId="10646"/>
    <cellStyle name="Comma 3 32" xfId="3305"/>
    <cellStyle name="Comma 3 32 2" xfId="10647"/>
    <cellStyle name="Comma 3 33" xfId="3306"/>
    <cellStyle name="Comma 3 33 2" xfId="10648"/>
    <cellStyle name="Comma 3 34" xfId="3307"/>
    <cellStyle name="Comma 3 34 2" xfId="10649"/>
    <cellStyle name="Comma 3 35" xfId="3308"/>
    <cellStyle name="Comma 3 35 2" xfId="10650"/>
    <cellStyle name="Comma 3 36" xfId="3309"/>
    <cellStyle name="Comma 3 36 2" xfId="10651"/>
    <cellStyle name="Comma 3 37" xfId="3310"/>
    <cellStyle name="Comma 3 37 2" xfId="10652"/>
    <cellStyle name="Comma 3 38" xfId="3311"/>
    <cellStyle name="Comma 3 38 2" xfId="10653"/>
    <cellStyle name="Comma 3 39" xfId="3312"/>
    <cellStyle name="Comma 3 39 2" xfId="10654"/>
    <cellStyle name="Comma 3 4" xfId="3313"/>
    <cellStyle name="Comma 3 4 2" xfId="10655"/>
    <cellStyle name="Comma 3 40" xfId="3314"/>
    <cellStyle name="Comma 3 40 2" xfId="10656"/>
    <cellStyle name="Comma 3 41" xfId="3315"/>
    <cellStyle name="Comma 3 41 2" xfId="10657"/>
    <cellStyle name="Comma 3 42" xfId="3316"/>
    <cellStyle name="Comma 3 42 2" xfId="10658"/>
    <cellStyle name="Comma 3 43" xfId="3317"/>
    <cellStyle name="Comma 3 43 2" xfId="10659"/>
    <cellStyle name="Comma 3 44" xfId="3318"/>
    <cellStyle name="Comma 3 44 2" xfId="10660"/>
    <cellStyle name="Comma 3 45" xfId="3319"/>
    <cellStyle name="Comma 3 45 2" xfId="10661"/>
    <cellStyle name="Comma 3 46" xfId="3320"/>
    <cellStyle name="Comma 3 46 2" xfId="10662"/>
    <cellStyle name="Comma 3 47" xfId="3321"/>
    <cellStyle name="Comma 3 47 2" xfId="10663"/>
    <cellStyle name="Comma 3 48" xfId="3322"/>
    <cellStyle name="Comma 3 48 2" xfId="10664"/>
    <cellStyle name="Comma 3 49" xfId="3323"/>
    <cellStyle name="Comma 3 49 2" xfId="10665"/>
    <cellStyle name="Comma 3 5" xfId="3324"/>
    <cellStyle name="Comma 3 5 2" xfId="10666"/>
    <cellStyle name="Comma 3 50" xfId="3325"/>
    <cellStyle name="Comma 3 50 2" xfId="10667"/>
    <cellStyle name="Comma 3 51" xfId="3326"/>
    <cellStyle name="Comma 3 51 10" xfId="3327"/>
    <cellStyle name="Comma 3 51 10 2" xfId="10669"/>
    <cellStyle name="Comma 3 51 11" xfId="3328"/>
    <cellStyle name="Comma 3 51 11 2" xfId="10670"/>
    <cellStyle name="Comma 3 51 12" xfId="3329"/>
    <cellStyle name="Comma 3 51 12 2" xfId="10671"/>
    <cellStyle name="Comma 3 51 13" xfId="3330"/>
    <cellStyle name="Comma 3 51 13 2" xfId="10672"/>
    <cellStyle name="Comma 3 51 14" xfId="3331"/>
    <cellStyle name="Comma 3 51 14 2" xfId="10673"/>
    <cellStyle name="Comma 3 51 15" xfId="3332"/>
    <cellStyle name="Comma 3 51 15 2" xfId="10674"/>
    <cellStyle name="Comma 3 51 16" xfId="3333"/>
    <cellStyle name="Comma 3 51 16 2" xfId="10675"/>
    <cellStyle name="Comma 3 51 17" xfId="3334"/>
    <cellStyle name="Comma 3 51 17 2" xfId="10676"/>
    <cellStyle name="Comma 3 51 18" xfId="10668"/>
    <cellStyle name="Comma 3 51 2" xfId="3335"/>
    <cellStyle name="Comma 3 51 2 2" xfId="10677"/>
    <cellStyle name="Comma 3 51 3" xfId="3336"/>
    <cellStyle name="Comma 3 51 3 2" xfId="10678"/>
    <cellStyle name="Comma 3 51 4" xfId="3337"/>
    <cellStyle name="Comma 3 51 4 2" xfId="10679"/>
    <cellStyle name="Comma 3 51 5" xfId="3338"/>
    <cellStyle name="Comma 3 51 5 2" xfId="10680"/>
    <cellStyle name="Comma 3 51 6" xfId="3339"/>
    <cellStyle name="Comma 3 51 6 2" xfId="10681"/>
    <cellStyle name="Comma 3 51 7" xfId="3340"/>
    <cellStyle name="Comma 3 51 7 2" xfId="10682"/>
    <cellStyle name="Comma 3 51 8" xfId="3341"/>
    <cellStyle name="Comma 3 51 8 2" xfId="10683"/>
    <cellStyle name="Comma 3 51 9" xfId="3342"/>
    <cellStyle name="Comma 3 51 9 2" xfId="10684"/>
    <cellStyle name="Comma 3 52" xfId="3343"/>
    <cellStyle name="Comma 3 52 10" xfId="3344"/>
    <cellStyle name="Comma 3 52 10 2" xfId="10686"/>
    <cellStyle name="Comma 3 52 11" xfId="3345"/>
    <cellStyle name="Comma 3 52 11 2" xfId="10687"/>
    <cellStyle name="Comma 3 52 12" xfId="3346"/>
    <cellStyle name="Comma 3 52 12 2" xfId="10688"/>
    <cellStyle name="Comma 3 52 13" xfId="3347"/>
    <cellStyle name="Comma 3 52 13 2" xfId="10689"/>
    <cellStyle name="Comma 3 52 14" xfId="3348"/>
    <cellStyle name="Comma 3 52 14 2" xfId="10690"/>
    <cellStyle name="Comma 3 52 15" xfId="3349"/>
    <cellStyle name="Comma 3 52 15 2" xfId="10691"/>
    <cellStyle name="Comma 3 52 16" xfId="3350"/>
    <cellStyle name="Comma 3 52 16 2" xfId="10692"/>
    <cellStyle name="Comma 3 52 17" xfId="3351"/>
    <cellStyle name="Comma 3 52 17 2" xfId="10693"/>
    <cellStyle name="Comma 3 52 18" xfId="10685"/>
    <cellStyle name="Comma 3 52 2" xfId="3352"/>
    <cellStyle name="Comma 3 52 2 2" xfId="10694"/>
    <cellStyle name="Comma 3 52 3" xfId="3353"/>
    <cellStyle name="Comma 3 52 3 2" xfId="10695"/>
    <cellStyle name="Comma 3 52 4" xfId="3354"/>
    <cellStyle name="Comma 3 52 4 2" xfId="10696"/>
    <cellStyle name="Comma 3 52 5" xfId="3355"/>
    <cellStyle name="Comma 3 52 5 2" xfId="10697"/>
    <cellStyle name="Comma 3 52 6" xfId="3356"/>
    <cellStyle name="Comma 3 52 6 2" xfId="10698"/>
    <cellStyle name="Comma 3 52 7" xfId="3357"/>
    <cellStyle name="Comma 3 52 7 2" xfId="10699"/>
    <cellStyle name="Comma 3 52 8" xfId="3358"/>
    <cellStyle name="Comma 3 52 8 2" xfId="10700"/>
    <cellStyle name="Comma 3 52 9" xfId="3359"/>
    <cellStyle name="Comma 3 52 9 2" xfId="10701"/>
    <cellStyle name="Comma 3 53" xfId="3360"/>
    <cellStyle name="Comma 3 53 2" xfId="10702"/>
    <cellStyle name="Comma 3 54" xfId="3361"/>
    <cellStyle name="Comma 3 54 2" xfId="10703"/>
    <cellStyle name="Comma 3 55" xfId="3362"/>
    <cellStyle name="Comma 3 55 2" xfId="10704"/>
    <cellStyle name="Comma 3 56" xfId="3363"/>
    <cellStyle name="Comma 3 56 2" xfId="10705"/>
    <cellStyle name="Comma 3 57" xfId="3364"/>
    <cellStyle name="Comma 3 57 2" xfId="10706"/>
    <cellStyle name="Comma 3 58" xfId="3365"/>
    <cellStyle name="Comma 3 58 2" xfId="10707"/>
    <cellStyle name="Comma 3 59" xfId="3366"/>
    <cellStyle name="Comma 3 59 2" xfId="10708"/>
    <cellStyle name="Comma 3 6" xfId="3367"/>
    <cellStyle name="Comma 3 6 2" xfId="10709"/>
    <cellStyle name="Comma 3 60" xfId="3368"/>
    <cellStyle name="Comma 3 60 2" xfId="10710"/>
    <cellStyle name="Comma 3 61" xfId="3369"/>
    <cellStyle name="Comma 3 61 2" xfId="10711"/>
    <cellStyle name="Comma 3 62" xfId="3370"/>
    <cellStyle name="Comma 3 62 2" xfId="10712"/>
    <cellStyle name="Comma 3 63" xfId="3371"/>
    <cellStyle name="Comma 3 63 2" xfId="10713"/>
    <cellStyle name="Comma 3 64" xfId="3372"/>
    <cellStyle name="Comma 3 64 2" xfId="10714"/>
    <cellStyle name="Comma 3 65" xfId="3373"/>
    <cellStyle name="Comma 3 65 2" xfId="10715"/>
    <cellStyle name="Comma 3 66" xfId="3374"/>
    <cellStyle name="Comma 3 66 2" xfId="10716"/>
    <cellStyle name="Comma 3 67" xfId="3375"/>
    <cellStyle name="Comma 3 67 2" xfId="10717"/>
    <cellStyle name="Comma 3 68" xfId="3376"/>
    <cellStyle name="Comma 3 68 2" xfId="10718"/>
    <cellStyle name="Comma 3 69" xfId="3377"/>
    <cellStyle name="Comma 3 69 2" xfId="10719"/>
    <cellStyle name="Comma 3 7" xfId="3378"/>
    <cellStyle name="Comma 3 7 2" xfId="10720"/>
    <cellStyle name="Comma 3 70" xfId="3379"/>
    <cellStyle name="Comma 3 70 2" xfId="10721"/>
    <cellStyle name="Comma 3 71" xfId="3380"/>
    <cellStyle name="Comma 3 71 2" xfId="10722"/>
    <cellStyle name="Comma 3 72" xfId="3381"/>
    <cellStyle name="Comma 3 72 2" xfId="10723"/>
    <cellStyle name="Comma 3 73" xfId="3382"/>
    <cellStyle name="Comma 3 73 2" xfId="10724"/>
    <cellStyle name="Comma 3 74" xfId="3383"/>
    <cellStyle name="Comma 3 74 2" xfId="10725"/>
    <cellStyle name="Comma 3 75" xfId="3384"/>
    <cellStyle name="Comma 3 75 2" xfId="10726"/>
    <cellStyle name="Comma 3 76" xfId="3385"/>
    <cellStyle name="Comma 3 76 2" xfId="10727"/>
    <cellStyle name="Comma 3 77" xfId="3386"/>
    <cellStyle name="Comma 3 77 2" xfId="10728"/>
    <cellStyle name="Comma 3 78" xfId="3387"/>
    <cellStyle name="Comma 3 78 2" xfId="10729"/>
    <cellStyle name="Comma 3 79" xfId="3388"/>
    <cellStyle name="Comma 3 79 2" xfId="10730"/>
    <cellStyle name="Comma 3 8" xfId="3389"/>
    <cellStyle name="Comma 3 8 2" xfId="10731"/>
    <cellStyle name="Comma 3 80" xfId="3390"/>
    <cellStyle name="Comma 3 80 2" xfId="10732"/>
    <cellStyle name="Comma 3 81" xfId="3391"/>
    <cellStyle name="Comma 3 81 2" xfId="10733"/>
    <cellStyle name="Comma 3 82" xfId="3392"/>
    <cellStyle name="Comma 3 82 2" xfId="10734"/>
    <cellStyle name="Comma 3 83" xfId="3393"/>
    <cellStyle name="Comma 3 83 2" xfId="10735"/>
    <cellStyle name="Comma 3 84" xfId="3394"/>
    <cellStyle name="Comma 3 84 2" xfId="10736"/>
    <cellStyle name="Comma 3 85" xfId="3395"/>
    <cellStyle name="Comma 3 85 2" xfId="10737"/>
    <cellStyle name="Comma 3 86" xfId="3396"/>
    <cellStyle name="Comma 3 86 2" xfId="10738"/>
    <cellStyle name="Comma 3 87" xfId="3397"/>
    <cellStyle name="Comma 3 87 2" xfId="10739"/>
    <cellStyle name="Comma 3 88" xfId="3398"/>
    <cellStyle name="Comma 3 88 2" xfId="10740"/>
    <cellStyle name="Comma 3 89" xfId="3399"/>
    <cellStyle name="Comma 3 89 2" xfId="10741"/>
    <cellStyle name="Comma 3 9" xfId="3400"/>
    <cellStyle name="Comma 3 9 2" xfId="10742"/>
    <cellStyle name="Comma 3 90" xfId="3401"/>
    <cellStyle name="Comma 3 90 2" xfId="10743"/>
    <cellStyle name="Comma 3 91" xfId="3402"/>
    <cellStyle name="Comma 3 91 2" xfId="10744"/>
    <cellStyle name="Comma 3 92" xfId="3403"/>
    <cellStyle name="Comma 3 92 2" xfId="10745"/>
    <cellStyle name="Comma 3 93" xfId="3404"/>
    <cellStyle name="Comma 3 93 2" xfId="10746"/>
    <cellStyle name="Comma 3 94" xfId="3405"/>
    <cellStyle name="Comma 3 94 2" xfId="10747"/>
    <cellStyle name="Comma 3 95" xfId="3406"/>
    <cellStyle name="Comma 3 95 2" xfId="10748"/>
    <cellStyle name="Comma 3 96" xfId="3407"/>
    <cellStyle name="Comma 3 96 2" xfId="10749"/>
    <cellStyle name="Comma 3 97" xfId="3408"/>
    <cellStyle name="Comma 3 97 2" xfId="10750"/>
    <cellStyle name="Comma 3 98" xfId="3409"/>
    <cellStyle name="Comma 3 98 2" xfId="10751"/>
    <cellStyle name="Comma 3 99" xfId="3410"/>
    <cellStyle name="Comma 3 99 2" xfId="10752"/>
    <cellStyle name="Comma 3*" xfId="3411"/>
    <cellStyle name="Comma 3_3.1.2 DB Pension Detail" xfId="3412"/>
    <cellStyle name="Comma 30" xfId="4649"/>
    <cellStyle name="Comma 30 2" xfId="11594"/>
    <cellStyle name="Comma 30 3" xfId="16662"/>
    <cellStyle name="Comma 31" xfId="4650"/>
    <cellStyle name="Comma 31 2" xfId="11595"/>
    <cellStyle name="Comma 31 3" xfId="16663"/>
    <cellStyle name="Comma 32" xfId="4651"/>
    <cellStyle name="Comma 32 2" xfId="11596"/>
    <cellStyle name="Comma 32 3" xfId="16664"/>
    <cellStyle name="Comma 33" xfId="4652"/>
    <cellStyle name="Comma 33 2" xfId="11597"/>
    <cellStyle name="Comma 33 3" xfId="16665"/>
    <cellStyle name="Comma 34" xfId="4653"/>
    <cellStyle name="Comma 34 2" xfId="11598"/>
    <cellStyle name="Comma 34 3" xfId="16666"/>
    <cellStyle name="Comma 35" xfId="4654"/>
    <cellStyle name="Comma 35 2" xfId="11599"/>
    <cellStyle name="Comma 35 3" xfId="16667"/>
    <cellStyle name="Comma 36" xfId="4670"/>
    <cellStyle name="Comma 36 2" xfId="5074"/>
    <cellStyle name="Comma 36 2 2" xfId="8817"/>
    <cellStyle name="Comma 36 2 2 2" xfId="15365"/>
    <cellStyle name="Comma 36 2 3" xfId="7098"/>
    <cellStyle name="Comma 36 2 3 2" xfId="13784"/>
    <cellStyle name="Comma 36 2 4" xfId="11999"/>
    <cellStyle name="Comma 36 3" xfId="10070"/>
    <cellStyle name="Comma 36 3 2" xfId="16551"/>
    <cellStyle name="Comma 36 4" xfId="8417"/>
    <cellStyle name="Comma 36 4 2" xfId="14969"/>
    <cellStyle name="Comma 36 5" xfId="6698"/>
    <cellStyle name="Comma 36 5 2" xfId="13388"/>
    <cellStyle name="Comma 36 6" xfId="11602"/>
    <cellStyle name="Comma 36 7" xfId="16709"/>
    <cellStyle name="Comma 37" xfId="4733"/>
    <cellStyle name="Comma 37 2" xfId="11662"/>
    <cellStyle name="Comma 38" xfId="9721"/>
    <cellStyle name="Comma 38 2" xfId="16214"/>
    <cellStyle name="Comma 39" xfId="9671"/>
    <cellStyle name="Comma 39 2" xfId="16173"/>
    <cellStyle name="Comma 4" xfId="43"/>
    <cellStyle name="Comma 4 10" xfId="3413"/>
    <cellStyle name="Comma 4 10 2" xfId="10753"/>
    <cellStyle name="Comma 4 11" xfId="3414"/>
    <cellStyle name="Comma 4 11 2" xfId="10754"/>
    <cellStyle name="Comma 4 12" xfId="3415"/>
    <cellStyle name="Comma 4 12 2" xfId="10755"/>
    <cellStyle name="Comma 4 13" xfId="3416"/>
    <cellStyle name="Comma 4 13 2" xfId="10756"/>
    <cellStyle name="Comma 4 14" xfId="3417"/>
    <cellStyle name="Comma 4 14 2" xfId="10757"/>
    <cellStyle name="Comma 4 15" xfId="3418"/>
    <cellStyle name="Comma 4 15 2" xfId="10758"/>
    <cellStyle name="Comma 4 16" xfId="3419"/>
    <cellStyle name="Comma 4 16 2" xfId="10759"/>
    <cellStyle name="Comma 4 17" xfId="3420"/>
    <cellStyle name="Comma 4 17 2" xfId="10760"/>
    <cellStyle name="Comma 4 18" xfId="3421"/>
    <cellStyle name="Comma 4 18 2" xfId="10761"/>
    <cellStyle name="Comma 4 19" xfId="3422"/>
    <cellStyle name="Comma 4 19 2" xfId="10762"/>
    <cellStyle name="Comma 4 2" xfId="3423"/>
    <cellStyle name="Comma 4 2 10" xfId="3424"/>
    <cellStyle name="Comma 4 2 10 2" xfId="10764"/>
    <cellStyle name="Comma 4 2 100" xfId="3425"/>
    <cellStyle name="Comma 4 2 100 2" xfId="10765"/>
    <cellStyle name="Comma 4 2 101" xfId="3426"/>
    <cellStyle name="Comma 4 2 101 2" xfId="10766"/>
    <cellStyle name="Comma 4 2 102" xfId="3427"/>
    <cellStyle name="Comma 4 2 102 2" xfId="10767"/>
    <cellStyle name="Comma 4 2 103" xfId="3428"/>
    <cellStyle name="Comma 4 2 103 2" xfId="10768"/>
    <cellStyle name="Comma 4 2 104" xfId="3429"/>
    <cellStyle name="Comma 4 2 104 2" xfId="10769"/>
    <cellStyle name="Comma 4 2 105" xfId="3430"/>
    <cellStyle name="Comma 4 2 105 2" xfId="10770"/>
    <cellStyle name="Comma 4 2 106" xfId="3431"/>
    <cellStyle name="Comma 4 2 106 2" xfId="10771"/>
    <cellStyle name="Comma 4 2 107" xfId="3432"/>
    <cellStyle name="Comma 4 2 107 2" xfId="10772"/>
    <cellStyle name="Comma 4 2 108" xfId="3433"/>
    <cellStyle name="Comma 4 2 108 2" xfId="10773"/>
    <cellStyle name="Comma 4 2 109" xfId="3434"/>
    <cellStyle name="Comma 4 2 109 2" xfId="10774"/>
    <cellStyle name="Comma 4 2 11" xfId="3435"/>
    <cellStyle name="Comma 4 2 11 2" xfId="10775"/>
    <cellStyle name="Comma 4 2 110" xfId="10763"/>
    <cellStyle name="Comma 4 2 12" xfId="3436"/>
    <cellStyle name="Comma 4 2 12 2" xfId="10776"/>
    <cellStyle name="Comma 4 2 13" xfId="3437"/>
    <cellStyle name="Comma 4 2 13 2" xfId="10777"/>
    <cellStyle name="Comma 4 2 14" xfId="3438"/>
    <cellStyle name="Comma 4 2 14 2" xfId="10778"/>
    <cellStyle name="Comma 4 2 15" xfId="3439"/>
    <cellStyle name="Comma 4 2 15 2" xfId="10779"/>
    <cellStyle name="Comma 4 2 16" xfId="3440"/>
    <cellStyle name="Comma 4 2 16 2" xfId="10780"/>
    <cellStyle name="Comma 4 2 17" xfId="3441"/>
    <cellStyle name="Comma 4 2 17 2" xfId="10781"/>
    <cellStyle name="Comma 4 2 18" xfId="3442"/>
    <cellStyle name="Comma 4 2 18 2" xfId="10782"/>
    <cellStyle name="Comma 4 2 19" xfId="3443"/>
    <cellStyle name="Comma 4 2 19 2" xfId="10783"/>
    <cellStyle name="Comma 4 2 2" xfId="3444"/>
    <cellStyle name="Comma 4 2 2 10" xfId="3445"/>
    <cellStyle name="Comma 4 2 2 10 2" xfId="10785"/>
    <cellStyle name="Comma 4 2 2 11" xfId="3446"/>
    <cellStyle name="Comma 4 2 2 11 2" xfId="10786"/>
    <cellStyle name="Comma 4 2 2 12" xfId="3447"/>
    <cellStyle name="Comma 4 2 2 12 2" xfId="10787"/>
    <cellStyle name="Comma 4 2 2 13" xfId="3448"/>
    <cellStyle name="Comma 4 2 2 13 2" xfId="10788"/>
    <cellStyle name="Comma 4 2 2 14" xfId="10784"/>
    <cellStyle name="Comma 4 2 2 2" xfId="3449"/>
    <cellStyle name="Comma 4 2 2 2 2" xfId="10789"/>
    <cellStyle name="Comma 4 2 2 3" xfId="3450"/>
    <cellStyle name="Comma 4 2 2 3 2" xfId="10790"/>
    <cellStyle name="Comma 4 2 2 4" xfId="3451"/>
    <cellStyle name="Comma 4 2 2 4 2" xfId="10791"/>
    <cellStyle name="Comma 4 2 2 5" xfId="3452"/>
    <cellStyle name="Comma 4 2 2 5 2" xfId="10792"/>
    <cellStyle name="Comma 4 2 2 6" xfId="3453"/>
    <cellStyle name="Comma 4 2 2 6 2" xfId="10793"/>
    <cellStyle name="Comma 4 2 2 7" xfId="3454"/>
    <cellStyle name="Comma 4 2 2 7 2" xfId="10794"/>
    <cellStyle name="Comma 4 2 2 8" xfId="3455"/>
    <cellStyle name="Comma 4 2 2 8 2" xfId="10795"/>
    <cellStyle name="Comma 4 2 2 9" xfId="3456"/>
    <cellStyle name="Comma 4 2 2 9 2" xfId="10796"/>
    <cellStyle name="Comma 4 2 20" xfId="3457"/>
    <cellStyle name="Comma 4 2 20 2" xfId="10797"/>
    <cellStyle name="Comma 4 2 21" xfId="3458"/>
    <cellStyle name="Comma 4 2 21 2" xfId="10798"/>
    <cellStyle name="Comma 4 2 22" xfId="3459"/>
    <cellStyle name="Comma 4 2 22 2" xfId="10799"/>
    <cellStyle name="Comma 4 2 23" xfId="3460"/>
    <cellStyle name="Comma 4 2 23 10" xfId="3461"/>
    <cellStyle name="Comma 4 2 23 10 2" xfId="10801"/>
    <cellStyle name="Comma 4 2 23 11" xfId="3462"/>
    <cellStyle name="Comma 4 2 23 11 2" xfId="10802"/>
    <cellStyle name="Comma 4 2 23 12" xfId="3463"/>
    <cellStyle name="Comma 4 2 23 12 2" xfId="10803"/>
    <cellStyle name="Comma 4 2 23 13" xfId="3464"/>
    <cellStyle name="Comma 4 2 23 13 2" xfId="10804"/>
    <cellStyle name="Comma 4 2 23 14" xfId="3465"/>
    <cellStyle name="Comma 4 2 23 14 2" xfId="10805"/>
    <cellStyle name="Comma 4 2 23 15" xfId="3466"/>
    <cellStyle name="Comma 4 2 23 15 2" xfId="10806"/>
    <cellStyle name="Comma 4 2 23 16" xfId="3467"/>
    <cellStyle name="Comma 4 2 23 16 2" xfId="10807"/>
    <cellStyle name="Comma 4 2 23 17" xfId="3468"/>
    <cellStyle name="Comma 4 2 23 17 2" xfId="10808"/>
    <cellStyle name="Comma 4 2 23 18" xfId="10800"/>
    <cellStyle name="Comma 4 2 23 2" xfId="3469"/>
    <cellStyle name="Comma 4 2 23 2 2" xfId="10809"/>
    <cellStyle name="Comma 4 2 23 3" xfId="3470"/>
    <cellStyle name="Comma 4 2 23 3 2" xfId="10810"/>
    <cellStyle name="Comma 4 2 23 4" xfId="3471"/>
    <cellStyle name="Comma 4 2 23 4 2" xfId="10811"/>
    <cellStyle name="Comma 4 2 23 5" xfId="3472"/>
    <cellStyle name="Comma 4 2 23 5 2" xfId="10812"/>
    <cellStyle name="Comma 4 2 23 6" xfId="3473"/>
    <cellStyle name="Comma 4 2 23 6 2" xfId="10813"/>
    <cellStyle name="Comma 4 2 23 7" xfId="3474"/>
    <cellStyle name="Comma 4 2 23 7 2" xfId="10814"/>
    <cellStyle name="Comma 4 2 23 8" xfId="3475"/>
    <cellStyle name="Comma 4 2 23 8 2" xfId="10815"/>
    <cellStyle name="Comma 4 2 23 9" xfId="3476"/>
    <cellStyle name="Comma 4 2 23 9 2" xfId="10816"/>
    <cellStyle name="Comma 4 2 24" xfId="3477"/>
    <cellStyle name="Comma 4 2 24 2" xfId="10817"/>
    <cellStyle name="Comma 4 2 25" xfId="3478"/>
    <cellStyle name="Comma 4 2 25 2" xfId="10818"/>
    <cellStyle name="Comma 4 2 26" xfId="3479"/>
    <cellStyle name="Comma 4 2 26 2" xfId="10819"/>
    <cellStyle name="Comma 4 2 27" xfId="3480"/>
    <cellStyle name="Comma 4 2 27 2" xfId="10820"/>
    <cellStyle name="Comma 4 2 28" xfId="3481"/>
    <cellStyle name="Comma 4 2 28 2" xfId="10821"/>
    <cellStyle name="Comma 4 2 29" xfId="3482"/>
    <cellStyle name="Comma 4 2 29 2" xfId="10822"/>
    <cellStyle name="Comma 4 2 3" xfId="3483"/>
    <cellStyle name="Comma 4 2 3 2" xfId="10823"/>
    <cellStyle name="Comma 4 2 30" xfId="3484"/>
    <cellStyle name="Comma 4 2 30 2" xfId="10824"/>
    <cellStyle name="Comma 4 2 31" xfId="3485"/>
    <cellStyle name="Comma 4 2 31 2" xfId="10825"/>
    <cellStyle name="Comma 4 2 32" xfId="3486"/>
    <cellStyle name="Comma 4 2 32 2" xfId="10826"/>
    <cellStyle name="Comma 4 2 33" xfId="3487"/>
    <cellStyle name="Comma 4 2 33 2" xfId="10827"/>
    <cellStyle name="Comma 4 2 34" xfId="3488"/>
    <cellStyle name="Comma 4 2 34 2" xfId="10828"/>
    <cellStyle name="Comma 4 2 35" xfId="3489"/>
    <cellStyle name="Comma 4 2 35 2" xfId="10829"/>
    <cellStyle name="Comma 4 2 36" xfId="3490"/>
    <cellStyle name="Comma 4 2 36 2" xfId="10830"/>
    <cellStyle name="Comma 4 2 37" xfId="3491"/>
    <cellStyle name="Comma 4 2 37 2" xfId="10831"/>
    <cellStyle name="Comma 4 2 38" xfId="3492"/>
    <cellStyle name="Comma 4 2 38 2" xfId="10832"/>
    <cellStyle name="Comma 4 2 39" xfId="3493"/>
    <cellStyle name="Comma 4 2 39 2" xfId="10833"/>
    <cellStyle name="Comma 4 2 4" xfId="3494"/>
    <cellStyle name="Comma 4 2 4 2" xfId="10834"/>
    <cellStyle name="Comma 4 2 40" xfId="3495"/>
    <cellStyle name="Comma 4 2 40 2" xfId="10835"/>
    <cellStyle name="Comma 4 2 41" xfId="3496"/>
    <cellStyle name="Comma 4 2 41 2" xfId="10836"/>
    <cellStyle name="Comma 4 2 42" xfId="3497"/>
    <cellStyle name="Comma 4 2 42 2" xfId="10837"/>
    <cellStyle name="Comma 4 2 43" xfId="3498"/>
    <cellStyle name="Comma 4 2 43 2" xfId="10838"/>
    <cellStyle name="Comma 4 2 44" xfId="3499"/>
    <cellStyle name="Comma 4 2 44 2" xfId="10839"/>
    <cellStyle name="Comma 4 2 45" xfId="3500"/>
    <cellStyle name="Comma 4 2 45 2" xfId="10840"/>
    <cellStyle name="Comma 4 2 46" xfId="3501"/>
    <cellStyle name="Comma 4 2 46 2" xfId="10841"/>
    <cellStyle name="Comma 4 2 47" xfId="3502"/>
    <cellStyle name="Comma 4 2 47 2" xfId="10842"/>
    <cellStyle name="Comma 4 2 48" xfId="3503"/>
    <cellStyle name="Comma 4 2 48 2" xfId="10843"/>
    <cellStyle name="Comma 4 2 49" xfId="3504"/>
    <cellStyle name="Comma 4 2 49 2" xfId="10844"/>
    <cellStyle name="Comma 4 2 5" xfId="3505"/>
    <cellStyle name="Comma 4 2 5 2" xfId="10845"/>
    <cellStyle name="Comma 4 2 50" xfId="3506"/>
    <cellStyle name="Comma 4 2 50 2" xfId="10846"/>
    <cellStyle name="Comma 4 2 51" xfId="3507"/>
    <cellStyle name="Comma 4 2 51 2" xfId="10847"/>
    <cellStyle name="Comma 4 2 52" xfId="3508"/>
    <cellStyle name="Comma 4 2 52 2" xfId="10848"/>
    <cellStyle name="Comma 4 2 53" xfId="3509"/>
    <cellStyle name="Comma 4 2 53 2" xfId="10849"/>
    <cellStyle name="Comma 4 2 54" xfId="3510"/>
    <cellStyle name="Comma 4 2 54 2" xfId="10850"/>
    <cellStyle name="Comma 4 2 55" xfId="3511"/>
    <cellStyle name="Comma 4 2 55 2" xfId="10851"/>
    <cellStyle name="Comma 4 2 56" xfId="3512"/>
    <cellStyle name="Comma 4 2 56 2" xfId="10852"/>
    <cellStyle name="Comma 4 2 57" xfId="3513"/>
    <cellStyle name="Comma 4 2 57 2" xfId="10853"/>
    <cellStyle name="Comma 4 2 58" xfId="3514"/>
    <cellStyle name="Comma 4 2 58 2" xfId="10854"/>
    <cellStyle name="Comma 4 2 59" xfId="3515"/>
    <cellStyle name="Comma 4 2 59 2" xfId="10855"/>
    <cellStyle name="Comma 4 2 6" xfId="3516"/>
    <cellStyle name="Comma 4 2 6 2" xfId="10856"/>
    <cellStyle name="Comma 4 2 60" xfId="3517"/>
    <cellStyle name="Comma 4 2 60 2" xfId="10857"/>
    <cellStyle name="Comma 4 2 61" xfId="3518"/>
    <cellStyle name="Comma 4 2 61 2" xfId="10858"/>
    <cellStyle name="Comma 4 2 62" xfId="3519"/>
    <cellStyle name="Comma 4 2 62 2" xfId="10859"/>
    <cellStyle name="Comma 4 2 63" xfId="3520"/>
    <cellStyle name="Comma 4 2 63 2" xfId="10860"/>
    <cellStyle name="Comma 4 2 64" xfId="3521"/>
    <cellStyle name="Comma 4 2 64 2" xfId="10861"/>
    <cellStyle name="Comma 4 2 65" xfId="3522"/>
    <cellStyle name="Comma 4 2 65 2" xfId="10862"/>
    <cellStyle name="Comma 4 2 66" xfId="3523"/>
    <cellStyle name="Comma 4 2 66 2" xfId="10863"/>
    <cellStyle name="Comma 4 2 67" xfId="3524"/>
    <cellStyle name="Comma 4 2 67 2" xfId="10864"/>
    <cellStyle name="Comma 4 2 68" xfId="3525"/>
    <cellStyle name="Comma 4 2 68 2" xfId="10865"/>
    <cellStyle name="Comma 4 2 69" xfId="3526"/>
    <cellStyle name="Comma 4 2 69 2" xfId="10866"/>
    <cellStyle name="Comma 4 2 7" xfId="3527"/>
    <cellStyle name="Comma 4 2 7 2" xfId="10867"/>
    <cellStyle name="Comma 4 2 70" xfId="3528"/>
    <cellStyle name="Comma 4 2 70 2" xfId="10868"/>
    <cellStyle name="Comma 4 2 71" xfId="3529"/>
    <cellStyle name="Comma 4 2 71 2" xfId="10869"/>
    <cellStyle name="Comma 4 2 72" xfId="3530"/>
    <cellStyle name="Comma 4 2 72 2" xfId="10870"/>
    <cellStyle name="Comma 4 2 73" xfId="3531"/>
    <cellStyle name="Comma 4 2 73 2" xfId="10871"/>
    <cellStyle name="Comma 4 2 74" xfId="3532"/>
    <cellStyle name="Comma 4 2 74 2" xfId="10872"/>
    <cellStyle name="Comma 4 2 75" xfId="3533"/>
    <cellStyle name="Comma 4 2 75 2" xfId="10873"/>
    <cellStyle name="Comma 4 2 76" xfId="3534"/>
    <cellStyle name="Comma 4 2 76 2" xfId="10874"/>
    <cellStyle name="Comma 4 2 77" xfId="3535"/>
    <cellStyle name="Comma 4 2 77 2" xfId="10875"/>
    <cellStyle name="Comma 4 2 78" xfId="3536"/>
    <cellStyle name="Comma 4 2 78 2" xfId="10876"/>
    <cellStyle name="Comma 4 2 79" xfId="3537"/>
    <cellStyle name="Comma 4 2 79 2" xfId="10877"/>
    <cellStyle name="Comma 4 2 8" xfId="3538"/>
    <cellStyle name="Comma 4 2 8 2" xfId="10878"/>
    <cellStyle name="Comma 4 2 80" xfId="3539"/>
    <cellStyle name="Comma 4 2 80 2" xfId="10879"/>
    <cellStyle name="Comma 4 2 81" xfId="3540"/>
    <cellStyle name="Comma 4 2 81 2" xfId="10880"/>
    <cellStyle name="Comma 4 2 82" xfId="3541"/>
    <cellStyle name="Comma 4 2 82 2" xfId="10881"/>
    <cellStyle name="Comma 4 2 83" xfId="3542"/>
    <cellStyle name="Comma 4 2 83 2" xfId="10882"/>
    <cellStyle name="Comma 4 2 84" xfId="3543"/>
    <cellStyle name="Comma 4 2 84 2" xfId="10883"/>
    <cellStyle name="Comma 4 2 85" xfId="3544"/>
    <cellStyle name="Comma 4 2 85 2" xfId="10884"/>
    <cellStyle name="Comma 4 2 86" xfId="3545"/>
    <cellStyle name="Comma 4 2 86 2" xfId="10885"/>
    <cellStyle name="Comma 4 2 87" xfId="3546"/>
    <cellStyle name="Comma 4 2 87 2" xfId="10886"/>
    <cellStyle name="Comma 4 2 88" xfId="3547"/>
    <cellStyle name="Comma 4 2 88 2" xfId="10887"/>
    <cellStyle name="Comma 4 2 89" xfId="3548"/>
    <cellStyle name="Comma 4 2 89 2" xfId="10888"/>
    <cellStyle name="Comma 4 2 9" xfId="3549"/>
    <cellStyle name="Comma 4 2 9 2" xfId="10889"/>
    <cellStyle name="Comma 4 2 90" xfId="3550"/>
    <cellStyle name="Comma 4 2 90 2" xfId="10890"/>
    <cellStyle name="Comma 4 2 91" xfId="3551"/>
    <cellStyle name="Comma 4 2 91 2" xfId="10891"/>
    <cellStyle name="Comma 4 2 92" xfId="3552"/>
    <cellStyle name="Comma 4 2 92 2" xfId="10892"/>
    <cellStyle name="Comma 4 2 93" xfId="3553"/>
    <cellStyle name="Comma 4 2 93 2" xfId="10893"/>
    <cellStyle name="Comma 4 2 94" xfId="3554"/>
    <cellStyle name="Comma 4 2 94 2" xfId="10894"/>
    <cellStyle name="Comma 4 2 95" xfId="3555"/>
    <cellStyle name="Comma 4 2 95 2" xfId="10895"/>
    <cellStyle name="Comma 4 2 96" xfId="3556"/>
    <cellStyle name="Comma 4 2 96 2" xfId="10896"/>
    <cellStyle name="Comma 4 2 97" xfId="3557"/>
    <cellStyle name="Comma 4 2 97 2" xfId="10897"/>
    <cellStyle name="Comma 4 2 98" xfId="3558"/>
    <cellStyle name="Comma 4 2 98 2" xfId="10898"/>
    <cellStyle name="Comma 4 2 99" xfId="3559"/>
    <cellStyle name="Comma 4 2 99 2" xfId="10899"/>
    <cellStyle name="Comma 4 20" xfId="3560"/>
    <cellStyle name="Comma 4 20 2" xfId="10900"/>
    <cellStyle name="Comma 4 21" xfId="3561"/>
    <cellStyle name="Comma 4 21 2" xfId="10901"/>
    <cellStyle name="Comma 4 22" xfId="3562"/>
    <cellStyle name="Comma 4 22 2" xfId="10902"/>
    <cellStyle name="Comma 4 23" xfId="3563"/>
    <cellStyle name="Comma 4 23 2" xfId="10903"/>
    <cellStyle name="Comma 4 24" xfId="3564"/>
    <cellStyle name="Comma 4 24 2" xfId="10904"/>
    <cellStyle name="Comma 4 25" xfId="3565"/>
    <cellStyle name="Comma 4 25 2" xfId="10905"/>
    <cellStyle name="Comma 4 26" xfId="3566"/>
    <cellStyle name="Comma 4 26 2" xfId="10906"/>
    <cellStyle name="Comma 4 27" xfId="3567"/>
    <cellStyle name="Comma 4 27 2" xfId="10907"/>
    <cellStyle name="Comma 4 28" xfId="3568"/>
    <cellStyle name="Comma 4 28 2" xfId="10908"/>
    <cellStyle name="Comma 4 29" xfId="3569"/>
    <cellStyle name="Comma 4 29 2" xfId="10909"/>
    <cellStyle name="Comma 4 3" xfId="3570"/>
    <cellStyle name="Comma 4 3 10" xfId="3571"/>
    <cellStyle name="Comma 4 3 10 2" xfId="10911"/>
    <cellStyle name="Comma 4 3 11" xfId="3572"/>
    <cellStyle name="Comma 4 3 11 2" xfId="10912"/>
    <cellStyle name="Comma 4 3 12" xfId="3573"/>
    <cellStyle name="Comma 4 3 12 2" xfId="10913"/>
    <cellStyle name="Comma 4 3 13" xfId="3574"/>
    <cellStyle name="Comma 4 3 13 2" xfId="10914"/>
    <cellStyle name="Comma 4 3 14" xfId="3575"/>
    <cellStyle name="Comma 4 3 14 2" xfId="10915"/>
    <cellStyle name="Comma 4 3 15" xfId="3576"/>
    <cellStyle name="Comma 4 3 15 2" xfId="10916"/>
    <cellStyle name="Comma 4 3 16" xfId="3577"/>
    <cellStyle name="Comma 4 3 16 2" xfId="10917"/>
    <cellStyle name="Comma 4 3 17" xfId="3578"/>
    <cellStyle name="Comma 4 3 17 2" xfId="10918"/>
    <cellStyle name="Comma 4 3 18" xfId="10910"/>
    <cellStyle name="Comma 4 3 2" xfId="3579"/>
    <cellStyle name="Comma 4 3 2 2" xfId="10919"/>
    <cellStyle name="Comma 4 3 3" xfId="3580"/>
    <cellStyle name="Comma 4 3 3 2" xfId="10920"/>
    <cellStyle name="Comma 4 3 4" xfId="3581"/>
    <cellStyle name="Comma 4 3 4 2" xfId="10921"/>
    <cellStyle name="Comma 4 3 5" xfId="3582"/>
    <cellStyle name="Comma 4 3 5 2" xfId="10922"/>
    <cellStyle name="Comma 4 3 6" xfId="3583"/>
    <cellStyle name="Comma 4 3 6 2" xfId="10923"/>
    <cellStyle name="Comma 4 3 7" xfId="3584"/>
    <cellStyle name="Comma 4 3 7 2" xfId="10924"/>
    <cellStyle name="Comma 4 3 8" xfId="3585"/>
    <cellStyle name="Comma 4 3 8 2" xfId="10925"/>
    <cellStyle name="Comma 4 3 9" xfId="3586"/>
    <cellStyle name="Comma 4 3 9 2" xfId="10926"/>
    <cellStyle name="Comma 4 30" xfId="3587"/>
    <cellStyle name="Comma 4 30 2" xfId="10927"/>
    <cellStyle name="Comma 4 31" xfId="3588"/>
    <cellStyle name="Comma 4 31 2" xfId="10928"/>
    <cellStyle name="Comma 4 32" xfId="3589"/>
    <cellStyle name="Comma 4 32 2" xfId="10929"/>
    <cellStyle name="Comma 4 33" xfId="3590"/>
    <cellStyle name="Comma 4 33 2" xfId="10930"/>
    <cellStyle name="Comma 4 34" xfId="3591"/>
    <cellStyle name="Comma 4 34 2" xfId="10931"/>
    <cellStyle name="Comma 4 35" xfId="3592"/>
    <cellStyle name="Comma 4 35 2" xfId="10932"/>
    <cellStyle name="Comma 4 36" xfId="3593"/>
    <cellStyle name="Comma 4 36 2" xfId="10933"/>
    <cellStyle name="Comma 4 37" xfId="3594"/>
    <cellStyle name="Comma 4 37 2" xfId="10934"/>
    <cellStyle name="Comma 4 38" xfId="3595"/>
    <cellStyle name="Comma 4 38 2" xfId="10935"/>
    <cellStyle name="Comma 4 39" xfId="3596"/>
    <cellStyle name="Comma 4 39 2" xfId="10936"/>
    <cellStyle name="Comma 4 4" xfId="3597"/>
    <cellStyle name="Comma 4 4 10" xfId="3598"/>
    <cellStyle name="Comma 4 4 10 2" xfId="10938"/>
    <cellStyle name="Comma 4 4 11" xfId="3599"/>
    <cellStyle name="Comma 4 4 11 2" xfId="10939"/>
    <cellStyle name="Comma 4 4 12" xfId="3600"/>
    <cellStyle name="Comma 4 4 12 2" xfId="10940"/>
    <cellStyle name="Comma 4 4 13" xfId="3601"/>
    <cellStyle name="Comma 4 4 13 2" xfId="10941"/>
    <cellStyle name="Comma 4 4 14" xfId="3602"/>
    <cellStyle name="Comma 4 4 14 2" xfId="10942"/>
    <cellStyle name="Comma 4 4 15" xfId="3603"/>
    <cellStyle name="Comma 4 4 15 2" xfId="10943"/>
    <cellStyle name="Comma 4 4 16" xfId="3604"/>
    <cellStyle name="Comma 4 4 16 2" xfId="10944"/>
    <cellStyle name="Comma 4 4 17" xfId="3605"/>
    <cellStyle name="Comma 4 4 17 2" xfId="10945"/>
    <cellStyle name="Comma 4 4 18" xfId="10937"/>
    <cellStyle name="Comma 4 4 2" xfId="3606"/>
    <cellStyle name="Comma 4 4 2 2" xfId="10946"/>
    <cellStyle name="Comma 4 4 3" xfId="3607"/>
    <cellStyle name="Comma 4 4 3 2" xfId="10947"/>
    <cellStyle name="Comma 4 4 4" xfId="3608"/>
    <cellStyle name="Comma 4 4 4 2" xfId="10948"/>
    <cellStyle name="Comma 4 4 5" xfId="3609"/>
    <cellStyle name="Comma 4 4 5 2" xfId="10949"/>
    <cellStyle name="Comma 4 4 6" xfId="3610"/>
    <cellStyle name="Comma 4 4 6 2" xfId="10950"/>
    <cellStyle name="Comma 4 4 7" xfId="3611"/>
    <cellStyle name="Comma 4 4 7 2" xfId="10951"/>
    <cellStyle name="Comma 4 4 8" xfId="3612"/>
    <cellStyle name="Comma 4 4 8 2" xfId="10952"/>
    <cellStyle name="Comma 4 4 9" xfId="3613"/>
    <cellStyle name="Comma 4 4 9 2" xfId="10953"/>
    <cellStyle name="Comma 4 40" xfId="3614"/>
    <cellStyle name="Comma 4 40 2" xfId="10954"/>
    <cellStyle name="Comma 4 41" xfId="3615"/>
    <cellStyle name="Comma 4 41 2" xfId="10955"/>
    <cellStyle name="Comma 4 42" xfId="3616"/>
    <cellStyle name="Comma 4 42 2" xfId="10956"/>
    <cellStyle name="Comma 4 43" xfId="3617"/>
    <cellStyle name="Comma 4 43 2" xfId="10957"/>
    <cellStyle name="Comma 4 44" xfId="3618"/>
    <cellStyle name="Comma 4 44 2" xfId="10958"/>
    <cellStyle name="Comma 4 45" xfId="3619"/>
    <cellStyle name="Comma 4 45 2" xfId="10959"/>
    <cellStyle name="Comma 4 46" xfId="3620"/>
    <cellStyle name="Comma 4 46 2" xfId="10960"/>
    <cellStyle name="Comma 4 47" xfId="3621"/>
    <cellStyle name="Comma 4 47 2" xfId="10961"/>
    <cellStyle name="Comma 4 48" xfId="3622"/>
    <cellStyle name="Comma 4 48 2" xfId="10962"/>
    <cellStyle name="Comma 4 49" xfId="3623"/>
    <cellStyle name="Comma 4 49 2" xfId="10963"/>
    <cellStyle name="Comma 4 5" xfId="3624"/>
    <cellStyle name="Comma 4 5 2" xfId="10964"/>
    <cellStyle name="Comma 4 50" xfId="3625"/>
    <cellStyle name="Comma 4 50 2" xfId="10965"/>
    <cellStyle name="Comma 4 51" xfId="3626"/>
    <cellStyle name="Comma 4 51 2" xfId="10966"/>
    <cellStyle name="Comma 4 52" xfId="3627"/>
    <cellStyle name="Comma 4 52 2" xfId="10967"/>
    <cellStyle name="Comma 4 53" xfId="3628"/>
    <cellStyle name="Comma 4 53 2" xfId="10968"/>
    <cellStyle name="Comma 4 54" xfId="3629"/>
    <cellStyle name="Comma 4 54 2" xfId="10969"/>
    <cellStyle name="Comma 4 55" xfId="3630"/>
    <cellStyle name="Comma 4 55 2" xfId="10970"/>
    <cellStyle name="Comma 4 56" xfId="3631"/>
    <cellStyle name="Comma 4 56 2" xfId="10971"/>
    <cellStyle name="Comma 4 57" xfId="3632"/>
    <cellStyle name="Comma 4 57 2" xfId="10972"/>
    <cellStyle name="Comma 4 58" xfId="3633"/>
    <cellStyle name="Comma 4 58 2" xfId="10973"/>
    <cellStyle name="Comma 4 59" xfId="3634"/>
    <cellStyle name="Comma 4 59 2" xfId="10974"/>
    <cellStyle name="Comma 4 6" xfId="3635"/>
    <cellStyle name="Comma 4 6 2" xfId="10975"/>
    <cellStyle name="Comma 4 60" xfId="3636"/>
    <cellStyle name="Comma 4 60 2" xfId="10976"/>
    <cellStyle name="Comma 4 61" xfId="3637"/>
    <cellStyle name="Comma 4 61 2" xfId="10977"/>
    <cellStyle name="Comma 4 62" xfId="3638"/>
    <cellStyle name="Comma 4 62 2" xfId="10978"/>
    <cellStyle name="Comma 4 63" xfId="3639"/>
    <cellStyle name="Comma 4 63 2" xfId="10979"/>
    <cellStyle name="Comma 4 64" xfId="3640"/>
    <cellStyle name="Comma 4 64 2" xfId="10980"/>
    <cellStyle name="Comma 4 65" xfId="3641"/>
    <cellStyle name="Comma 4 65 2" xfId="10981"/>
    <cellStyle name="Comma 4 66" xfId="3642"/>
    <cellStyle name="Comma 4 66 2" xfId="10982"/>
    <cellStyle name="Comma 4 67" xfId="3643"/>
    <cellStyle name="Comma 4 67 2" xfId="10983"/>
    <cellStyle name="Comma 4 68" xfId="3644"/>
    <cellStyle name="Comma 4 68 2" xfId="10984"/>
    <cellStyle name="Comma 4 69" xfId="3645"/>
    <cellStyle name="Comma 4 69 2" xfId="10985"/>
    <cellStyle name="Comma 4 7" xfId="3646"/>
    <cellStyle name="Comma 4 7 2" xfId="10986"/>
    <cellStyle name="Comma 4 70" xfId="3647"/>
    <cellStyle name="Comma 4 70 2" xfId="10987"/>
    <cellStyle name="Comma 4 71" xfId="3648"/>
    <cellStyle name="Comma 4 71 2" xfId="10988"/>
    <cellStyle name="Comma 4 72" xfId="3649"/>
    <cellStyle name="Comma 4 72 2" xfId="10989"/>
    <cellStyle name="Comma 4 73" xfId="3650"/>
    <cellStyle name="Comma 4 73 2" xfId="10990"/>
    <cellStyle name="Comma 4 74" xfId="3651"/>
    <cellStyle name="Comma 4 74 2" xfId="10991"/>
    <cellStyle name="Comma 4 75" xfId="3652"/>
    <cellStyle name="Comma 4 75 2" xfId="10992"/>
    <cellStyle name="Comma 4 76" xfId="3653"/>
    <cellStyle name="Comma 4 76 2" xfId="10993"/>
    <cellStyle name="Comma 4 77" xfId="3654"/>
    <cellStyle name="Comma 4 77 2" xfId="10994"/>
    <cellStyle name="Comma 4 78" xfId="3655"/>
    <cellStyle name="Comma 4 78 2" xfId="10995"/>
    <cellStyle name="Comma 4 79" xfId="4412"/>
    <cellStyle name="Comma 4 79 10" xfId="16671"/>
    <cellStyle name="Comma 4 79 2" xfId="4623"/>
    <cellStyle name="Comma 4 79 2 2" xfId="4859"/>
    <cellStyle name="Comma 4 79 2 2 2" xfId="8602"/>
    <cellStyle name="Comma 4 79 2 2 2 2" xfId="15150"/>
    <cellStyle name="Comma 4 79 2 2 3" xfId="6883"/>
    <cellStyle name="Comma 4 79 2 2 3 2" xfId="13569"/>
    <cellStyle name="Comma 4 79 2 2 4" xfId="11784"/>
    <cellStyle name="Comma 4 79 2 3" xfId="5450"/>
    <cellStyle name="Comma 4 79 2 3 2" xfId="9193"/>
    <cellStyle name="Comma 4 79 2 3 2 2" xfId="15737"/>
    <cellStyle name="Comma 4 79 2 3 3" xfId="7474"/>
    <cellStyle name="Comma 4 79 2 3 3 2" xfId="14156"/>
    <cellStyle name="Comma 4 79 2 3 4" xfId="12371"/>
    <cellStyle name="Comma 4 79 2 4" xfId="5888"/>
    <cellStyle name="Comma 4 79 2 4 2" xfId="9629"/>
    <cellStyle name="Comma 4 79 2 4 2 2" xfId="16131"/>
    <cellStyle name="Comma 4 79 2 4 3" xfId="7910"/>
    <cellStyle name="Comma 4 79 2 4 3 2" xfId="14550"/>
    <cellStyle name="Comma 4 79 2 4 4" xfId="12781"/>
    <cellStyle name="Comma 4 79 2 5" xfId="9855"/>
    <cellStyle name="Comma 4 79 2 5 2" xfId="16336"/>
    <cellStyle name="Comma 4 79 2 6" xfId="8387"/>
    <cellStyle name="Comma 4 79 2 6 2" xfId="14944"/>
    <cellStyle name="Comma 4 79 2 7" xfId="6668"/>
    <cellStyle name="Comma 4 79 2 7 2" xfId="13358"/>
    <cellStyle name="Comma 4 79 2 8" xfId="11568"/>
    <cellStyle name="Comma 4 79 2 9" xfId="16672"/>
    <cellStyle name="Comma 4 79 3" xfId="4858"/>
    <cellStyle name="Comma 4 79 3 2" xfId="8601"/>
    <cellStyle name="Comma 4 79 3 2 2" xfId="15149"/>
    <cellStyle name="Comma 4 79 3 3" xfId="6882"/>
    <cellStyle name="Comma 4 79 3 3 2" xfId="13568"/>
    <cellStyle name="Comma 4 79 3 4" xfId="11783"/>
    <cellStyle name="Comma 4 79 4" xfId="5253"/>
    <cellStyle name="Comma 4 79 4 2" xfId="8996"/>
    <cellStyle name="Comma 4 79 4 2 2" xfId="15540"/>
    <cellStyle name="Comma 4 79 4 3" xfId="7277"/>
    <cellStyle name="Comma 4 79 4 3 2" xfId="13959"/>
    <cellStyle name="Comma 4 79 4 4" xfId="12174"/>
    <cellStyle name="Comma 4 79 5" xfId="5691"/>
    <cellStyle name="Comma 4 79 5 2" xfId="9432"/>
    <cellStyle name="Comma 4 79 5 2 2" xfId="15934"/>
    <cellStyle name="Comma 4 79 5 3" xfId="7713"/>
    <cellStyle name="Comma 4 79 5 3 2" xfId="14353"/>
    <cellStyle name="Comma 4 79 5 4" xfId="12584"/>
    <cellStyle name="Comma 4 79 6" xfId="9854"/>
    <cellStyle name="Comma 4 79 6 2" xfId="16335"/>
    <cellStyle name="Comma 4 79 7" xfId="8190"/>
    <cellStyle name="Comma 4 79 7 2" xfId="14747"/>
    <cellStyle name="Comma 4 79 8" xfId="6471"/>
    <cellStyle name="Comma 4 79 8 2" xfId="13161"/>
    <cellStyle name="Comma 4 79 9" xfId="11368"/>
    <cellStyle name="Comma 4 8" xfId="3656"/>
    <cellStyle name="Comma 4 8 2" xfId="10996"/>
    <cellStyle name="Comma 4 80" xfId="4426"/>
    <cellStyle name="Comma 4 80 10" xfId="16673"/>
    <cellStyle name="Comma 4 80 2" xfId="4635"/>
    <cellStyle name="Comma 4 80 2 2" xfId="4861"/>
    <cellStyle name="Comma 4 80 2 2 2" xfId="8604"/>
    <cellStyle name="Comma 4 80 2 2 2 2" xfId="15152"/>
    <cellStyle name="Comma 4 80 2 2 3" xfId="6885"/>
    <cellStyle name="Comma 4 80 2 2 3 2" xfId="13571"/>
    <cellStyle name="Comma 4 80 2 2 4" xfId="11786"/>
    <cellStyle name="Comma 4 80 2 3" xfId="5462"/>
    <cellStyle name="Comma 4 80 2 3 2" xfId="9205"/>
    <cellStyle name="Comma 4 80 2 3 2 2" xfId="15749"/>
    <cellStyle name="Comma 4 80 2 3 3" xfId="7486"/>
    <cellStyle name="Comma 4 80 2 3 3 2" xfId="14168"/>
    <cellStyle name="Comma 4 80 2 3 4" xfId="12383"/>
    <cellStyle name="Comma 4 80 2 4" xfId="5900"/>
    <cellStyle name="Comma 4 80 2 4 2" xfId="9641"/>
    <cellStyle name="Comma 4 80 2 4 2 2" xfId="16143"/>
    <cellStyle name="Comma 4 80 2 4 3" xfId="7922"/>
    <cellStyle name="Comma 4 80 2 4 3 2" xfId="14562"/>
    <cellStyle name="Comma 4 80 2 4 4" xfId="12793"/>
    <cellStyle name="Comma 4 80 2 5" xfId="9857"/>
    <cellStyle name="Comma 4 80 2 5 2" xfId="16338"/>
    <cellStyle name="Comma 4 80 2 6" xfId="8399"/>
    <cellStyle name="Comma 4 80 2 6 2" xfId="14956"/>
    <cellStyle name="Comma 4 80 2 7" xfId="6680"/>
    <cellStyle name="Comma 4 80 2 7 2" xfId="13370"/>
    <cellStyle name="Comma 4 80 2 8" xfId="11580"/>
    <cellStyle name="Comma 4 80 2 9" xfId="16674"/>
    <cellStyle name="Comma 4 80 3" xfId="4860"/>
    <cellStyle name="Comma 4 80 3 2" xfId="8603"/>
    <cellStyle name="Comma 4 80 3 2 2" xfId="15151"/>
    <cellStyle name="Comma 4 80 3 3" xfId="6884"/>
    <cellStyle name="Comma 4 80 3 3 2" xfId="13570"/>
    <cellStyle name="Comma 4 80 3 4" xfId="11785"/>
    <cellStyle name="Comma 4 80 4" xfId="5265"/>
    <cellStyle name="Comma 4 80 4 2" xfId="9008"/>
    <cellStyle name="Comma 4 80 4 2 2" xfId="15552"/>
    <cellStyle name="Comma 4 80 4 3" xfId="7289"/>
    <cellStyle name="Comma 4 80 4 3 2" xfId="13971"/>
    <cellStyle name="Comma 4 80 4 4" xfId="12186"/>
    <cellStyle name="Comma 4 80 5" xfId="5703"/>
    <cellStyle name="Comma 4 80 5 2" xfId="9444"/>
    <cellStyle name="Comma 4 80 5 2 2" xfId="15946"/>
    <cellStyle name="Comma 4 80 5 3" xfId="7725"/>
    <cellStyle name="Comma 4 80 5 3 2" xfId="14365"/>
    <cellStyle name="Comma 4 80 5 4" xfId="12596"/>
    <cellStyle name="Comma 4 80 6" xfId="9856"/>
    <cellStyle name="Comma 4 80 6 2" xfId="16337"/>
    <cellStyle name="Comma 4 80 7" xfId="8202"/>
    <cellStyle name="Comma 4 80 7 2" xfId="14759"/>
    <cellStyle name="Comma 4 80 8" xfId="6483"/>
    <cellStyle name="Comma 4 80 8 2" xfId="13173"/>
    <cellStyle name="Comma 4 80 9" xfId="11381"/>
    <cellStyle name="Comma 4 81" xfId="4476"/>
    <cellStyle name="Comma 4 81 2" xfId="11421"/>
    <cellStyle name="Comma 4 81 3" xfId="16675"/>
    <cellStyle name="Comma 4 82" xfId="10275"/>
    <cellStyle name="Comma 4 9" xfId="3657"/>
    <cellStyle name="Comma 4 9 2" xfId="10997"/>
    <cellStyle name="Comma 40" xfId="10243"/>
    <cellStyle name="Comma 41" xfId="16639"/>
    <cellStyle name="Comma 5" xfId="3658"/>
    <cellStyle name="Comma 5 10" xfId="3659"/>
    <cellStyle name="Comma 5 10 2" xfId="10999"/>
    <cellStyle name="Comma 5 11" xfId="3660"/>
    <cellStyle name="Comma 5 11 2" xfId="11000"/>
    <cellStyle name="Comma 5 12" xfId="3661"/>
    <cellStyle name="Comma 5 12 2" xfId="11001"/>
    <cellStyle name="Comma 5 13" xfId="3662"/>
    <cellStyle name="Comma 5 13 2" xfId="11002"/>
    <cellStyle name="Comma 5 14" xfId="3663"/>
    <cellStyle name="Comma 5 14 2" xfId="11003"/>
    <cellStyle name="Comma 5 15" xfId="3664"/>
    <cellStyle name="Comma 5 15 2" xfId="11004"/>
    <cellStyle name="Comma 5 16" xfId="3665"/>
    <cellStyle name="Comma 5 16 2" xfId="11005"/>
    <cellStyle name="Comma 5 17" xfId="3666"/>
    <cellStyle name="Comma 5 17 2" xfId="11006"/>
    <cellStyle name="Comma 5 18" xfId="3667"/>
    <cellStyle name="Comma 5 18 2" xfId="11007"/>
    <cellStyle name="Comma 5 19" xfId="3668"/>
    <cellStyle name="Comma 5 19 2" xfId="11008"/>
    <cellStyle name="Comma 5 2" xfId="3669"/>
    <cellStyle name="Comma 5 2 10" xfId="3670"/>
    <cellStyle name="Comma 5 2 10 2" xfId="11010"/>
    <cellStyle name="Comma 5 2 11" xfId="3671"/>
    <cellStyle name="Comma 5 2 11 2" xfId="11011"/>
    <cellStyle name="Comma 5 2 12" xfId="3672"/>
    <cellStyle name="Comma 5 2 12 2" xfId="11012"/>
    <cellStyle name="Comma 5 2 13" xfId="3673"/>
    <cellStyle name="Comma 5 2 13 2" xfId="11013"/>
    <cellStyle name="Comma 5 2 14" xfId="3674"/>
    <cellStyle name="Comma 5 2 14 2" xfId="11014"/>
    <cellStyle name="Comma 5 2 15" xfId="3675"/>
    <cellStyle name="Comma 5 2 15 2" xfId="11015"/>
    <cellStyle name="Comma 5 2 16" xfId="3676"/>
    <cellStyle name="Comma 5 2 16 2" xfId="11016"/>
    <cellStyle name="Comma 5 2 17" xfId="3677"/>
    <cellStyle name="Comma 5 2 17 2" xfId="11017"/>
    <cellStyle name="Comma 5 2 18" xfId="11009"/>
    <cellStyle name="Comma 5 2 2" xfId="3678"/>
    <cellStyle name="Comma 5 2 2 10" xfId="3679"/>
    <cellStyle name="Comma 5 2 2 10 2" xfId="11019"/>
    <cellStyle name="Comma 5 2 2 11" xfId="3680"/>
    <cellStyle name="Comma 5 2 2 11 2" xfId="11020"/>
    <cellStyle name="Comma 5 2 2 12" xfId="3681"/>
    <cellStyle name="Comma 5 2 2 12 2" xfId="11021"/>
    <cellStyle name="Comma 5 2 2 13" xfId="3682"/>
    <cellStyle name="Comma 5 2 2 13 2" xfId="11022"/>
    <cellStyle name="Comma 5 2 2 14" xfId="3683"/>
    <cellStyle name="Comma 5 2 2 14 2" xfId="11023"/>
    <cellStyle name="Comma 5 2 2 15" xfId="3684"/>
    <cellStyle name="Comma 5 2 2 15 2" xfId="11024"/>
    <cellStyle name="Comma 5 2 2 16" xfId="3685"/>
    <cellStyle name="Comma 5 2 2 16 2" xfId="11025"/>
    <cellStyle name="Comma 5 2 2 17" xfId="11018"/>
    <cellStyle name="Comma 5 2 2 2" xfId="3686"/>
    <cellStyle name="Comma 5 2 2 2 10" xfId="3687"/>
    <cellStyle name="Comma 5 2 2 2 10 2" xfId="11027"/>
    <cellStyle name="Comma 5 2 2 2 11" xfId="3688"/>
    <cellStyle name="Comma 5 2 2 2 11 2" xfId="11028"/>
    <cellStyle name="Comma 5 2 2 2 12" xfId="3689"/>
    <cellStyle name="Comma 5 2 2 2 12 2" xfId="11029"/>
    <cellStyle name="Comma 5 2 2 2 13" xfId="3690"/>
    <cellStyle name="Comma 5 2 2 2 13 2" xfId="11030"/>
    <cellStyle name="Comma 5 2 2 2 14" xfId="11026"/>
    <cellStyle name="Comma 5 2 2 2 2" xfId="3691"/>
    <cellStyle name="Comma 5 2 2 2 2 2" xfId="11031"/>
    <cellStyle name="Comma 5 2 2 2 3" xfId="3692"/>
    <cellStyle name="Comma 5 2 2 2 3 2" xfId="11032"/>
    <cellStyle name="Comma 5 2 2 2 4" xfId="3693"/>
    <cellStyle name="Comma 5 2 2 2 4 2" xfId="11033"/>
    <cellStyle name="Comma 5 2 2 2 5" xfId="3694"/>
    <cellStyle name="Comma 5 2 2 2 5 2" xfId="11034"/>
    <cellStyle name="Comma 5 2 2 2 6" xfId="3695"/>
    <cellStyle name="Comma 5 2 2 2 6 2" xfId="11035"/>
    <cellStyle name="Comma 5 2 2 2 7" xfId="3696"/>
    <cellStyle name="Comma 5 2 2 2 7 2" xfId="11036"/>
    <cellStyle name="Comma 5 2 2 2 8" xfId="3697"/>
    <cellStyle name="Comma 5 2 2 2 8 2" xfId="11037"/>
    <cellStyle name="Comma 5 2 2 2 9" xfId="3698"/>
    <cellStyle name="Comma 5 2 2 2 9 2" xfId="11038"/>
    <cellStyle name="Comma 5 2 2 3" xfId="3699"/>
    <cellStyle name="Comma 5 2 2 3 10" xfId="3700"/>
    <cellStyle name="Comma 5 2 2 3 10 2" xfId="11040"/>
    <cellStyle name="Comma 5 2 2 3 11" xfId="3701"/>
    <cellStyle name="Comma 5 2 2 3 11 2" xfId="11041"/>
    <cellStyle name="Comma 5 2 2 3 12" xfId="3702"/>
    <cellStyle name="Comma 5 2 2 3 12 2" xfId="11042"/>
    <cellStyle name="Comma 5 2 2 3 13" xfId="3703"/>
    <cellStyle name="Comma 5 2 2 3 13 2" xfId="11043"/>
    <cellStyle name="Comma 5 2 2 3 14" xfId="11039"/>
    <cellStyle name="Comma 5 2 2 3 2" xfId="3704"/>
    <cellStyle name="Comma 5 2 2 3 2 2" xfId="11044"/>
    <cellStyle name="Comma 5 2 2 3 3" xfId="3705"/>
    <cellStyle name="Comma 5 2 2 3 3 2" xfId="11045"/>
    <cellStyle name="Comma 5 2 2 3 4" xfId="3706"/>
    <cellStyle name="Comma 5 2 2 3 4 2" xfId="11046"/>
    <cellStyle name="Comma 5 2 2 3 5" xfId="3707"/>
    <cellStyle name="Comma 5 2 2 3 5 2" xfId="11047"/>
    <cellStyle name="Comma 5 2 2 3 6" xfId="3708"/>
    <cellStyle name="Comma 5 2 2 3 6 2" xfId="11048"/>
    <cellStyle name="Comma 5 2 2 3 7" xfId="3709"/>
    <cellStyle name="Comma 5 2 2 3 7 2" xfId="11049"/>
    <cellStyle name="Comma 5 2 2 3 8" xfId="3710"/>
    <cellStyle name="Comma 5 2 2 3 8 2" xfId="11050"/>
    <cellStyle name="Comma 5 2 2 3 9" xfId="3711"/>
    <cellStyle name="Comma 5 2 2 3 9 2" xfId="11051"/>
    <cellStyle name="Comma 5 2 2 4" xfId="3712"/>
    <cellStyle name="Comma 5 2 2 4 10" xfId="3713"/>
    <cellStyle name="Comma 5 2 2 4 10 2" xfId="11053"/>
    <cellStyle name="Comma 5 2 2 4 11" xfId="3714"/>
    <cellStyle name="Comma 5 2 2 4 11 2" xfId="11054"/>
    <cellStyle name="Comma 5 2 2 4 12" xfId="3715"/>
    <cellStyle name="Comma 5 2 2 4 12 2" xfId="11055"/>
    <cellStyle name="Comma 5 2 2 4 13" xfId="3716"/>
    <cellStyle name="Comma 5 2 2 4 13 2" xfId="11056"/>
    <cellStyle name="Comma 5 2 2 4 14" xfId="3717"/>
    <cellStyle name="Comma 5 2 2 4 14 2" xfId="3718"/>
    <cellStyle name="Comma 5 2 2 4 14 2 2" xfId="11058"/>
    <cellStyle name="Comma 5 2 2 4 14 3" xfId="3719"/>
    <cellStyle name="Comma 5 2 2 4 14 3 2" xfId="3720"/>
    <cellStyle name="Comma 5 2 2 4 14 3 2 2" xfId="11060"/>
    <cellStyle name="Comma 5 2 2 4 14 3 3" xfId="11059"/>
    <cellStyle name="Comma 5 2 2 4 14 4" xfId="11057"/>
    <cellStyle name="Comma 5 2 2 4 15" xfId="11052"/>
    <cellStyle name="Comma 5 2 2 4 2" xfId="3721"/>
    <cellStyle name="Comma 5 2 2 4 2 2" xfId="11061"/>
    <cellStyle name="Comma 5 2 2 4 3" xfId="3722"/>
    <cellStyle name="Comma 5 2 2 4 3 2" xfId="11062"/>
    <cellStyle name="Comma 5 2 2 4 4" xfId="3723"/>
    <cellStyle name="Comma 5 2 2 4 4 2" xfId="11063"/>
    <cellStyle name="Comma 5 2 2 4 5" xfId="3724"/>
    <cellStyle name="Comma 5 2 2 4 5 2" xfId="11064"/>
    <cellStyle name="Comma 5 2 2 4 6" xfId="3725"/>
    <cellStyle name="Comma 5 2 2 4 6 2" xfId="11065"/>
    <cellStyle name="Comma 5 2 2 4 7" xfId="3726"/>
    <cellStyle name="Comma 5 2 2 4 7 2" xfId="11066"/>
    <cellStyle name="Comma 5 2 2 4 8" xfId="3727"/>
    <cellStyle name="Comma 5 2 2 4 8 2" xfId="11067"/>
    <cellStyle name="Comma 5 2 2 4 9" xfId="3728"/>
    <cellStyle name="Comma 5 2 2 4 9 2" xfId="11068"/>
    <cellStyle name="Comma 5 2 2 5" xfId="3729"/>
    <cellStyle name="Comma 5 2 2 5 2" xfId="11069"/>
    <cellStyle name="Comma 5 2 2 6" xfId="3730"/>
    <cellStyle name="Comma 5 2 2 6 2" xfId="11070"/>
    <cellStyle name="Comma 5 2 2 7" xfId="3731"/>
    <cellStyle name="Comma 5 2 2 7 2" xfId="11071"/>
    <cellStyle name="Comma 5 2 2 8" xfId="3732"/>
    <cellStyle name="Comma 5 2 2 8 2" xfId="11072"/>
    <cellStyle name="Comma 5 2 2 9" xfId="3733"/>
    <cellStyle name="Comma 5 2 2 9 2" xfId="11073"/>
    <cellStyle name="Comma 5 2 3" xfId="3734"/>
    <cellStyle name="Comma 5 2 3 10" xfId="3735"/>
    <cellStyle name="Comma 5 2 3 10 2" xfId="11075"/>
    <cellStyle name="Comma 5 2 3 11" xfId="3736"/>
    <cellStyle name="Comma 5 2 3 11 2" xfId="11076"/>
    <cellStyle name="Comma 5 2 3 12" xfId="3737"/>
    <cellStyle name="Comma 5 2 3 12 2" xfId="11077"/>
    <cellStyle name="Comma 5 2 3 13" xfId="3738"/>
    <cellStyle name="Comma 5 2 3 13 2" xfId="11078"/>
    <cellStyle name="Comma 5 2 3 14" xfId="11074"/>
    <cellStyle name="Comma 5 2 3 2" xfId="3739"/>
    <cellStyle name="Comma 5 2 3 2 2" xfId="11079"/>
    <cellStyle name="Comma 5 2 3 3" xfId="3740"/>
    <cellStyle name="Comma 5 2 3 3 2" xfId="11080"/>
    <cellStyle name="Comma 5 2 3 4" xfId="3741"/>
    <cellStyle name="Comma 5 2 3 4 2" xfId="11081"/>
    <cellStyle name="Comma 5 2 3 5" xfId="3742"/>
    <cellStyle name="Comma 5 2 3 5 2" xfId="11082"/>
    <cellStyle name="Comma 5 2 3 6" xfId="3743"/>
    <cellStyle name="Comma 5 2 3 6 2" xfId="11083"/>
    <cellStyle name="Comma 5 2 3 7" xfId="3744"/>
    <cellStyle name="Comma 5 2 3 7 2" xfId="11084"/>
    <cellStyle name="Comma 5 2 3 8" xfId="3745"/>
    <cellStyle name="Comma 5 2 3 8 2" xfId="11085"/>
    <cellStyle name="Comma 5 2 3 9" xfId="3746"/>
    <cellStyle name="Comma 5 2 3 9 2" xfId="11086"/>
    <cellStyle name="Comma 5 2 4" xfId="3747"/>
    <cellStyle name="Comma 5 2 4 2" xfId="11087"/>
    <cellStyle name="Comma 5 2 5" xfId="3748"/>
    <cellStyle name="Comma 5 2 5 2" xfId="11088"/>
    <cellStyle name="Comma 5 2 6" xfId="3749"/>
    <cellStyle name="Comma 5 2 6 2" xfId="11089"/>
    <cellStyle name="Comma 5 2 7" xfId="3750"/>
    <cellStyle name="Comma 5 2 7 2" xfId="11090"/>
    <cellStyle name="Comma 5 2 8" xfId="3751"/>
    <cellStyle name="Comma 5 2 8 2" xfId="11091"/>
    <cellStyle name="Comma 5 2 9" xfId="3752"/>
    <cellStyle name="Comma 5 2 9 2" xfId="11092"/>
    <cellStyle name="Comma 5 20" xfId="3753"/>
    <cellStyle name="Comma 5 20 2" xfId="11093"/>
    <cellStyle name="Comma 5 21" xfId="3754"/>
    <cellStyle name="Comma 5 21 2" xfId="11094"/>
    <cellStyle name="Comma 5 22" xfId="3755"/>
    <cellStyle name="Comma 5 22 2" xfId="11095"/>
    <cellStyle name="Comma 5 23" xfId="3756"/>
    <cellStyle name="Comma 5 23 2" xfId="11096"/>
    <cellStyle name="Comma 5 24" xfId="3757"/>
    <cellStyle name="Comma 5 24 2" xfId="11097"/>
    <cellStyle name="Comma 5 25" xfId="3758"/>
    <cellStyle name="Comma 5 25 2" xfId="11098"/>
    <cellStyle name="Comma 5 26" xfId="3759"/>
    <cellStyle name="Comma 5 26 2" xfId="11099"/>
    <cellStyle name="Comma 5 27" xfId="3760"/>
    <cellStyle name="Comma 5 27 2" xfId="11100"/>
    <cellStyle name="Comma 5 28" xfId="3761"/>
    <cellStyle name="Comma 5 28 2" xfId="11101"/>
    <cellStyle name="Comma 5 29" xfId="3762"/>
    <cellStyle name="Comma 5 29 2" xfId="11102"/>
    <cellStyle name="Comma 5 3" xfId="3763"/>
    <cellStyle name="Comma 5 3 10" xfId="3764"/>
    <cellStyle name="Comma 5 3 10 2" xfId="11104"/>
    <cellStyle name="Comma 5 3 11" xfId="3765"/>
    <cellStyle name="Comma 5 3 11 2" xfId="11105"/>
    <cellStyle name="Comma 5 3 12" xfId="3766"/>
    <cellStyle name="Comma 5 3 12 2" xfId="11106"/>
    <cellStyle name="Comma 5 3 13" xfId="3767"/>
    <cellStyle name="Comma 5 3 13 2" xfId="11107"/>
    <cellStyle name="Comma 5 3 14" xfId="3768"/>
    <cellStyle name="Comma 5 3 14 2" xfId="11108"/>
    <cellStyle name="Comma 5 3 15" xfId="3769"/>
    <cellStyle name="Comma 5 3 15 2" xfId="11109"/>
    <cellStyle name="Comma 5 3 16" xfId="3770"/>
    <cellStyle name="Comma 5 3 16 2" xfId="11110"/>
    <cellStyle name="Comma 5 3 17" xfId="3771"/>
    <cellStyle name="Comma 5 3 17 2" xfId="11111"/>
    <cellStyle name="Comma 5 3 18" xfId="11103"/>
    <cellStyle name="Comma 5 3 2" xfId="3772"/>
    <cellStyle name="Comma 5 3 2 2" xfId="11112"/>
    <cellStyle name="Comma 5 3 3" xfId="3773"/>
    <cellStyle name="Comma 5 3 3 2" xfId="11113"/>
    <cellStyle name="Comma 5 3 4" xfId="3774"/>
    <cellStyle name="Comma 5 3 4 2" xfId="11114"/>
    <cellStyle name="Comma 5 3 5" xfId="3775"/>
    <cellStyle name="Comma 5 3 5 2" xfId="11115"/>
    <cellStyle name="Comma 5 3 6" xfId="3776"/>
    <cellStyle name="Comma 5 3 6 2" xfId="11116"/>
    <cellStyle name="Comma 5 3 7" xfId="3777"/>
    <cellStyle name="Comma 5 3 7 2" xfId="11117"/>
    <cellStyle name="Comma 5 3 8" xfId="3778"/>
    <cellStyle name="Comma 5 3 8 2" xfId="11118"/>
    <cellStyle name="Comma 5 3 9" xfId="3779"/>
    <cellStyle name="Comma 5 3 9 2" xfId="11119"/>
    <cellStyle name="Comma 5 30" xfId="3780"/>
    <cellStyle name="Comma 5 30 2" xfId="11120"/>
    <cellStyle name="Comma 5 31" xfId="3781"/>
    <cellStyle name="Comma 5 31 2" xfId="11121"/>
    <cellStyle name="Comma 5 32" xfId="3782"/>
    <cellStyle name="Comma 5 32 2" xfId="11122"/>
    <cellStyle name="Comma 5 33" xfId="3783"/>
    <cellStyle name="Comma 5 33 2" xfId="11123"/>
    <cellStyle name="Comma 5 34" xfId="3784"/>
    <cellStyle name="Comma 5 34 2" xfId="11124"/>
    <cellStyle name="Comma 5 35" xfId="3785"/>
    <cellStyle name="Comma 5 35 2" xfId="11125"/>
    <cellStyle name="Comma 5 36" xfId="3786"/>
    <cellStyle name="Comma 5 36 2" xfId="11126"/>
    <cellStyle name="Comma 5 37" xfId="3787"/>
    <cellStyle name="Comma 5 37 2" xfId="11127"/>
    <cellStyle name="Comma 5 38" xfId="3788"/>
    <cellStyle name="Comma 5 38 2" xfId="11128"/>
    <cellStyle name="Comma 5 39" xfId="3789"/>
    <cellStyle name="Comma 5 39 2" xfId="11129"/>
    <cellStyle name="Comma 5 4" xfId="3790"/>
    <cellStyle name="Comma 5 4 2" xfId="11130"/>
    <cellStyle name="Comma 5 40" xfId="3791"/>
    <cellStyle name="Comma 5 40 2" xfId="11131"/>
    <cellStyle name="Comma 5 41" xfId="3792"/>
    <cellStyle name="Comma 5 41 2" xfId="11132"/>
    <cellStyle name="Comma 5 42" xfId="3793"/>
    <cellStyle name="Comma 5 42 2" xfId="11133"/>
    <cellStyle name="Comma 5 43" xfId="3794"/>
    <cellStyle name="Comma 5 43 2" xfId="11134"/>
    <cellStyle name="Comma 5 44" xfId="3795"/>
    <cellStyle name="Comma 5 44 2" xfId="11135"/>
    <cellStyle name="Comma 5 45" xfId="3796"/>
    <cellStyle name="Comma 5 45 2" xfId="11136"/>
    <cellStyle name="Comma 5 46" xfId="3797"/>
    <cellStyle name="Comma 5 46 2" xfId="11137"/>
    <cellStyle name="Comma 5 47" xfId="3798"/>
    <cellStyle name="Comma 5 47 2" xfId="11138"/>
    <cellStyle name="Comma 5 48" xfId="3799"/>
    <cellStyle name="Comma 5 48 2" xfId="11139"/>
    <cellStyle name="Comma 5 49" xfId="3800"/>
    <cellStyle name="Comma 5 49 2" xfId="11140"/>
    <cellStyle name="Comma 5 5" xfId="3801"/>
    <cellStyle name="Comma 5 5 2" xfId="11141"/>
    <cellStyle name="Comma 5 50" xfId="3802"/>
    <cellStyle name="Comma 5 50 2" xfId="11142"/>
    <cellStyle name="Comma 5 51" xfId="3803"/>
    <cellStyle name="Comma 5 51 2" xfId="11143"/>
    <cellStyle name="Comma 5 52" xfId="3804"/>
    <cellStyle name="Comma 5 52 2" xfId="11144"/>
    <cellStyle name="Comma 5 53" xfId="3805"/>
    <cellStyle name="Comma 5 53 2" xfId="11145"/>
    <cellStyle name="Comma 5 54" xfId="3806"/>
    <cellStyle name="Comma 5 54 2" xfId="11146"/>
    <cellStyle name="Comma 5 55" xfId="3807"/>
    <cellStyle name="Comma 5 55 2" xfId="11147"/>
    <cellStyle name="Comma 5 56" xfId="3808"/>
    <cellStyle name="Comma 5 56 2" xfId="11148"/>
    <cellStyle name="Comma 5 57" xfId="3809"/>
    <cellStyle name="Comma 5 57 2" xfId="11149"/>
    <cellStyle name="Comma 5 58" xfId="3810"/>
    <cellStyle name="Comma 5 58 2" xfId="11150"/>
    <cellStyle name="Comma 5 59" xfId="3811"/>
    <cellStyle name="Comma 5 59 2" xfId="11151"/>
    <cellStyle name="Comma 5 6" xfId="3812"/>
    <cellStyle name="Comma 5 6 2" xfId="11152"/>
    <cellStyle name="Comma 5 60" xfId="3813"/>
    <cellStyle name="Comma 5 60 2" xfId="11153"/>
    <cellStyle name="Comma 5 61" xfId="3814"/>
    <cellStyle name="Comma 5 61 2" xfId="11154"/>
    <cellStyle name="Comma 5 62" xfId="3815"/>
    <cellStyle name="Comma 5 62 2" xfId="11155"/>
    <cellStyle name="Comma 5 63" xfId="3816"/>
    <cellStyle name="Comma 5 63 2" xfId="11156"/>
    <cellStyle name="Comma 5 64" xfId="3817"/>
    <cellStyle name="Comma 5 64 2" xfId="11157"/>
    <cellStyle name="Comma 5 65" xfId="3818"/>
    <cellStyle name="Comma 5 65 2" xfId="11158"/>
    <cellStyle name="Comma 5 66" xfId="3819"/>
    <cellStyle name="Comma 5 66 2" xfId="11159"/>
    <cellStyle name="Comma 5 67" xfId="3820"/>
    <cellStyle name="Comma 5 67 2" xfId="11160"/>
    <cellStyle name="Comma 5 68" xfId="3821"/>
    <cellStyle name="Comma 5 68 2" xfId="11161"/>
    <cellStyle name="Comma 5 69" xfId="3822"/>
    <cellStyle name="Comma 5 69 2" xfId="11162"/>
    <cellStyle name="Comma 5 7" xfId="3823"/>
    <cellStyle name="Comma 5 7 2" xfId="11163"/>
    <cellStyle name="Comma 5 70" xfId="3824"/>
    <cellStyle name="Comma 5 70 2" xfId="11164"/>
    <cellStyle name="Comma 5 71" xfId="3825"/>
    <cellStyle name="Comma 5 71 2" xfId="11165"/>
    <cellStyle name="Comma 5 72" xfId="3826"/>
    <cellStyle name="Comma 5 72 2" xfId="11166"/>
    <cellStyle name="Comma 5 73" xfId="3827"/>
    <cellStyle name="Comma 5 73 2" xfId="11167"/>
    <cellStyle name="Comma 5 74" xfId="3828"/>
    <cellStyle name="Comma 5 74 2" xfId="11168"/>
    <cellStyle name="Comma 5 75" xfId="3829"/>
    <cellStyle name="Comma 5 75 2" xfId="11169"/>
    <cellStyle name="Comma 5 76" xfId="3830"/>
    <cellStyle name="Comma 5 76 2" xfId="11170"/>
    <cellStyle name="Comma 5 77" xfId="3831"/>
    <cellStyle name="Comma 5 77 2" xfId="11171"/>
    <cellStyle name="Comma 5 78" xfId="3832"/>
    <cellStyle name="Comma 5 78 2" xfId="11172"/>
    <cellStyle name="Comma 5 79" xfId="3833"/>
    <cellStyle name="Comma 5 79 2" xfId="11173"/>
    <cellStyle name="Comma 5 79 3" xfId="16651"/>
    <cellStyle name="Comma 5 8" xfId="3834"/>
    <cellStyle name="Comma 5 8 2" xfId="11174"/>
    <cellStyle name="Comma 5 80" xfId="4413"/>
    <cellStyle name="Comma 5 80 10" xfId="16676"/>
    <cellStyle name="Comma 5 80 2" xfId="4624"/>
    <cellStyle name="Comma 5 80 2 2" xfId="4863"/>
    <cellStyle name="Comma 5 80 2 2 2" xfId="8606"/>
    <cellStyle name="Comma 5 80 2 2 2 2" xfId="15154"/>
    <cellStyle name="Comma 5 80 2 2 3" xfId="6887"/>
    <cellStyle name="Comma 5 80 2 2 3 2" xfId="13573"/>
    <cellStyle name="Comma 5 80 2 2 4" xfId="11788"/>
    <cellStyle name="Comma 5 80 2 3" xfId="5451"/>
    <cellStyle name="Comma 5 80 2 3 2" xfId="9194"/>
    <cellStyle name="Comma 5 80 2 3 2 2" xfId="15738"/>
    <cellStyle name="Comma 5 80 2 3 3" xfId="7475"/>
    <cellStyle name="Comma 5 80 2 3 3 2" xfId="14157"/>
    <cellStyle name="Comma 5 80 2 3 4" xfId="12372"/>
    <cellStyle name="Comma 5 80 2 4" xfId="5889"/>
    <cellStyle name="Comma 5 80 2 4 2" xfId="9630"/>
    <cellStyle name="Comma 5 80 2 4 2 2" xfId="16132"/>
    <cellStyle name="Comma 5 80 2 4 3" xfId="7911"/>
    <cellStyle name="Comma 5 80 2 4 3 2" xfId="14551"/>
    <cellStyle name="Comma 5 80 2 4 4" xfId="12782"/>
    <cellStyle name="Comma 5 80 2 5" xfId="9859"/>
    <cellStyle name="Comma 5 80 2 5 2" xfId="16340"/>
    <cellStyle name="Comma 5 80 2 6" xfId="8388"/>
    <cellStyle name="Comma 5 80 2 6 2" xfId="14945"/>
    <cellStyle name="Comma 5 80 2 7" xfId="6669"/>
    <cellStyle name="Comma 5 80 2 7 2" xfId="13359"/>
    <cellStyle name="Comma 5 80 2 8" xfId="11569"/>
    <cellStyle name="Comma 5 80 2 9" xfId="16677"/>
    <cellStyle name="Comma 5 80 3" xfId="4862"/>
    <cellStyle name="Comma 5 80 3 2" xfId="8605"/>
    <cellStyle name="Comma 5 80 3 2 2" xfId="15153"/>
    <cellStyle name="Comma 5 80 3 3" xfId="6886"/>
    <cellStyle name="Comma 5 80 3 3 2" xfId="13572"/>
    <cellStyle name="Comma 5 80 3 4" xfId="11787"/>
    <cellStyle name="Comma 5 80 4" xfId="5254"/>
    <cellStyle name="Comma 5 80 4 2" xfId="8997"/>
    <cellStyle name="Comma 5 80 4 2 2" xfId="15541"/>
    <cellStyle name="Comma 5 80 4 3" xfId="7278"/>
    <cellStyle name="Comma 5 80 4 3 2" xfId="13960"/>
    <cellStyle name="Comma 5 80 4 4" xfId="12175"/>
    <cellStyle name="Comma 5 80 5" xfId="5692"/>
    <cellStyle name="Comma 5 80 5 2" xfId="9433"/>
    <cellStyle name="Comma 5 80 5 2 2" xfId="15935"/>
    <cellStyle name="Comma 5 80 5 3" xfId="7714"/>
    <cellStyle name="Comma 5 80 5 3 2" xfId="14354"/>
    <cellStyle name="Comma 5 80 5 4" xfId="12585"/>
    <cellStyle name="Comma 5 80 6" xfId="9858"/>
    <cellStyle name="Comma 5 80 6 2" xfId="16339"/>
    <cellStyle name="Comma 5 80 7" xfId="8191"/>
    <cellStyle name="Comma 5 80 7 2" xfId="14748"/>
    <cellStyle name="Comma 5 80 8" xfId="6472"/>
    <cellStyle name="Comma 5 80 8 2" xfId="13162"/>
    <cellStyle name="Comma 5 80 9" xfId="11369"/>
    <cellStyle name="Comma 5 81" xfId="4427"/>
    <cellStyle name="Comma 5 81 10" xfId="16678"/>
    <cellStyle name="Comma 5 81 2" xfId="4636"/>
    <cellStyle name="Comma 5 81 2 2" xfId="4865"/>
    <cellStyle name="Comma 5 81 2 2 2" xfId="8608"/>
    <cellStyle name="Comma 5 81 2 2 2 2" xfId="15156"/>
    <cellStyle name="Comma 5 81 2 2 3" xfId="6889"/>
    <cellStyle name="Comma 5 81 2 2 3 2" xfId="13575"/>
    <cellStyle name="Comma 5 81 2 2 4" xfId="11790"/>
    <cellStyle name="Comma 5 81 2 3" xfId="5463"/>
    <cellStyle name="Comma 5 81 2 3 2" xfId="9206"/>
    <cellStyle name="Comma 5 81 2 3 2 2" xfId="15750"/>
    <cellStyle name="Comma 5 81 2 3 3" xfId="7487"/>
    <cellStyle name="Comma 5 81 2 3 3 2" xfId="14169"/>
    <cellStyle name="Comma 5 81 2 3 4" xfId="12384"/>
    <cellStyle name="Comma 5 81 2 4" xfId="5901"/>
    <cellStyle name="Comma 5 81 2 4 2" xfId="9642"/>
    <cellStyle name="Comma 5 81 2 4 2 2" xfId="16144"/>
    <cellStyle name="Comma 5 81 2 4 3" xfId="7923"/>
    <cellStyle name="Comma 5 81 2 4 3 2" xfId="14563"/>
    <cellStyle name="Comma 5 81 2 4 4" xfId="12794"/>
    <cellStyle name="Comma 5 81 2 5" xfId="9861"/>
    <cellStyle name="Comma 5 81 2 5 2" xfId="16342"/>
    <cellStyle name="Comma 5 81 2 6" xfId="8400"/>
    <cellStyle name="Comma 5 81 2 6 2" xfId="14957"/>
    <cellStyle name="Comma 5 81 2 7" xfId="6681"/>
    <cellStyle name="Comma 5 81 2 7 2" xfId="13371"/>
    <cellStyle name="Comma 5 81 2 8" xfId="11581"/>
    <cellStyle name="Comma 5 81 2 9" xfId="16679"/>
    <cellStyle name="Comma 5 81 3" xfId="4864"/>
    <cellStyle name="Comma 5 81 3 2" xfId="8607"/>
    <cellStyle name="Comma 5 81 3 2 2" xfId="15155"/>
    <cellStyle name="Comma 5 81 3 3" xfId="6888"/>
    <cellStyle name="Comma 5 81 3 3 2" xfId="13574"/>
    <cellStyle name="Comma 5 81 3 4" xfId="11789"/>
    <cellStyle name="Comma 5 81 4" xfId="5266"/>
    <cellStyle name="Comma 5 81 4 2" xfId="9009"/>
    <cellStyle name="Comma 5 81 4 2 2" xfId="15553"/>
    <cellStyle name="Comma 5 81 4 3" xfId="7290"/>
    <cellStyle name="Comma 5 81 4 3 2" xfId="13972"/>
    <cellStyle name="Comma 5 81 4 4" xfId="12187"/>
    <cellStyle name="Comma 5 81 5" xfId="5704"/>
    <cellStyle name="Comma 5 81 5 2" xfId="9445"/>
    <cellStyle name="Comma 5 81 5 2 2" xfId="15947"/>
    <cellStyle name="Comma 5 81 5 3" xfId="7726"/>
    <cellStyle name="Comma 5 81 5 3 2" xfId="14366"/>
    <cellStyle name="Comma 5 81 5 4" xfId="12597"/>
    <cellStyle name="Comma 5 81 6" xfId="9860"/>
    <cellStyle name="Comma 5 81 6 2" xfId="16341"/>
    <cellStyle name="Comma 5 81 7" xfId="8203"/>
    <cellStyle name="Comma 5 81 7 2" xfId="14760"/>
    <cellStyle name="Comma 5 81 8" xfId="6484"/>
    <cellStyle name="Comma 5 81 8 2" xfId="13174"/>
    <cellStyle name="Comma 5 81 9" xfId="11382"/>
    <cellStyle name="Comma 5 82" xfId="10998"/>
    <cellStyle name="Comma 5 9" xfId="3835"/>
    <cellStyle name="Comma 5 9 2" xfId="11175"/>
    <cellStyle name="Comma 6" xfId="3836"/>
    <cellStyle name="Comma 6 10" xfId="3837"/>
    <cellStyle name="Comma 6 10 2" xfId="11177"/>
    <cellStyle name="Comma 6 11" xfId="3838"/>
    <cellStyle name="Comma 6 11 2" xfId="11178"/>
    <cellStyle name="Comma 6 12" xfId="3839"/>
    <cellStyle name="Comma 6 12 2" xfId="11179"/>
    <cellStyle name="Comma 6 13" xfId="3840"/>
    <cellStyle name="Comma 6 13 2" xfId="11180"/>
    <cellStyle name="Comma 6 14" xfId="3841"/>
    <cellStyle name="Comma 6 14 2" xfId="11181"/>
    <cellStyle name="Comma 6 15" xfId="3842"/>
    <cellStyle name="Comma 6 15 2" xfId="11182"/>
    <cellStyle name="Comma 6 16" xfId="3843"/>
    <cellStyle name="Comma 6 16 2" xfId="11183"/>
    <cellStyle name="Comma 6 17" xfId="3844"/>
    <cellStyle name="Comma 6 17 2" xfId="11184"/>
    <cellStyle name="Comma 6 18" xfId="3845"/>
    <cellStyle name="Comma 6 18 2" xfId="11185"/>
    <cellStyle name="Comma 6 19" xfId="3846"/>
    <cellStyle name="Comma 6 19 2" xfId="11186"/>
    <cellStyle name="Comma 6 19 3" xfId="16650"/>
    <cellStyle name="Comma 6 2" xfId="3847"/>
    <cellStyle name="Comma 6 2 10" xfId="3848"/>
    <cellStyle name="Comma 6 2 10 2" xfId="11188"/>
    <cellStyle name="Comma 6 2 11" xfId="3849"/>
    <cellStyle name="Comma 6 2 11 2" xfId="11189"/>
    <cellStyle name="Comma 6 2 12" xfId="3850"/>
    <cellStyle name="Comma 6 2 12 2" xfId="11190"/>
    <cellStyle name="Comma 6 2 13" xfId="3851"/>
    <cellStyle name="Comma 6 2 13 2" xfId="11191"/>
    <cellStyle name="Comma 6 2 14" xfId="11187"/>
    <cellStyle name="Comma 6 2 2" xfId="3852"/>
    <cellStyle name="Comma 6 2 2 2" xfId="11192"/>
    <cellStyle name="Comma 6 2 3" xfId="3853"/>
    <cellStyle name="Comma 6 2 3 2" xfId="11193"/>
    <cellStyle name="Comma 6 2 4" xfId="3854"/>
    <cellStyle name="Comma 6 2 4 2" xfId="11194"/>
    <cellStyle name="Comma 6 2 5" xfId="3855"/>
    <cellStyle name="Comma 6 2 5 2" xfId="11195"/>
    <cellStyle name="Comma 6 2 6" xfId="3856"/>
    <cellStyle name="Comma 6 2 6 2" xfId="11196"/>
    <cellStyle name="Comma 6 2 7" xfId="3857"/>
    <cellStyle name="Comma 6 2 7 2" xfId="11197"/>
    <cellStyle name="Comma 6 2 8" xfId="3858"/>
    <cellStyle name="Comma 6 2 8 2" xfId="11198"/>
    <cellStyle name="Comma 6 2 9" xfId="3859"/>
    <cellStyle name="Comma 6 2 9 2" xfId="11199"/>
    <cellStyle name="Comma 6 20" xfId="11176"/>
    <cellStyle name="Comma 6 3" xfId="3860"/>
    <cellStyle name="Comma 6 3 2" xfId="11200"/>
    <cellStyle name="Comma 6 4" xfId="3861"/>
    <cellStyle name="Comma 6 4 2" xfId="11201"/>
    <cellStyle name="Comma 6 5" xfId="3862"/>
    <cellStyle name="Comma 6 5 2" xfId="11202"/>
    <cellStyle name="Comma 6 6" xfId="3863"/>
    <cellStyle name="Comma 6 6 2" xfId="11203"/>
    <cellStyle name="Comma 6 7" xfId="3864"/>
    <cellStyle name="Comma 6 7 2" xfId="11204"/>
    <cellStyle name="Comma 6 8" xfId="3865"/>
    <cellStyle name="Comma 6 8 2" xfId="11205"/>
    <cellStyle name="Comma 6 9" xfId="3866"/>
    <cellStyle name="Comma 6 9 2" xfId="11206"/>
    <cellStyle name="Comma 7" xfId="3867"/>
    <cellStyle name="Comma 7 10" xfId="3868"/>
    <cellStyle name="Comma 7 10 2" xfId="11208"/>
    <cellStyle name="Comma 7 11" xfId="3869"/>
    <cellStyle name="Comma 7 11 2" xfId="11209"/>
    <cellStyle name="Comma 7 12" xfId="3870"/>
    <cellStyle name="Comma 7 12 2" xfId="11210"/>
    <cellStyle name="Comma 7 13" xfId="3871"/>
    <cellStyle name="Comma 7 13 2" xfId="11211"/>
    <cellStyle name="Comma 7 14" xfId="11207"/>
    <cellStyle name="Comma 7 2" xfId="3872"/>
    <cellStyle name="Comma 7 2 2" xfId="11212"/>
    <cellStyle name="Comma 7 3" xfId="3873"/>
    <cellStyle name="Comma 7 3 2" xfId="11213"/>
    <cellStyle name="Comma 7 4" xfId="3874"/>
    <cellStyle name="Comma 7 4 2" xfId="11214"/>
    <cellStyle name="Comma 7 5" xfId="3875"/>
    <cellStyle name="Comma 7 5 2" xfId="11215"/>
    <cellStyle name="Comma 7 6" xfId="3876"/>
    <cellStyle name="Comma 7 6 2" xfId="11216"/>
    <cellStyle name="Comma 7 7" xfId="3877"/>
    <cellStyle name="Comma 7 7 2" xfId="11217"/>
    <cellStyle name="Comma 7 8" xfId="3878"/>
    <cellStyle name="Comma 7 8 2" xfId="11218"/>
    <cellStyle name="Comma 7 9" xfId="3879"/>
    <cellStyle name="Comma 7 9 2" xfId="11219"/>
    <cellStyle name="Comma 8" xfId="3880"/>
    <cellStyle name="Comma 8 2" xfId="11220"/>
    <cellStyle name="Comma 9" xfId="3881"/>
    <cellStyle name="Comma 9 2" xfId="11221"/>
    <cellStyle name="Comma Dashed" xfId="3882"/>
    <cellStyle name="Comma Nil" xfId="3883"/>
    <cellStyle name="Comma*" xfId="3884"/>
    <cellStyle name="comma[0]" xfId="3885"/>
    <cellStyle name="Comma_Book1" xfId="2"/>
    <cellStyle name="Comma0" xfId="3886"/>
    <cellStyle name="Comma1" xfId="3887"/>
    <cellStyle name="Comma2" xfId="3888"/>
    <cellStyle name="Comment" xfId="3889"/>
    <cellStyle name="CompanyName" xfId="3890"/>
    <cellStyle name="Copied" xfId="3891"/>
    <cellStyle name="Copy0_" xfId="3892"/>
    <cellStyle name="Copy1_" xfId="3893"/>
    <cellStyle name="Copy2_" xfId="3894"/>
    <cellStyle name="CountryTitle" xfId="3895"/>
    <cellStyle name="CoverRatio" xfId="3896"/>
    <cellStyle name="Currency - two places" xfId="3897"/>
    <cellStyle name="Currency (0)" xfId="3898"/>
    <cellStyle name="Currency (2)" xfId="3899"/>
    <cellStyle name="Currency (2dp)" xfId="3900"/>
    <cellStyle name="Currency (2dp) Dashed" xfId="3901"/>
    <cellStyle name="Currency (2dp) Nil" xfId="3902"/>
    <cellStyle name="Currency (2dp+nz)" xfId="3903"/>
    <cellStyle name="Currency (nz)" xfId="3904"/>
    <cellStyle name="Currency [0.00]" xfId="3905"/>
    <cellStyle name="Currency [0] U" xfId="3906"/>
    <cellStyle name="Currency [2]" xfId="3907"/>
    <cellStyle name="Currency [2] U" xfId="3908"/>
    <cellStyle name="Currency 0" xfId="3909"/>
    <cellStyle name="Currency 2" xfId="9"/>
    <cellStyle name="Currency 2 10" xfId="4452"/>
    <cellStyle name="Currency 2 10 2" xfId="4866"/>
    <cellStyle name="Currency 2 10 2 2" xfId="8609"/>
    <cellStyle name="Currency 2 10 2 2 2" xfId="15157"/>
    <cellStyle name="Currency 2 10 2 3" xfId="6890"/>
    <cellStyle name="Currency 2 10 2 3 2" xfId="13576"/>
    <cellStyle name="Currency 2 10 2 4" xfId="11791"/>
    <cellStyle name="Currency 2 10 3" xfId="5280"/>
    <cellStyle name="Currency 2 10 3 2" xfId="9023"/>
    <cellStyle name="Currency 2 10 3 2 2" xfId="15567"/>
    <cellStyle name="Currency 2 10 3 3" xfId="7304"/>
    <cellStyle name="Currency 2 10 3 3 2" xfId="13986"/>
    <cellStyle name="Currency 2 10 3 4" xfId="12201"/>
    <cellStyle name="Currency 2 10 4" xfId="5718"/>
    <cellStyle name="Currency 2 10 4 2" xfId="9459"/>
    <cellStyle name="Currency 2 10 4 2 2" xfId="15961"/>
    <cellStyle name="Currency 2 10 4 3" xfId="7740"/>
    <cellStyle name="Currency 2 10 4 3 2" xfId="14380"/>
    <cellStyle name="Currency 2 10 4 4" xfId="12611"/>
    <cellStyle name="Currency 2 10 5" xfId="9862"/>
    <cellStyle name="Currency 2 10 5 2" xfId="16343"/>
    <cellStyle name="Currency 2 10 6" xfId="8217"/>
    <cellStyle name="Currency 2 10 6 2" xfId="14774"/>
    <cellStyle name="Currency 2 10 7" xfId="6498"/>
    <cellStyle name="Currency 2 10 7 2" xfId="13188"/>
    <cellStyle name="Currency 2 10 8" xfId="11397"/>
    <cellStyle name="Currency 2 10 9" xfId="16680"/>
    <cellStyle name="Currency 2 11" xfId="4673"/>
    <cellStyle name="Currency 2 11 2" xfId="8419"/>
    <cellStyle name="Currency 2 11 2 2" xfId="14971"/>
    <cellStyle name="Currency 2 11 3" xfId="6700"/>
    <cellStyle name="Currency 2 11 3 2" xfId="13390"/>
    <cellStyle name="Currency 2 11 4" xfId="11604"/>
    <cellStyle name="Currency 2 12" xfId="5079"/>
    <cellStyle name="Currency 2 12 2" xfId="8822"/>
    <cellStyle name="Currency 2 12 2 2" xfId="15370"/>
    <cellStyle name="Currency 2 12 3" xfId="7103"/>
    <cellStyle name="Currency 2 12 3 2" xfId="13789"/>
    <cellStyle name="Currency 2 12 4" xfId="12004"/>
    <cellStyle name="Currency 2 13" xfId="5516"/>
    <cellStyle name="Currency 2 13 2" xfId="9257"/>
    <cellStyle name="Currency 2 13 2 2" xfId="15764"/>
    <cellStyle name="Currency 2 13 3" xfId="7538"/>
    <cellStyle name="Currency 2 13 3 2" xfId="14183"/>
    <cellStyle name="Currency 2 13 4" xfId="12409"/>
    <cellStyle name="Currency 2 14" xfId="9653"/>
    <cellStyle name="Currency 2 14 2" xfId="16155"/>
    <cellStyle name="Currency 2 15" xfId="7937"/>
    <cellStyle name="Currency 2 15 2" xfId="14577"/>
    <cellStyle name="Currency 2 16" xfId="5916"/>
    <cellStyle name="Currency 2 16 2" xfId="12809"/>
    <cellStyle name="Currency 2 17" xfId="10248"/>
    <cellStyle name="Currency 2 18" xfId="16632"/>
    <cellStyle name="Currency 2 2" xfId="13"/>
    <cellStyle name="Currency 2 2 2" xfId="4414"/>
    <cellStyle name="Currency 2 2 2 2" xfId="11370"/>
    <cellStyle name="Currency 2 2 3" xfId="10251"/>
    <cellStyle name="Currency 2 3" xfId="16"/>
    <cellStyle name="Currency 2 3 10" xfId="9654"/>
    <cellStyle name="Currency 2 3 10 2" xfId="16156"/>
    <cellStyle name="Currency 2 3 11" xfId="7938"/>
    <cellStyle name="Currency 2 3 11 2" xfId="14578"/>
    <cellStyle name="Currency 2 3 12" xfId="5917"/>
    <cellStyle name="Currency 2 3 12 2" xfId="12810"/>
    <cellStyle name="Currency 2 3 13" xfId="10252"/>
    <cellStyle name="Currency 2 3 14" xfId="16633"/>
    <cellStyle name="Currency 2 3 2" xfId="38"/>
    <cellStyle name="Currency 2 3 2 10" xfId="5936"/>
    <cellStyle name="Currency 2 3 2 10 2" xfId="12829"/>
    <cellStyle name="Currency 2 3 2 11" xfId="10271"/>
    <cellStyle name="Currency 2 3 2 12" xfId="16634"/>
    <cellStyle name="Currency 2 3 2 2" xfId="3910"/>
    <cellStyle name="Currency 2 3 2 2 10" xfId="16647"/>
    <cellStyle name="Currency 2 3 2 2 2" xfId="4485"/>
    <cellStyle name="Currency 2 3 2 2 2 2" xfId="4867"/>
    <cellStyle name="Currency 2 3 2 2 2 2 2" xfId="8610"/>
    <cellStyle name="Currency 2 3 2 2 2 2 2 2" xfId="15158"/>
    <cellStyle name="Currency 2 3 2 2 2 2 3" xfId="6891"/>
    <cellStyle name="Currency 2 3 2 2 2 2 3 2" xfId="13577"/>
    <cellStyle name="Currency 2 3 2 2 2 2 4" xfId="11792"/>
    <cellStyle name="Currency 2 3 2 2 2 3" xfId="5312"/>
    <cellStyle name="Currency 2 3 2 2 2 3 2" xfId="9055"/>
    <cellStyle name="Currency 2 3 2 2 2 3 2 2" xfId="15599"/>
    <cellStyle name="Currency 2 3 2 2 2 3 3" xfId="7336"/>
    <cellStyle name="Currency 2 3 2 2 2 3 3 2" xfId="14018"/>
    <cellStyle name="Currency 2 3 2 2 2 3 4" xfId="12233"/>
    <cellStyle name="Currency 2 3 2 2 2 4" xfId="5750"/>
    <cellStyle name="Currency 2 3 2 2 2 4 2" xfId="9491"/>
    <cellStyle name="Currency 2 3 2 2 2 4 2 2" xfId="15993"/>
    <cellStyle name="Currency 2 3 2 2 2 4 3" xfId="7772"/>
    <cellStyle name="Currency 2 3 2 2 2 4 3 2" xfId="14412"/>
    <cellStyle name="Currency 2 3 2 2 2 4 4" xfId="12643"/>
    <cellStyle name="Currency 2 3 2 2 2 5" xfId="9863"/>
    <cellStyle name="Currency 2 3 2 2 2 5 2" xfId="16344"/>
    <cellStyle name="Currency 2 3 2 2 2 6" xfId="8249"/>
    <cellStyle name="Currency 2 3 2 2 2 6 2" xfId="14806"/>
    <cellStyle name="Currency 2 3 2 2 2 7" xfId="6530"/>
    <cellStyle name="Currency 2 3 2 2 2 7 2" xfId="13220"/>
    <cellStyle name="Currency 2 3 2 2 2 8" xfId="11430"/>
    <cellStyle name="Currency 2 3 2 2 2 9" xfId="16681"/>
    <cellStyle name="Currency 2 3 2 2 3" xfId="4766"/>
    <cellStyle name="Currency 2 3 2 2 3 2" xfId="8509"/>
    <cellStyle name="Currency 2 3 2 2 3 2 2" xfId="15061"/>
    <cellStyle name="Currency 2 3 2 2 3 3" xfId="6790"/>
    <cellStyle name="Currency 2 3 2 2 3 3 2" xfId="13480"/>
    <cellStyle name="Currency 2 3 2 2 3 4" xfId="11695"/>
    <cellStyle name="Currency 2 3 2 2 4" xfId="5115"/>
    <cellStyle name="Currency 2 3 2 2 4 2" xfId="8858"/>
    <cellStyle name="Currency 2 3 2 2 4 2 2" xfId="15402"/>
    <cellStyle name="Currency 2 3 2 2 4 3" xfId="7139"/>
    <cellStyle name="Currency 2 3 2 2 4 3 2" xfId="13821"/>
    <cellStyle name="Currency 2 3 2 2 4 4" xfId="12036"/>
    <cellStyle name="Currency 2 3 2 2 5" xfId="5548"/>
    <cellStyle name="Currency 2 3 2 2 5 2" xfId="9289"/>
    <cellStyle name="Currency 2 3 2 2 5 2 2" xfId="15796"/>
    <cellStyle name="Currency 2 3 2 2 5 3" xfId="7570"/>
    <cellStyle name="Currency 2 3 2 2 5 3 2" xfId="14215"/>
    <cellStyle name="Currency 2 3 2 2 5 4" xfId="12441"/>
    <cellStyle name="Currency 2 3 2 2 6" xfId="9756"/>
    <cellStyle name="Currency 2 3 2 2 6 2" xfId="16247"/>
    <cellStyle name="Currency 2 3 2 2 7" xfId="8006"/>
    <cellStyle name="Currency 2 3 2 2 7 2" xfId="14609"/>
    <cellStyle name="Currency 2 3 2 2 8" xfId="6269"/>
    <cellStyle name="Currency 2 3 2 2 8 2" xfId="12994"/>
    <cellStyle name="Currency 2 3 2 2 9" xfId="11222"/>
    <cellStyle name="Currency 2 3 2 3" xfId="3911"/>
    <cellStyle name="Currency 2 3 2 3 10" xfId="16655"/>
    <cellStyle name="Currency 2 3 2 3 2" xfId="4486"/>
    <cellStyle name="Currency 2 3 2 3 2 2" xfId="4868"/>
    <cellStyle name="Currency 2 3 2 3 2 2 2" xfId="8611"/>
    <cellStyle name="Currency 2 3 2 3 2 2 2 2" xfId="15159"/>
    <cellStyle name="Currency 2 3 2 3 2 2 3" xfId="6892"/>
    <cellStyle name="Currency 2 3 2 3 2 2 3 2" xfId="13578"/>
    <cellStyle name="Currency 2 3 2 3 2 2 4" xfId="11793"/>
    <cellStyle name="Currency 2 3 2 3 2 3" xfId="5313"/>
    <cellStyle name="Currency 2 3 2 3 2 3 2" xfId="9056"/>
    <cellStyle name="Currency 2 3 2 3 2 3 2 2" xfId="15600"/>
    <cellStyle name="Currency 2 3 2 3 2 3 3" xfId="7337"/>
    <cellStyle name="Currency 2 3 2 3 2 3 3 2" xfId="14019"/>
    <cellStyle name="Currency 2 3 2 3 2 3 4" xfId="12234"/>
    <cellStyle name="Currency 2 3 2 3 2 4" xfId="5751"/>
    <cellStyle name="Currency 2 3 2 3 2 4 2" xfId="9492"/>
    <cellStyle name="Currency 2 3 2 3 2 4 2 2" xfId="15994"/>
    <cellStyle name="Currency 2 3 2 3 2 4 3" xfId="7773"/>
    <cellStyle name="Currency 2 3 2 3 2 4 3 2" xfId="14413"/>
    <cellStyle name="Currency 2 3 2 3 2 4 4" xfId="12644"/>
    <cellStyle name="Currency 2 3 2 3 2 5" xfId="9864"/>
    <cellStyle name="Currency 2 3 2 3 2 5 2" xfId="16345"/>
    <cellStyle name="Currency 2 3 2 3 2 6" xfId="8250"/>
    <cellStyle name="Currency 2 3 2 3 2 6 2" xfId="14807"/>
    <cellStyle name="Currency 2 3 2 3 2 7" xfId="6531"/>
    <cellStyle name="Currency 2 3 2 3 2 7 2" xfId="13221"/>
    <cellStyle name="Currency 2 3 2 3 2 8" xfId="11431"/>
    <cellStyle name="Currency 2 3 2 3 2 9" xfId="16682"/>
    <cellStyle name="Currency 2 3 2 3 3" xfId="4837"/>
    <cellStyle name="Currency 2 3 2 3 3 2" xfId="8580"/>
    <cellStyle name="Currency 2 3 2 3 3 2 2" xfId="15128"/>
    <cellStyle name="Currency 2 3 2 3 3 3" xfId="6861"/>
    <cellStyle name="Currency 2 3 2 3 3 3 2" xfId="13547"/>
    <cellStyle name="Currency 2 3 2 3 3 4" xfId="11762"/>
    <cellStyle name="Currency 2 3 2 3 4" xfId="5116"/>
    <cellStyle name="Currency 2 3 2 3 4 2" xfId="8859"/>
    <cellStyle name="Currency 2 3 2 3 4 2 2" xfId="15403"/>
    <cellStyle name="Currency 2 3 2 3 4 3" xfId="7140"/>
    <cellStyle name="Currency 2 3 2 3 4 3 2" xfId="13822"/>
    <cellStyle name="Currency 2 3 2 3 4 4" xfId="12037"/>
    <cellStyle name="Currency 2 3 2 3 5" xfId="5549"/>
    <cellStyle name="Currency 2 3 2 3 5 2" xfId="9290"/>
    <cellStyle name="Currency 2 3 2 3 5 2 2" xfId="15797"/>
    <cellStyle name="Currency 2 3 2 3 5 3" xfId="7571"/>
    <cellStyle name="Currency 2 3 2 3 5 3 2" xfId="14216"/>
    <cellStyle name="Currency 2 3 2 3 5 4" xfId="12442"/>
    <cellStyle name="Currency 2 3 2 3 6" xfId="9828"/>
    <cellStyle name="Currency 2 3 2 3 6 2" xfId="16314"/>
    <cellStyle name="Currency 2 3 2 3 7" xfId="8007"/>
    <cellStyle name="Currency 2 3 2 3 7 2" xfId="14610"/>
    <cellStyle name="Currency 2 3 2 3 8" xfId="6270"/>
    <cellStyle name="Currency 2 3 2 3 8 2" xfId="12995"/>
    <cellStyle name="Currency 2 3 2 3 9" xfId="11223"/>
    <cellStyle name="Currency 2 3 2 4" xfId="4472"/>
    <cellStyle name="Currency 2 3 2 4 2" xfId="4869"/>
    <cellStyle name="Currency 2 3 2 4 2 2" xfId="8612"/>
    <cellStyle name="Currency 2 3 2 4 2 2 2" xfId="15160"/>
    <cellStyle name="Currency 2 3 2 4 2 3" xfId="6893"/>
    <cellStyle name="Currency 2 3 2 4 2 3 2" xfId="13579"/>
    <cellStyle name="Currency 2 3 2 4 2 4" xfId="11794"/>
    <cellStyle name="Currency 2 3 2 4 3" xfId="5300"/>
    <cellStyle name="Currency 2 3 2 4 3 2" xfId="9043"/>
    <cellStyle name="Currency 2 3 2 4 3 2 2" xfId="15587"/>
    <cellStyle name="Currency 2 3 2 4 3 3" xfId="7324"/>
    <cellStyle name="Currency 2 3 2 4 3 3 2" xfId="14006"/>
    <cellStyle name="Currency 2 3 2 4 3 4" xfId="12221"/>
    <cellStyle name="Currency 2 3 2 4 4" xfId="5738"/>
    <cellStyle name="Currency 2 3 2 4 4 2" xfId="9479"/>
    <cellStyle name="Currency 2 3 2 4 4 2 2" xfId="15981"/>
    <cellStyle name="Currency 2 3 2 4 4 3" xfId="7760"/>
    <cellStyle name="Currency 2 3 2 4 4 3 2" xfId="14400"/>
    <cellStyle name="Currency 2 3 2 4 4 4" xfId="12631"/>
    <cellStyle name="Currency 2 3 2 4 5" xfId="9865"/>
    <cellStyle name="Currency 2 3 2 4 5 2" xfId="16346"/>
    <cellStyle name="Currency 2 3 2 4 6" xfId="8237"/>
    <cellStyle name="Currency 2 3 2 4 6 2" xfId="14794"/>
    <cellStyle name="Currency 2 3 2 4 7" xfId="6518"/>
    <cellStyle name="Currency 2 3 2 4 7 2" xfId="13208"/>
    <cellStyle name="Currency 2 3 2 4 8" xfId="11417"/>
    <cellStyle name="Currency 2 3 2 4 9" xfId="16683"/>
    <cellStyle name="Currency 2 3 2 5" xfId="4675"/>
    <cellStyle name="Currency 2 3 2 5 2" xfId="8421"/>
    <cellStyle name="Currency 2 3 2 5 2 2" xfId="14973"/>
    <cellStyle name="Currency 2 3 2 5 3" xfId="6702"/>
    <cellStyle name="Currency 2 3 2 5 3 2" xfId="13392"/>
    <cellStyle name="Currency 2 3 2 5 4" xfId="11606"/>
    <cellStyle name="Currency 2 3 2 6" xfId="5099"/>
    <cellStyle name="Currency 2 3 2 6 2" xfId="8842"/>
    <cellStyle name="Currency 2 3 2 6 2 2" xfId="15390"/>
    <cellStyle name="Currency 2 3 2 6 3" xfId="7123"/>
    <cellStyle name="Currency 2 3 2 6 3 2" xfId="13809"/>
    <cellStyle name="Currency 2 3 2 6 4" xfId="12024"/>
    <cellStyle name="Currency 2 3 2 7" xfId="5536"/>
    <cellStyle name="Currency 2 3 2 7 2" xfId="9277"/>
    <cellStyle name="Currency 2 3 2 7 2 2" xfId="15784"/>
    <cellStyle name="Currency 2 3 2 7 3" xfId="7558"/>
    <cellStyle name="Currency 2 3 2 7 3 2" xfId="14203"/>
    <cellStyle name="Currency 2 3 2 7 4" xfId="12429"/>
    <cellStyle name="Currency 2 3 2 8" xfId="9655"/>
    <cellStyle name="Currency 2 3 2 8 2" xfId="16157"/>
    <cellStyle name="Currency 2 3 2 9" xfId="7957"/>
    <cellStyle name="Currency 2 3 2 9 2" xfId="14597"/>
    <cellStyle name="Currency 2 3 3" xfId="30"/>
    <cellStyle name="Currency 2 3 3 10" xfId="16646"/>
    <cellStyle name="Currency 2 3 3 2" xfId="4465"/>
    <cellStyle name="Currency 2 3 3 2 2" xfId="4870"/>
    <cellStyle name="Currency 2 3 3 2 2 2" xfId="8613"/>
    <cellStyle name="Currency 2 3 3 2 2 2 2" xfId="15161"/>
    <cellStyle name="Currency 2 3 3 2 2 3" xfId="6894"/>
    <cellStyle name="Currency 2 3 3 2 2 3 2" xfId="13580"/>
    <cellStyle name="Currency 2 3 3 2 2 4" xfId="11795"/>
    <cellStyle name="Currency 2 3 3 2 3" xfId="5293"/>
    <cellStyle name="Currency 2 3 3 2 3 2" xfId="9036"/>
    <cellStyle name="Currency 2 3 3 2 3 2 2" xfId="15580"/>
    <cellStyle name="Currency 2 3 3 2 3 3" xfId="7317"/>
    <cellStyle name="Currency 2 3 3 2 3 3 2" xfId="13999"/>
    <cellStyle name="Currency 2 3 3 2 3 4" xfId="12214"/>
    <cellStyle name="Currency 2 3 3 2 4" xfId="5731"/>
    <cellStyle name="Currency 2 3 3 2 4 2" xfId="9472"/>
    <cellStyle name="Currency 2 3 3 2 4 2 2" xfId="15974"/>
    <cellStyle name="Currency 2 3 3 2 4 3" xfId="7753"/>
    <cellStyle name="Currency 2 3 3 2 4 3 2" xfId="14393"/>
    <cellStyle name="Currency 2 3 3 2 4 4" xfId="12624"/>
    <cellStyle name="Currency 2 3 3 2 5" xfId="9866"/>
    <cellStyle name="Currency 2 3 3 2 5 2" xfId="16347"/>
    <cellStyle name="Currency 2 3 3 2 6" xfId="8230"/>
    <cellStyle name="Currency 2 3 3 2 6 2" xfId="14787"/>
    <cellStyle name="Currency 2 3 3 2 7" xfId="6511"/>
    <cellStyle name="Currency 2 3 3 2 7 2" xfId="13201"/>
    <cellStyle name="Currency 2 3 3 2 8" xfId="11410"/>
    <cellStyle name="Currency 2 3 3 2 9" xfId="16684"/>
    <cellStyle name="Currency 2 3 3 3" xfId="4765"/>
    <cellStyle name="Currency 2 3 3 3 2" xfId="8508"/>
    <cellStyle name="Currency 2 3 3 3 2 2" xfId="15060"/>
    <cellStyle name="Currency 2 3 3 3 3" xfId="6789"/>
    <cellStyle name="Currency 2 3 3 3 3 2" xfId="13479"/>
    <cellStyle name="Currency 2 3 3 3 4" xfId="11694"/>
    <cellStyle name="Currency 2 3 3 4" xfId="5092"/>
    <cellStyle name="Currency 2 3 3 4 2" xfId="8835"/>
    <cellStyle name="Currency 2 3 3 4 2 2" xfId="15383"/>
    <cellStyle name="Currency 2 3 3 4 3" xfId="7116"/>
    <cellStyle name="Currency 2 3 3 4 3 2" xfId="13802"/>
    <cellStyle name="Currency 2 3 3 4 4" xfId="12017"/>
    <cellStyle name="Currency 2 3 3 5" xfId="5529"/>
    <cellStyle name="Currency 2 3 3 5 2" xfId="9270"/>
    <cellStyle name="Currency 2 3 3 5 2 2" xfId="15777"/>
    <cellStyle name="Currency 2 3 3 5 3" xfId="7551"/>
    <cellStyle name="Currency 2 3 3 5 3 2" xfId="14196"/>
    <cellStyle name="Currency 2 3 3 5 4" xfId="12422"/>
    <cellStyle name="Currency 2 3 3 6" xfId="9755"/>
    <cellStyle name="Currency 2 3 3 6 2" xfId="16246"/>
    <cellStyle name="Currency 2 3 3 7" xfId="7950"/>
    <cellStyle name="Currency 2 3 3 7 2" xfId="14590"/>
    <cellStyle name="Currency 2 3 3 8" xfId="5929"/>
    <cellStyle name="Currency 2 3 3 8 2" xfId="12822"/>
    <cellStyle name="Currency 2 3 3 9" xfId="10264"/>
    <cellStyle name="Currency 2 3 4" xfId="3912"/>
    <cellStyle name="Currency 2 3 4 10" xfId="16653"/>
    <cellStyle name="Currency 2 3 4 2" xfId="4487"/>
    <cellStyle name="Currency 2 3 4 2 2" xfId="4871"/>
    <cellStyle name="Currency 2 3 4 2 2 2" xfId="8614"/>
    <cellStyle name="Currency 2 3 4 2 2 2 2" xfId="15162"/>
    <cellStyle name="Currency 2 3 4 2 2 3" xfId="6895"/>
    <cellStyle name="Currency 2 3 4 2 2 3 2" xfId="13581"/>
    <cellStyle name="Currency 2 3 4 2 2 4" xfId="11796"/>
    <cellStyle name="Currency 2 3 4 2 3" xfId="5314"/>
    <cellStyle name="Currency 2 3 4 2 3 2" xfId="9057"/>
    <cellStyle name="Currency 2 3 4 2 3 2 2" xfId="15601"/>
    <cellStyle name="Currency 2 3 4 2 3 3" xfId="7338"/>
    <cellStyle name="Currency 2 3 4 2 3 3 2" xfId="14020"/>
    <cellStyle name="Currency 2 3 4 2 3 4" xfId="12235"/>
    <cellStyle name="Currency 2 3 4 2 4" xfId="5752"/>
    <cellStyle name="Currency 2 3 4 2 4 2" xfId="9493"/>
    <cellStyle name="Currency 2 3 4 2 4 2 2" xfId="15995"/>
    <cellStyle name="Currency 2 3 4 2 4 3" xfId="7774"/>
    <cellStyle name="Currency 2 3 4 2 4 3 2" xfId="14414"/>
    <cellStyle name="Currency 2 3 4 2 4 4" xfId="12645"/>
    <cellStyle name="Currency 2 3 4 2 5" xfId="9867"/>
    <cellStyle name="Currency 2 3 4 2 5 2" xfId="16348"/>
    <cellStyle name="Currency 2 3 4 2 6" xfId="8251"/>
    <cellStyle name="Currency 2 3 4 2 6 2" xfId="14808"/>
    <cellStyle name="Currency 2 3 4 2 7" xfId="6532"/>
    <cellStyle name="Currency 2 3 4 2 7 2" xfId="13222"/>
    <cellStyle name="Currency 2 3 4 2 8" xfId="11432"/>
    <cellStyle name="Currency 2 3 4 2 9" xfId="16685"/>
    <cellStyle name="Currency 2 3 4 3" xfId="4830"/>
    <cellStyle name="Currency 2 3 4 3 2" xfId="8573"/>
    <cellStyle name="Currency 2 3 4 3 2 2" xfId="15121"/>
    <cellStyle name="Currency 2 3 4 3 3" xfId="6854"/>
    <cellStyle name="Currency 2 3 4 3 3 2" xfId="13540"/>
    <cellStyle name="Currency 2 3 4 3 4" xfId="11755"/>
    <cellStyle name="Currency 2 3 4 4" xfId="5117"/>
    <cellStyle name="Currency 2 3 4 4 2" xfId="8860"/>
    <cellStyle name="Currency 2 3 4 4 2 2" xfId="15404"/>
    <cellStyle name="Currency 2 3 4 4 3" xfId="7141"/>
    <cellStyle name="Currency 2 3 4 4 3 2" xfId="13823"/>
    <cellStyle name="Currency 2 3 4 4 4" xfId="12038"/>
    <cellStyle name="Currency 2 3 4 5" xfId="5550"/>
    <cellStyle name="Currency 2 3 4 5 2" xfId="9291"/>
    <cellStyle name="Currency 2 3 4 5 2 2" xfId="15798"/>
    <cellStyle name="Currency 2 3 4 5 3" xfId="7572"/>
    <cellStyle name="Currency 2 3 4 5 3 2" xfId="14217"/>
    <cellStyle name="Currency 2 3 4 5 4" xfId="12443"/>
    <cellStyle name="Currency 2 3 4 6" xfId="9821"/>
    <cellStyle name="Currency 2 3 4 6 2" xfId="16307"/>
    <cellStyle name="Currency 2 3 4 7" xfId="8008"/>
    <cellStyle name="Currency 2 3 4 7 2" xfId="14611"/>
    <cellStyle name="Currency 2 3 4 8" xfId="6271"/>
    <cellStyle name="Currency 2 3 4 8 2" xfId="12996"/>
    <cellStyle name="Currency 2 3 4 9" xfId="11224"/>
    <cellStyle name="Currency 2 3 5" xfId="4434"/>
    <cellStyle name="Currency 2 3 5 10" xfId="16686"/>
    <cellStyle name="Currency 2 3 5 2" xfId="4643"/>
    <cellStyle name="Currency 2 3 5 2 2" xfId="4873"/>
    <cellStyle name="Currency 2 3 5 2 2 2" xfId="8616"/>
    <cellStyle name="Currency 2 3 5 2 2 2 2" xfId="15164"/>
    <cellStyle name="Currency 2 3 5 2 2 3" xfId="6897"/>
    <cellStyle name="Currency 2 3 5 2 2 3 2" xfId="13583"/>
    <cellStyle name="Currency 2 3 5 2 2 4" xfId="11798"/>
    <cellStyle name="Currency 2 3 5 2 3" xfId="5470"/>
    <cellStyle name="Currency 2 3 5 2 3 2" xfId="9213"/>
    <cellStyle name="Currency 2 3 5 2 3 2 2" xfId="15757"/>
    <cellStyle name="Currency 2 3 5 2 3 3" xfId="7494"/>
    <cellStyle name="Currency 2 3 5 2 3 3 2" xfId="14176"/>
    <cellStyle name="Currency 2 3 5 2 3 4" xfId="12391"/>
    <cellStyle name="Currency 2 3 5 2 4" xfId="5908"/>
    <cellStyle name="Currency 2 3 5 2 4 2" xfId="9649"/>
    <cellStyle name="Currency 2 3 5 2 4 2 2" xfId="16151"/>
    <cellStyle name="Currency 2 3 5 2 4 3" xfId="7930"/>
    <cellStyle name="Currency 2 3 5 2 4 3 2" xfId="14570"/>
    <cellStyle name="Currency 2 3 5 2 4 4" xfId="12801"/>
    <cellStyle name="Currency 2 3 5 2 5" xfId="9869"/>
    <cellStyle name="Currency 2 3 5 2 5 2" xfId="16350"/>
    <cellStyle name="Currency 2 3 5 2 6" xfId="8407"/>
    <cellStyle name="Currency 2 3 5 2 6 2" xfId="14964"/>
    <cellStyle name="Currency 2 3 5 2 7" xfId="6688"/>
    <cellStyle name="Currency 2 3 5 2 7 2" xfId="13378"/>
    <cellStyle name="Currency 2 3 5 2 8" xfId="11588"/>
    <cellStyle name="Currency 2 3 5 2 9" xfId="16687"/>
    <cellStyle name="Currency 2 3 5 3" xfId="4872"/>
    <cellStyle name="Currency 2 3 5 3 2" xfId="8615"/>
    <cellStyle name="Currency 2 3 5 3 2 2" xfId="15163"/>
    <cellStyle name="Currency 2 3 5 3 3" xfId="6896"/>
    <cellStyle name="Currency 2 3 5 3 3 2" xfId="13582"/>
    <cellStyle name="Currency 2 3 5 3 4" xfId="11797"/>
    <cellStyle name="Currency 2 3 5 4" xfId="5273"/>
    <cellStyle name="Currency 2 3 5 4 2" xfId="9016"/>
    <cellStyle name="Currency 2 3 5 4 2 2" xfId="15560"/>
    <cellStyle name="Currency 2 3 5 4 3" xfId="7297"/>
    <cellStyle name="Currency 2 3 5 4 3 2" xfId="13979"/>
    <cellStyle name="Currency 2 3 5 4 4" xfId="12194"/>
    <cellStyle name="Currency 2 3 5 5" xfId="5711"/>
    <cellStyle name="Currency 2 3 5 5 2" xfId="9452"/>
    <cellStyle name="Currency 2 3 5 5 2 2" xfId="15954"/>
    <cellStyle name="Currency 2 3 5 5 3" xfId="7733"/>
    <cellStyle name="Currency 2 3 5 5 3 2" xfId="14373"/>
    <cellStyle name="Currency 2 3 5 5 4" xfId="12604"/>
    <cellStyle name="Currency 2 3 5 6" xfId="9868"/>
    <cellStyle name="Currency 2 3 5 6 2" xfId="16349"/>
    <cellStyle name="Currency 2 3 5 7" xfId="8210"/>
    <cellStyle name="Currency 2 3 5 7 2" xfId="14767"/>
    <cellStyle name="Currency 2 3 5 8" xfId="6491"/>
    <cellStyle name="Currency 2 3 5 8 2" xfId="13181"/>
    <cellStyle name="Currency 2 3 5 9" xfId="11389"/>
    <cellStyle name="Currency 2 3 6" xfId="4453"/>
    <cellStyle name="Currency 2 3 6 2" xfId="4874"/>
    <cellStyle name="Currency 2 3 6 2 2" xfId="8617"/>
    <cellStyle name="Currency 2 3 6 2 2 2" xfId="15165"/>
    <cellStyle name="Currency 2 3 6 2 3" xfId="6898"/>
    <cellStyle name="Currency 2 3 6 2 3 2" xfId="13584"/>
    <cellStyle name="Currency 2 3 6 2 4" xfId="11799"/>
    <cellStyle name="Currency 2 3 6 3" xfId="5281"/>
    <cellStyle name="Currency 2 3 6 3 2" xfId="9024"/>
    <cellStyle name="Currency 2 3 6 3 2 2" xfId="15568"/>
    <cellStyle name="Currency 2 3 6 3 3" xfId="7305"/>
    <cellStyle name="Currency 2 3 6 3 3 2" xfId="13987"/>
    <cellStyle name="Currency 2 3 6 3 4" xfId="12202"/>
    <cellStyle name="Currency 2 3 6 4" xfId="5719"/>
    <cellStyle name="Currency 2 3 6 4 2" xfId="9460"/>
    <cellStyle name="Currency 2 3 6 4 2 2" xfId="15962"/>
    <cellStyle name="Currency 2 3 6 4 3" xfId="7741"/>
    <cellStyle name="Currency 2 3 6 4 3 2" xfId="14381"/>
    <cellStyle name="Currency 2 3 6 4 4" xfId="12612"/>
    <cellStyle name="Currency 2 3 6 5" xfId="9870"/>
    <cellStyle name="Currency 2 3 6 5 2" xfId="16351"/>
    <cellStyle name="Currency 2 3 6 6" xfId="8218"/>
    <cellStyle name="Currency 2 3 6 6 2" xfId="14775"/>
    <cellStyle name="Currency 2 3 6 7" xfId="6499"/>
    <cellStyle name="Currency 2 3 6 7 2" xfId="13189"/>
    <cellStyle name="Currency 2 3 6 8" xfId="11398"/>
    <cellStyle name="Currency 2 3 6 9" xfId="16688"/>
    <cellStyle name="Currency 2 3 7" xfId="4674"/>
    <cellStyle name="Currency 2 3 7 2" xfId="8420"/>
    <cellStyle name="Currency 2 3 7 2 2" xfId="14972"/>
    <cellStyle name="Currency 2 3 7 3" xfId="6701"/>
    <cellStyle name="Currency 2 3 7 3 2" xfId="13391"/>
    <cellStyle name="Currency 2 3 7 4" xfId="11605"/>
    <cellStyle name="Currency 2 3 8" xfId="5080"/>
    <cellStyle name="Currency 2 3 8 2" xfId="8823"/>
    <cellStyle name="Currency 2 3 8 2 2" xfId="15371"/>
    <cellStyle name="Currency 2 3 8 3" xfId="7104"/>
    <cellStyle name="Currency 2 3 8 3 2" xfId="13790"/>
    <cellStyle name="Currency 2 3 8 4" xfId="12005"/>
    <cellStyle name="Currency 2 3 9" xfId="5517"/>
    <cellStyle name="Currency 2 3 9 2" xfId="9258"/>
    <cellStyle name="Currency 2 3 9 2 2" xfId="15765"/>
    <cellStyle name="Currency 2 3 9 3" xfId="7539"/>
    <cellStyle name="Currency 2 3 9 3 2" xfId="14184"/>
    <cellStyle name="Currency 2 3 9 4" xfId="12410"/>
    <cellStyle name="Currency 2 4" xfId="36"/>
    <cellStyle name="Currency 2 4 10" xfId="5935"/>
    <cellStyle name="Currency 2 4 10 2" xfId="12828"/>
    <cellStyle name="Currency 2 4 11" xfId="10270"/>
    <cellStyle name="Currency 2 4 12" xfId="16635"/>
    <cellStyle name="Currency 2 4 2" xfId="3913"/>
    <cellStyle name="Currency 2 4 2 10" xfId="16648"/>
    <cellStyle name="Currency 2 4 2 2" xfId="4488"/>
    <cellStyle name="Currency 2 4 2 2 2" xfId="4875"/>
    <cellStyle name="Currency 2 4 2 2 2 2" xfId="8618"/>
    <cellStyle name="Currency 2 4 2 2 2 2 2" xfId="15166"/>
    <cellStyle name="Currency 2 4 2 2 2 3" xfId="6899"/>
    <cellStyle name="Currency 2 4 2 2 2 3 2" xfId="13585"/>
    <cellStyle name="Currency 2 4 2 2 2 4" xfId="11800"/>
    <cellStyle name="Currency 2 4 2 2 3" xfId="5315"/>
    <cellStyle name="Currency 2 4 2 2 3 2" xfId="9058"/>
    <cellStyle name="Currency 2 4 2 2 3 2 2" xfId="15602"/>
    <cellStyle name="Currency 2 4 2 2 3 3" xfId="7339"/>
    <cellStyle name="Currency 2 4 2 2 3 3 2" xfId="14021"/>
    <cellStyle name="Currency 2 4 2 2 3 4" xfId="12236"/>
    <cellStyle name="Currency 2 4 2 2 4" xfId="5753"/>
    <cellStyle name="Currency 2 4 2 2 4 2" xfId="9494"/>
    <cellStyle name="Currency 2 4 2 2 4 2 2" xfId="15996"/>
    <cellStyle name="Currency 2 4 2 2 4 3" xfId="7775"/>
    <cellStyle name="Currency 2 4 2 2 4 3 2" xfId="14415"/>
    <cellStyle name="Currency 2 4 2 2 4 4" xfId="12646"/>
    <cellStyle name="Currency 2 4 2 2 5" xfId="9871"/>
    <cellStyle name="Currency 2 4 2 2 5 2" xfId="16352"/>
    <cellStyle name="Currency 2 4 2 2 6" xfId="8252"/>
    <cellStyle name="Currency 2 4 2 2 6 2" xfId="14809"/>
    <cellStyle name="Currency 2 4 2 2 7" xfId="6533"/>
    <cellStyle name="Currency 2 4 2 2 7 2" xfId="13223"/>
    <cellStyle name="Currency 2 4 2 2 8" xfId="11433"/>
    <cellStyle name="Currency 2 4 2 2 9" xfId="16689"/>
    <cellStyle name="Currency 2 4 2 3" xfId="4767"/>
    <cellStyle name="Currency 2 4 2 3 2" xfId="8510"/>
    <cellStyle name="Currency 2 4 2 3 2 2" xfId="15062"/>
    <cellStyle name="Currency 2 4 2 3 3" xfId="6791"/>
    <cellStyle name="Currency 2 4 2 3 3 2" xfId="13481"/>
    <cellStyle name="Currency 2 4 2 3 4" xfId="11696"/>
    <cellStyle name="Currency 2 4 2 4" xfId="5118"/>
    <cellStyle name="Currency 2 4 2 4 2" xfId="8861"/>
    <cellStyle name="Currency 2 4 2 4 2 2" xfId="15405"/>
    <cellStyle name="Currency 2 4 2 4 3" xfId="7142"/>
    <cellStyle name="Currency 2 4 2 4 3 2" xfId="13824"/>
    <cellStyle name="Currency 2 4 2 4 4" xfId="12039"/>
    <cellStyle name="Currency 2 4 2 5" xfId="5551"/>
    <cellStyle name="Currency 2 4 2 5 2" xfId="9292"/>
    <cellStyle name="Currency 2 4 2 5 2 2" xfId="15799"/>
    <cellStyle name="Currency 2 4 2 5 3" xfId="7573"/>
    <cellStyle name="Currency 2 4 2 5 3 2" xfId="14218"/>
    <cellStyle name="Currency 2 4 2 5 4" xfId="12444"/>
    <cellStyle name="Currency 2 4 2 6" xfId="9757"/>
    <cellStyle name="Currency 2 4 2 6 2" xfId="16248"/>
    <cellStyle name="Currency 2 4 2 7" xfId="8009"/>
    <cellStyle name="Currency 2 4 2 7 2" xfId="14612"/>
    <cellStyle name="Currency 2 4 2 8" xfId="6272"/>
    <cellStyle name="Currency 2 4 2 8 2" xfId="12997"/>
    <cellStyle name="Currency 2 4 2 9" xfId="11225"/>
    <cellStyle name="Currency 2 4 3" xfId="3914"/>
    <cellStyle name="Currency 2 4 3 10" xfId="16654"/>
    <cellStyle name="Currency 2 4 3 2" xfId="4489"/>
    <cellStyle name="Currency 2 4 3 2 2" xfId="4876"/>
    <cellStyle name="Currency 2 4 3 2 2 2" xfId="8619"/>
    <cellStyle name="Currency 2 4 3 2 2 2 2" xfId="15167"/>
    <cellStyle name="Currency 2 4 3 2 2 3" xfId="6900"/>
    <cellStyle name="Currency 2 4 3 2 2 3 2" xfId="13586"/>
    <cellStyle name="Currency 2 4 3 2 2 4" xfId="11801"/>
    <cellStyle name="Currency 2 4 3 2 3" xfId="5316"/>
    <cellStyle name="Currency 2 4 3 2 3 2" xfId="9059"/>
    <cellStyle name="Currency 2 4 3 2 3 2 2" xfId="15603"/>
    <cellStyle name="Currency 2 4 3 2 3 3" xfId="7340"/>
    <cellStyle name="Currency 2 4 3 2 3 3 2" xfId="14022"/>
    <cellStyle name="Currency 2 4 3 2 3 4" xfId="12237"/>
    <cellStyle name="Currency 2 4 3 2 4" xfId="5754"/>
    <cellStyle name="Currency 2 4 3 2 4 2" xfId="9495"/>
    <cellStyle name="Currency 2 4 3 2 4 2 2" xfId="15997"/>
    <cellStyle name="Currency 2 4 3 2 4 3" xfId="7776"/>
    <cellStyle name="Currency 2 4 3 2 4 3 2" xfId="14416"/>
    <cellStyle name="Currency 2 4 3 2 4 4" xfId="12647"/>
    <cellStyle name="Currency 2 4 3 2 5" xfId="9872"/>
    <cellStyle name="Currency 2 4 3 2 5 2" xfId="16353"/>
    <cellStyle name="Currency 2 4 3 2 6" xfId="8253"/>
    <cellStyle name="Currency 2 4 3 2 6 2" xfId="14810"/>
    <cellStyle name="Currency 2 4 3 2 7" xfId="6534"/>
    <cellStyle name="Currency 2 4 3 2 7 2" xfId="13224"/>
    <cellStyle name="Currency 2 4 3 2 8" xfId="11434"/>
    <cellStyle name="Currency 2 4 3 2 9" xfId="16690"/>
    <cellStyle name="Currency 2 4 3 3" xfId="4836"/>
    <cellStyle name="Currency 2 4 3 3 2" xfId="8579"/>
    <cellStyle name="Currency 2 4 3 3 2 2" xfId="15127"/>
    <cellStyle name="Currency 2 4 3 3 3" xfId="6860"/>
    <cellStyle name="Currency 2 4 3 3 3 2" xfId="13546"/>
    <cellStyle name="Currency 2 4 3 3 4" xfId="11761"/>
    <cellStyle name="Currency 2 4 3 4" xfId="5119"/>
    <cellStyle name="Currency 2 4 3 4 2" xfId="8862"/>
    <cellStyle name="Currency 2 4 3 4 2 2" xfId="15406"/>
    <cellStyle name="Currency 2 4 3 4 3" xfId="7143"/>
    <cellStyle name="Currency 2 4 3 4 3 2" xfId="13825"/>
    <cellStyle name="Currency 2 4 3 4 4" xfId="12040"/>
    <cellStyle name="Currency 2 4 3 5" xfId="5552"/>
    <cellStyle name="Currency 2 4 3 5 2" xfId="9293"/>
    <cellStyle name="Currency 2 4 3 5 2 2" xfId="15800"/>
    <cellStyle name="Currency 2 4 3 5 3" xfId="7574"/>
    <cellStyle name="Currency 2 4 3 5 3 2" xfId="14219"/>
    <cellStyle name="Currency 2 4 3 5 4" xfId="12445"/>
    <cellStyle name="Currency 2 4 3 6" xfId="9827"/>
    <cellStyle name="Currency 2 4 3 6 2" xfId="16313"/>
    <cellStyle name="Currency 2 4 3 7" xfId="8010"/>
    <cellStyle name="Currency 2 4 3 7 2" xfId="14613"/>
    <cellStyle name="Currency 2 4 3 8" xfId="6273"/>
    <cellStyle name="Currency 2 4 3 8 2" xfId="12998"/>
    <cellStyle name="Currency 2 4 3 9" xfId="11226"/>
    <cellStyle name="Currency 2 4 4" xfId="4471"/>
    <cellStyle name="Currency 2 4 4 2" xfId="4877"/>
    <cellStyle name="Currency 2 4 4 2 2" xfId="8620"/>
    <cellStyle name="Currency 2 4 4 2 2 2" xfId="15168"/>
    <cellStyle name="Currency 2 4 4 2 3" xfId="6901"/>
    <cellStyle name="Currency 2 4 4 2 3 2" xfId="13587"/>
    <cellStyle name="Currency 2 4 4 2 4" xfId="11802"/>
    <cellStyle name="Currency 2 4 4 3" xfId="5299"/>
    <cellStyle name="Currency 2 4 4 3 2" xfId="9042"/>
    <cellStyle name="Currency 2 4 4 3 2 2" xfId="15586"/>
    <cellStyle name="Currency 2 4 4 3 3" xfId="7323"/>
    <cellStyle name="Currency 2 4 4 3 3 2" xfId="14005"/>
    <cellStyle name="Currency 2 4 4 3 4" xfId="12220"/>
    <cellStyle name="Currency 2 4 4 4" xfId="5737"/>
    <cellStyle name="Currency 2 4 4 4 2" xfId="9478"/>
    <cellStyle name="Currency 2 4 4 4 2 2" xfId="15980"/>
    <cellStyle name="Currency 2 4 4 4 3" xfId="7759"/>
    <cellStyle name="Currency 2 4 4 4 3 2" xfId="14399"/>
    <cellStyle name="Currency 2 4 4 4 4" xfId="12630"/>
    <cellStyle name="Currency 2 4 4 5" xfId="9873"/>
    <cellStyle name="Currency 2 4 4 5 2" xfId="16354"/>
    <cellStyle name="Currency 2 4 4 6" xfId="8236"/>
    <cellStyle name="Currency 2 4 4 6 2" xfId="14793"/>
    <cellStyle name="Currency 2 4 4 7" xfId="6517"/>
    <cellStyle name="Currency 2 4 4 7 2" xfId="13207"/>
    <cellStyle name="Currency 2 4 4 8" xfId="11416"/>
    <cellStyle name="Currency 2 4 4 9" xfId="16691"/>
    <cellStyle name="Currency 2 4 5" xfId="4676"/>
    <cellStyle name="Currency 2 4 5 2" xfId="8422"/>
    <cellStyle name="Currency 2 4 5 2 2" xfId="14974"/>
    <cellStyle name="Currency 2 4 5 3" xfId="6703"/>
    <cellStyle name="Currency 2 4 5 3 2" xfId="13393"/>
    <cellStyle name="Currency 2 4 5 4" xfId="11607"/>
    <cellStyle name="Currency 2 4 6" xfId="5098"/>
    <cellStyle name="Currency 2 4 6 2" xfId="8841"/>
    <cellStyle name="Currency 2 4 6 2 2" xfId="15389"/>
    <cellStyle name="Currency 2 4 6 3" xfId="7122"/>
    <cellStyle name="Currency 2 4 6 3 2" xfId="13808"/>
    <cellStyle name="Currency 2 4 6 4" xfId="12023"/>
    <cellStyle name="Currency 2 4 7" xfId="5535"/>
    <cellStyle name="Currency 2 4 7 2" xfId="9276"/>
    <cellStyle name="Currency 2 4 7 2 2" xfId="15783"/>
    <cellStyle name="Currency 2 4 7 3" xfId="7557"/>
    <cellStyle name="Currency 2 4 7 3 2" xfId="14202"/>
    <cellStyle name="Currency 2 4 7 4" xfId="12428"/>
    <cellStyle name="Currency 2 4 8" xfId="9656"/>
    <cellStyle name="Currency 2 4 8 2" xfId="16158"/>
    <cellStyle name="Currency 2 4 9" xfId="7956"/>
    <cellStyle name="Currency 2 4 9 2" xfId="14596"/>
    <cellStyle name="Currency 2 5" xfId="21"/>
    <cellStyle name="Currency 2 5 2" xfId="4457"/>
    <cellStyle name="Currency 2 5 2 2" xfId="4878"/>
    <cellStyle name="Currency 2 5 2 2 2" xfId="8621"/>
    <cellStyle name="Currency 2 5 2 2 2 2" xfId="15169"/>
    <cellStyle name="Currency 2 5 2 2 3" xfId="6902"/>
    <cellStyle name="Currency 2 5 2 2 3 2" xfId="13588"/>
    <cellStyle name="Currency 2 5 2 2 4" xfId="11803"/>
    <cellStyle name="Currency 2 5 2 3" xfId="5285"/>
    <cellStyle name="Currency 2 5 2 3 2" xfId="9028"/>
    <cellStyle name="Currency 2 5 2 3 2 2" xfId="15572"/>
    <cellStyle name="Currency 2 5 2 3 3" xfId="7309"/>
    <cellStyle name="Currency 2 5 2 3 3 2" xfId="13991"/>
    <cellStyle name="Currency 2 5 2 3 4" xfId="12206"/>
    <cellStyle name="Currency 2 5 2 4" xfId="5723"/>
    <cellStyle name="Currency 2 5 2 4 2" xfId="9464"/>
    <cellStyle name="Currency 2 5 2 4 2 2" xfId="15966"/>
    <cellStyle name="Currency 2 5 2 4 3" xfId="7745"/>
    <cellStyle name="Currency 2 5 2 4 3 2" xfId="14385"/>
    <cellStyle name="Currency 2 5 2 4 4" xfId="12616"/>
    <cellStyle name="Currency 2 5 2 5" xfId="9874"/>
    <cellStyle name="Currency 2 5 2 5 2" xfId="16355"/>
    <cellStyle name="Currency 2 5 2 6" xfId="8222"/>
    <cellStyle name="Currency 2 5 2 6 2" xfId="14779"/>
    <cellStyle name="Currency 2 5 2 7" xfId="6503"/>
    <cellStyle name="Currency 2 5 2 7 2" xfId="13193"/>
    <cellStyle name="Currency 2 5 2 8" xfId="11402"/>
    <cellStyle name="Currency 2 5 2 9" xfId="16692"/>
    <cellStyle name="Currency 2 5 3" xfId="4694"/>
    <cellStyle name="Currency 2 5 4" xfId="5084"/>
    <cellStyle name="Currency 2 5 4 2" xfId="8827"/>
    <cellStyle name="Currency 2 5 4 2 2" xfId="15375"/>
    <cellStyle name="Currency 2 5 4 3" xfId="7108"/>
    <cellStyle name="Currency 2 5 4 3 2" xfId="13794"/>
    <cellStyle name="Currency 2 5 4 4" xfId="12009"/>
    <cellStyle name="Currency 2 5 5" xfId="5521"/>
    <cellStyle name="Currency 2 5 5 2" xfId="9262"/>
    <cellStyle name="Currency 2 5 5 2 2" xfId="15769"/>
    <cellStyle name="Currency 2 5 5 3" xfId="7543"/>
    <cellStyle name="Currency 2 5 5 3 2" xfId="14188"/>
    <cellStyle name="Currency 2 5 5 4" xfId="12414"/>
    <cellStyle name="Currency 2 5 6" xfId="7942"/>
    <cellStyle name="Currency 2 5 6 2" xfId="14582"/>
    <cellStyle name="Currency 2 5 7" xfId="5921"/>
    <cellStyle name="Currency 2 5 7 2" xfId="12814"/>
    <cellStyle name="Currency 2 5 8" xfId="10256"/>
    <cellStyle name="Currency 2 6" xfId="3915"/>
    <cellStyle name="Currency 2 6 10" xfId="16645"/>
    <cellStyle name="Currency 2 6 2" xfId="4490"/>
    <cellStyle name="Currency 2 6 2 2" xfId="4879"/>
    <cellStyle name="Currency 2 6 2 2 2" xfId="8622"/>
    <cellStyle name="Currency 2 6 2 2 2 2" xfId="15170"/>
    <cellStyle name="Currency 2 6 2 2 3" xfId="6903"/>
    <cellStyle name="Currency 2 6 2 2 3 2" xfId="13589"/>
    <cellStyle name="Currency 2 6 2 2 4" xfId="11804"/>
    <cellStyle name="Currency 2 6 2 3" xfId="5317"/>
    <cellStyle name="Currency 2 6 2 3 2" xfId="9060"/>
    <cellStyle name="Currency 2 6 2 3 2 2" xfId="15604"/>
    <cellStyle name="Currency 2 6 2 3 3" xfId="7341"/>
    <cellStyle name="Currency 2 6 2 3 3 2" xfId="14023"/>
    <cellStyle name="Currency 2 6 2 3 4" xfId="12238"/>
    <cellStyle name="Currency 2 6 2 4" xfId="5755"/>
    <cellStyle name="Currency 2 6 2 4 2" xfId="9496"/>
    <cellStyle name="Currency 2 6 2 4 2 2" xfId="15998"/>
    <cellStyle name="Currency 2 6 2 4 3" xfId="7777"/>
    <cellStyle name="Currency 2 6 2 4 3 2" xfId="14417"/>
    <cellStyle name="Currency 2 6 2 4 4" xfId="12648"/>
    <cellStyle name="Currency 2 6 2 5" xfId="9875"/>
    <cellStyle name="Currency 2 6 2 5 2" xfId="16356"/>
    <cellStyle name="Currency 2 6 2 6" xfId="8254"/>
    <cellStyle name="Currency 2 6 2 6 2" xfId="14811"/>
    <cellStyle name="Currency 2 6 2 7" xfId="6535"/>
    <cellStyle name="Currency 2 6 2 7 2" xfId="13225"/>
    <cellStyle name="Currency 2 6 2 8" xfId="11435"/>
    <cellStyle name="Currency 2 6 2 9" xfId="16693"/>
    <cellStyle name="Currency 2 6 3" xfId="4764"/>
    <cellStyle name="Currency 2 6 3 2" xfId="8507"/>
    <cellStyle name="Currency 2 6 3 2 2" xfId="15059"/>
    <cellStyle name="Currency 2 6 3 3" xfId="6788"/>
    <cellStyle name="Currency 2 6 3 3 2" xfId="13478"/>
    <cellStyle name="Currency 2 6 3 4" xfId="11693"/>
    <cellStyle name="Currency 2 6 4" xfId="5120"/>
    <cellStyle name="Currency 2 6 4 2" xfId="8863"/>
    <cellStyle name="Currency 2 6 4 2 2" xfId="15407"/>
    <cellStyle name="Currency 2 6 4 3" xfId="7144"/>
    <cellStyle name="Currency 2 6 4 3 2" xfId="13826"/>
    <cellStyle name="Currency 2 6 4 4" xfId="12041"/>
    <cellStyle name="Currency 2 6 5" xfId="5553"/>
    <cellStyle name="Currency 2 6 5 2" xfId="9294"/>
    <cellStyle name="Currency 2 6 5 2 2" xfId="15801"/>
    <cellStyle name="Currency 2 6 5 3" xfId="7575"/>
    <cellStyle name="Currency 2 6 5 3 2" xfId="14220"/>
    <cellStyle name="Currency 2 6 5 4" xfId="12446"/>
    <cellStyle name="Currency 2 6 6" xfId="9754"/>
    <cellStyle name="Currency 2 6 6 2" xfId="16245"/>
    <cellStyle name="Currency 2 6 7" xfId="8011"/>
    <cellStyle name="Currency 2 6 7 2" xfId="14614"/>
    <cellStyle name="Currency 2 6 8" xfId="6274"/>
    <cellStyle name="Currency 2 6 8 2" xfId="12999"/>
    <cellStyle name="Currency 2 6 9" xfId="11227"/>
    <cellStyle name="Currency 2 7" xfId="3916"/>
    <cellStyle name="Currency 2 7 10" xfId="16652"/>
    <cellStyle name="Currency 2 7 2" xfId="4491"/>
    <cellStyle name="Currency 2 7 2 2" xfId="4880"/>
    <cellStyle name="Currency 2 7 2 2 2" xfId="8623"/>
    <cellStyle name="Currency 2 7 2 2 2 2" xfId="15171"/>
    <cellStyle name="Currency 2 7 2 2 3" xfId="6904"/>
    <cellStyle name="Currency 2 7 2 2 3 2" xfId="13590"/>
    <cellStyle name="Currency 2 7 2 2 4" xfId="11805"/>
    <cellStyle name="Currency 2 7 2 3" xfId="5318"/>
    <cellStyle name="Currency 2 7 2 3 2" xfId="9061"/>
    <cellStyle name="Currency 2 7 2 3 2 2" xfId="15605"/>
    <cellStyle name="Currency 2 7 2 3 3" xfId="7342"/>
    <cellStyle name="Currency 2 7 2 3 3 2" xfId="14024"/>
    <cellStyle name="Currency 2 7 2 3 4" xfId="12239"/>
    <cellStyle name="Currency 2 7 2 4" xfId="5756"/>
    <cellStyle name="Currency 2 7 2 4 2" xfId="9497"/>
    <cellStyle name="Currency 2 7 2 4 2 2" xfId="15999"/>
    <cellStyle name="Currency 2 7 2 4 3" xfId="7778"/>
    <cellStyle name="Currency 2 7 2 4 3 2" xfId="14418"/>
    <cellStyle name="Currency 2 7 2 4 4" xfId="12649"/>
    <cellStyle name="Currency 2 7 2 5" xfId="9876"/>
    <cellStyle name="Currency 2 7 2 5 2" xfId="16357"/>
    <cellStyle name="Currency 2 7 2 6" xfId="8255"/>
    <cellStyle name="Currency 2 7 2 6 2" xfId="14812"/>
    <cellStyle name="Currency 2 7 2 7" xfId="6536"/>
    <cellStyle name="Currency 2 7 2 7 2" xfId="13226"/>
    <cellStyle name="Currency 2 7 2 8" xfId="11436"/>
    <cellStyle name="Currency 2 7 2 9" xfId="16694"/>
    <cellStyle name="Currency 2 7 3" xfId="4822"/>
    <cellStyle name="Currency 2 7 3 2" xfId="8565"/>
    <cellStyle name="Currency 2 7 3 2 2" xfId="15113"/>
    <cellStyle name="Currency 2 7 3 3" xfId="6846"/>
    <cellStyle name="Currency 2 7 3 3 2" xfId="13532"/>
    <cellStyle name="Currency 2 7 3 4" xfId="11747"/>
    <cellStyle name="Currency 2 7 4" xfId="5121"/>
    <cellStyle name="Currency 2 7 4 2" xfId="8864"/>
    <cellStyle name="Currency 2 7 4 2 2" xfId="15408"/>
    <cellStyle name="Currency 2 7 4 3" xfId="7145"/>
    <cellStyle name="Currency 2 7 4 3 2" xfId="13827"/>
    <cellStyle name="Currency 2 7 4 4" xfId="12042"/>
    <cellStyle name="Currency 2 7 5" xfId="5554"/>
    <cellStyle name="Currency 2 7 5 2" xfId="9295"/>
    <cellStyle name="Currency 2 7 5 2 2" xfId="15802"/>
    <cellStyle name="Currency 2 7 5 3" xfId="7576"/>
    <cellStyle name="Currency 2 7 5 3 2" xfId="14221"/>
    <cellStyle name="Currency 2 7 5 4" xfId="12447"/>
    <cellStyle name="Currency 2 7 6" xfId="9813"/>
    <cellStyle name="Currency 2 7 6 2" xfId="16299"/>
    <cellStyle name="Currency 2 7 7" xfId="8012"/>
    <cellStyle name="Currency 2 7 7 2" xfId="14615"/>
    <cellStyle name="Currency 2 7 8" xfId="6275"/>
    <cellStyle name="Currency 2 7 8 2" xfId="13000"/>
    <cellStyle name="Currency 2 7 9" xfId="11228"/>
    <cellStyle name="Currency 2 8" xfId="4408"/>
    <cellStyle name="Currency 2 8 10" xfId="16695"/>
    <cellStyle name="Currency 2 8 2" xfId="4622"/>
    <cellStyle name="Currency 2 8 2 2" xfId="4882"/>
    <cellStyle name="Currency 2 8 2 2 2" xfId="8625"/>
    <cellStyle name="Currency 2 8 2 2 2 2" xfId="15173"/>
    <cellStyle name="Currency 2 8 2 2 3" xfId="6906"/>
    <cellStyle name="Currency 2 8 2 2 3 2" xfId="13592"/>
    <cellStyle name="Currency 2 8 2 2 4" xfId="11807"/>
    <cellStyle name="Currency 2 8 2 3" xfId="5449"/>
    <cellStyle name="Currency 2 8 2 3 2" xfId="9192"/>
    <cellStyle name="Currency 2 8 2 3 2 2" xfId="15736"/>
    <cellStyle name="Currency 2 8 2 3 3" xfId="7473"/>
    <cellStyle name="Currency 2 8 2 3 3 2" xfId="14155"/>
    <cellStyle name="Currency 2 8 2 3 4" xfId="12370"/>
    <cellStyle name="Currency 2 8 2 4" xfId="5887"/>
    <cellStyle name="Currency 2 8 2 4 2" xfId="9628"/>
    <cellStyle name="Currency 2 8 2 4 2 2" xfId="16130"/>
    <cellStyle name="Currency 2 8 2 4 3" xfId="7909"/>
    <cellStyle name="Currency 2 8 2 4 3 2" xfId="14549"/>
    <cellStyle name="Currency 2 8 2 4 4" xfId="12780"/>
    <cellStyle name="Currency 2 8 2 5" xfId="9878"/>
    <cellStyle name="Currency 2 8 2 5 2" xfId="16359"/>
    <cellStyle name="Currency 2 8 2 6" xfId="8386"/>
    <cellStyle name="Currency 2 8 2 6 2" xfId="14943"/>
    <cellStyle name="Currency 2 8 2 7" xfId="6667"/>
    <cellStyle name="Currency 2 8 2 7 2" xfId="13357"/>
    <cellStyle name="Currency 2 8 2 8" xfId="11567"/>
    <cellStyle name="Currency 2 8 2 9" xfId="16696"/>
    <cellStyle name="Currency 2 8 3" xfId="4881"/>
    <cellStyle name="Currency 2 8 3 2" xfId="8624"/>
    <cellStyle name="Currency 2 8 3 2 2" xfId="15172"/>
    <cellStyle name="Currency 2 8 3 3" xfId="6905"/>
    <cellStyle name="Currency 2 8 3 3 2" xfId="13591"/>
    <cellStyle name="Currency 2 8 3 4" xfId="11806"/>
    <cellStyle name="Currency 2 8 4" xfId="5252"/>
    <cellStyle name="Currency 2 8 4 2" xfId="8995"/>
    <cellStyle name="Currency 2 8 4 2 2" xfId="15539"/>
    <cellStyle name="Currency 2 8 4 3" xfId="7276"/>
    <cellStyle name="Currency 2 8 4 3 2" xfId="13958"/>
    <cellStyle name="Currency 2 8 4 4" xfId="12173"/>
    <cellStyle name="Currency 2 8 5" xfId="5690"/>
    <cellStyle name="Currency 2 8 5 2" xfId="9431"/>
    <cellStyle name="Currency 2 8 5 2 2" xfId="15933"/>
    <cellStyle name="Currency 2 8 5 3" xfId="7712"/>
    <cellStyle name="Currency 2 8 5 3 2" xfId="14352"/>
    <cellStyle name="Currency 2 8 5 4" xfId="12583"/>
    <cellStyle name="Currency 2 8 6" xfId="9877"/>
    <cellStyle name="Currency 2 8 6 2" xfId="16358"/>
    <cellStyle name="Currency 2 8 7" xfId="8189"/>
    <cellStyle name="Currency 2 8 7 2" xfId="14746"/>
    <cellStyle name="Currency 2 8 8" xfId="6470"/>
    <cellStyle name="Currency 2 8 8 2" xfId="13160"/>
    <cellStyle name="Currency 2 8 9" xfId="11366"/>
    <cellStyle name="Currency 2 9" xfId="4425"/>
    <cellStyle name="Currency 2 9 10" xfId="16697"/>
    <cellStyle name="Currency 2 9 2" xfId="4634"/>
    <cellStyle name="Currency 2 9 2 2" xfId="4884"/>
    <cellStyle name="Currency 2 9 2 2 2" xfId="8627"/>
    <cellStyle name="Currency 2 9 2 2 2 2" xfId="15175"/>
    <cellStyle name="Currency 2 9 2 2 3" xfId="6908"/>
    <cellStyle name="Currency 2 9 2 2 3 2" xfId="13594"/>
    <cellStyle name="Currency 2 9 2 2 4" xfId="11809"/>
    <cellStyle name="Currency 2 9 2 3" xfId="5461"/>
    <cellStyle name="Currency 2 9 2 3 2" xfId="9204"/>
    <cellStyle name="Currency 2 9 2 3 2 2" xfId="15748"/>
    <cellStyle name="Currency 2 9 2 3 3" xfId="7485"/>
    <cellStyle name="Currency 2 9 2 3 3 2" xfId="14167"/>
    <cellStyle name="Currency 2 9 2 3 4" xfId="12382"/>
    <cellStyle name="Currency 2 9 2 4" xfId="5899"/>
    <cellStyle name="Currency 2 9 2 4 2" xfId="9640"/>
    <cellStyle name="Currency 2 9 2 4 2 2" xfId="16142"/>
    <cellStyle name="Currency 2 9 2 4 3" xfId="7921"/>
    <cellStyle name="Currency 2 9 2 4 3 2" xfId="14561"/>
    <cellStyle name="Currency 2 9 2 4 4" xfId="12792"/>
    <cellStyle name="Currency 2 9 2 5" xfId="9880"/>
    <cellStyle name="Currency 2 9 2 5 2" xfId="16361"/>
    <cellStyle name="Currency 2 9 2 6" xfId="8398"/>
    <cellStyle name="Currency 2 9 2 6 2" xfId="14955"/>
    <cellStyle name="Currency 2 9 2 7" xfId="6679"/>
    <cellStyle name="Currency 2 9 2 7 2" xfId="13369"/>
    <cellStyle name="Currency 2 9 2 8" xfId="11579"/>
    <cellStyle name="Currency 2 9 2 9" xfId="16698"/>
    <cellStyle name="Currency 2 9 3" xfId="4883"/>
    <cellStyle name="Currency 2 9 3 2" xfId="8626"/>
    <cellStyle name="Currency 2 9 3 2 2" xfId="15174"/>
    <cellStyle name="Currency 2 9 3 3" xfId="6907"/>
    <cellStyle name="Currency 2 9 3 3 2" xfId="13593"/>
    <cellStyle name="Currency 2 9 3 4" xfId="11808"/>
    <cellStyle name="Currency 2 9 4" xfId="5264"/>
    <cellStyle name="Currency 2 9 4 2" xfId="9007"/>
    <cellStyle name="Currency 2 9 4 2 2" xfId="15551"/>
    <cellStyle name="Currency 2 9 4 3" xfId="7288"/>
    <cellStyle name="Currency 2 9 4 3 2" xfId="13970"/>
    <cellStyle name="Currency 2 9 4 4" xfId="12185"/>
    <cellStyle name="Currency 2 9 5" xfId="5702"/>
    <cellStyle name="Currency 2 9 5 2" xfId="9443"/>
    <cellStyle name="Currency 2 9 5 2 2" xfId="15945"/>
    <cellStyle name="Currency 2 9 5 3" xfId="7724"/>
    <cellStyle name="Currency 2 9 5 3 2" xfId="14364"/>
    <cellStyle name="Currency 2 9 5 4" xfId="12595"/>
    <cellStyle name="Currency 2 9 6" xfId="9879"/>
    <cellStyle name="Currency 2 9 6 2" xfId="16360"/>
    <cellStyle name="Currency 2 9 7" xfId="8201"/>
    <cellStyle name="Currency 2 9 7 2" xfId="14758"/>
    <cellStyle name="Currency 2 9 8" xfId="6482"/>
    <cellStyle name="Currency 2 9 8 2" xfId="13172"/>
    <cellStyle name="Currency 2 9 9" xfId="11380"/>
    <cellStyle name="Currency 2*" xfId="3917"/>
    <cellStyle name="Currency 2_Model_Sep_2_02" xfId="3918"/>
    <cellStyle name="Currency 3" xfId="3919"/>
    <cellStyle name="Currency 3 10" xfId="8013"/>
    <cellStyle name="Currency 3 10 2" xfId="14616"/>
    <cellStyle name="Currency 3 11" xfId="6276"/>
    <cellStyle name="Currency 3 11 2" xfId="13001"/>
    <cellStyle name="Currency 3 12" xfId="11229"/>
    <cellStyle name="Currency 3 2" xfId="3920"/>
    <cellStyle name="Currency 3 2 2" xfId="4493"/>
    <cellStyle name="Currency 3 2 2 2" xfId="4885"/>
    <cellStyle name="Currency 3 2 2 2 2" xfId="8628"/>
    <cellStyle name="Currency 3 2 2 2 2 2" xfId="15176"/>
    <cellStyle name="Currency 3 2 2 2 3" xfId="6909"/>
    <cellStyle name="Currency 3 2 2 2 3 2" xfId="13595"/>
    <cellStyle name="Currency 3 2 2 2 4" xfId="11810"/>
    <cellStyle name="Currency 3 2 2 3" xfId="5320"/>
    <cellStyle name="Currency 3 2 2 3 2" xfId="9063"/>
    <cellStyle name="Currency 3 2 2 3 2 2" xfId="15607"/>
    <cellStyle name="Currency 3 2 2 3 3" xfId="7344"/>
    <cellStyle name="Currency 3 2 2 3 3 2" xfId="14026"/>
    <cellStyle name="Currency 3 2 2 3 4" xfId="12241"/>
    <cellStyle name="Currency 3 2 2 4" xfId="5758"/>
    <cellStyle name="Currency 3 2 2 4 2" xfId="9499"/>
    <cellStyle name="Currency 3 2 2 4 2 2" xfId="16001"/>
    <cellStyle name="Currency 3 2 2 4 3" xfId="7780"/>
    <cellStyle name="Currency 3 2 2 4 3 2" xfId="14420"/>
    <cellStyle name="Currency 3 2 2 4 4" xfId="12651"/>
    <cellStyle name="Currency 3 2 2 5" xfId="9881"/>
    <cellStyle name="Currency 3 2 2 5 2" xfId="16362"/>
    <cellStyle name="Currency 3 2 2 6" xfId="8257"/>
    <cellStyle name="Currency 3 2 2 6 2" xfId="14814"/>
    <cellStyle name="Currency 3 2 2 7" xfId="6538"/>
    <cellStyle name="Currency 3 2 2 7 2" xfId="13228"/>
    <cellStyle name="Currency 3 2 2 8" xfId="11438"/>
    <cellStyle name="Currency 3 2 3" xfId="4758"/>
    <cellStyle name="Currency 3 2 3 2" xfId="8501"/>
    <cellStyle name="Currency 3 2 3 2 2" xfId="15053"/>
    <cellStyle name="Currency 3 2 3 3" xfId="6782"/>
    <cellStyle name="Currency 3 2 3 3 2" xfId="13472"/>
    <cellStyle name="Currency 3 2 3 4" xfId="11687"/>
    <cellStyle name="Currency 3 2 4" xfId="5123"/>
    <cellStyle name="Currency 3 2 4 2" xfId="8866"/>
    <cellStyle name="Currency 3 2 4 2 2" xfId="15410"/>
    <cellStyle name="Currency 3 2 4 3" xfId="7147"/>
    <cellStyle name="Currency 3 2 4 3 2" xfId="13829"/>
    <cellStyle name="Currency 3 2 4 4" xfId="12044"/>
    <cellStyle name="Currency 3 2 5" xfId="5556"/>
    <cellStyle name="Currency 3 2 5 2" xfId="9297"/>
    <cellStyle name="Currency 3 2 5 2 2" xfId="15804"/>
    <cellStyle name="Currency 3 2 5 3" xfId="7578"/>
    <cellStyle name="Currency 3 2 5 3 2" xfId="14223"/>
    <cellStyle name="Currency 3 2 5 4" xfId="12449"/>
    <cellStyle name="Currency 3 2 6" xfId="9748"/>
    <cellStyle name="Currency 3 2 6 2" xfId="16239"/>
    <cellStyle name="Currency 3 2 7" xfId="8014"/>
    <cellStyle name="Currency 3 2 7 2" xfId="14617"/>
    <cellStyle name="Currency 3 2 8" xfId="6277"/>
    <cellStyle name="Currency 3 2 8 2" xfId="13002"/>
    <cellStyle name="Currency 3 2 9" xfId="11230"/>
    <cellStyle name="Currency 3 3" xfId="4415"/>
    <cellStyle name="Currency 3 3 10" xfId="16699"/>
    <cellStyle name="Currency 3 3 2" xfId="4625"/>
    <cellStyle name="Currency 3 3 2 2" xfId="4887"/>
    <cellStyle name="Currency 3 3 2 2 2" xfId="8630"/>
    <cellStyle name="Currency 3 3 2 2 2 2" xfId="15178"/>
    <cellStyle name="Currency 3 3 2 2 3" xfId="6911"/>
    <cellStyle name="Currency 3 3 2 2 3 2" xfId="13597"/>
    <cellStyle name="Currency 3 3 2 2 4" xfId="11812"/>
    <cellStyle name="Currency 3 3 2 3" xfId="5452"/>
    <cellStyle name="Currency 3 3 2 3 2" xfId="9195"/>
    <cellStyle name="Currency 3 3 2 3 2 2" xfId="15739"/>
    <cellStyle name="Currency 3 3 2 3 3" xfId="7476"/>
    <cellStyle name="Currency 3 3 2 3 3 2" xfId="14158"/>
    <cellStyle name="Currency 3 3 2 3 4" xfId="12373"/>
    <cellStyle name="Currency 3 3 2 4" xfId="5890"/>
    <cellStyle name="Currency 3 3 2 4 2" xfId="9631"/>
    <cellStyle name="Currency 3 3 2 4 2 2" xfId="16133"/>
    <cellStyle name="Currency 3 3 2 4 3" xfId="7912"/>
    <cellStyle name="Currency 3 3 2 4 3 2" xfId="14552"/>
    <cellStyle name="Currency 3 3 2 4 4" xfId="12783"/>
    <cellStyle name="Currency 3 3 2 5" xfId="9883"/>
    <cellStyle name="Currency 3 3 2 5 2" xfId="16364"/>
    <cellStyle name="Currency 3 3 2 6" xfId="8389"/>
    <cellStyle name="Currency 3 3 2 6 2" xfId="14946"/>
    <cellStyle name="Currency 3 3 2 7" xfId="6670"/>
    <cellStyle name="Currency 3 3 2 7 2" xfId="13360"/>
    <cellStyle name="Currency 3 3 2 8" xfId="11570"/>
    <cellStyle name="Currency 3 3 2 9" xfId="16700"/>
    <cellStyle name="Currency 3 3 3" xfId="4886"/>
    <cellStyle name="Currency 3 3 3 2" xfId="8629"/>
    <cellStyle name="Currency 3 3 3 2 2" xfId="15177"/>
    <cellStyle name="Currency 3 3 3 3" xfId="6910"/>
    <cellStyle name="Currency 3 3 3 3 2" xfId="13596"/>
    <cellStyle name="Currency 3 3 3 4" xfId="11811"/>
    <cellStyle name="Currency 3 3 4" xfId="5255"/>
    <cellStyle name="Currency 3 3 4 2" xfId="8998"/>
    <cellStyle name="Currency 3 3 4 2 2" xfId="15542"/>
    <cellStyle name="Currency 3 3 4 3" xfId="7279"/>
    <cellStyle name="Currency 3 3 4 3 2" xfId="13961"/>
    <cellStyle name="Currency 3 3 4 4" xfId="12176"/>
    <cellStyle name="Currency 3 3 5" xfId="5693"/>
    <cellStyle name="Currency 3 3 5 2" xfId="9434"/>
    <cellStyle name="Currency 3 3 5 2 2" xfId="15936"/>
    <cellStyle name="Currency 3 3 5 3" xfId="7715"/>
    <cellStyle name="Currency 3 3 5 3 2" xfId="14355"/>
    <cellStyle name="Currency 3 3 5 4" xfId="12586"/>
    <cellStyle name="Currency 3 3 6" xfId="9882"/>
    <cellStyle name="Currency 3 3 6 2" xfId="16363"/>
    <cellStyle name="Currency 3 3 7" xfId="8192"/>
    <cellStyle name="Currency 3 3 7 2" xfId="14749"/>
    <cellStyle name="Currency 3 3 8" xfId="6473"/>
    <cellStyle name="Currency 3 3 8 2" xfId="13163"/>
    <cellStyle name="Currency 3 3 9" xfId="11371"/>
    <cellStyle name="Currency 3 4" xfId="4428"/>
    <cellStyle name="Currency 3 4 10" xfId="16701"/>
    <cellStyle name="Currency 3 4 2" xfId="4637"/>
    <cellStyle name="Currency 3 4 2 2" xfId="4889"/>
    <cellStyle name="Currency 3 4 2 2 2" xfId="8632"/>
    <cellStyle name="Currency 3 4 2 2 2 2" xfId="15180"/>
    <cellStyle name="Currency 3 4 2 2 3" xfId="6913"/>
    <cellStyle name="Currency 3 4 2 2 3 2" xfId="13599"/>
    <cellStyle name="Currency 3 4 2 2 4" xfId="11814"/>
    <cellStyle name="Currency 3 4 2 3" xfId="5464"/>
    <cellStyle name="Currency 3 4 2 3 2" xfId="9207"/>
    <cellStyle name="Currency 3 4 2 3 2 2" xfId="15751"/>
    <cellStyle name="Currency 3 4 2 3 3" xfId="7488"/>
    <cellStyle name="Currency 3 4 2 3 3 2" xfId="14170"/>
    <cellStyle name="Currency 3 4 2 3 4" xfId="12385"/>
    <cellStyle name="Currency 3 4 2 4" xfId="5902"/>
    <cellStyle name="Currency 3 4 2 4 2" xfId="9643"/>
    <cellStyle name="Currency 3 4 2 4 2 2" xfId="16145"/>
    <cellStyle name="Currency 3 4 2 4 3" xfId="7924"/>
    <cellStyle name="Currency 3 4 2 4 3 2" xfId="14564"/>
    <cellStyle name="Currency 3 4 2 4 4" xfId="12795"/>
    <cellStyle name="Currency 3 4 2 5" xfId="9885"/>
    <cellStyle name="Currency 3 4 2 5 2" xfId="16366"/>
    <cellStyle name="Currency 3 4 2 6" xfId="8401"/>
    <cellStyle name="Currency 3 4 2 6 2" xfId="14958"/>
    <cellStyle name="Currency 3 4 2 7" xfId="6682"/>
    <cellStyle name="Currency 3 4 2 7 2" xfId="13372"/>
    <cellStyle name="Currency 3 4 2 8" xfId="11582"/>
    <cellStyle name="Currency 3 4 2 9" xfId="16702"/>
    <cellStyle name="Currency 3 4 3" xfId="4888"/>
    <cellStyle name="Currency 3 4 3 2" xfId="8631"/>
    <cellStyle name="Currency 3 4 3 2 2" xfId="15179"/>
    <cellStyle name="Currency 3 4 3 3" xfId="6912"/>
    <cellStyle name="Currency 3 4 3 3 2" xfId="13598"/>
    <cellStyle name="Currency 3 4 3 4" xfId="11813"/>
    <cellStyle name="Currency 3 4 4" xfId="5267"/>
    <cellStyle name="Currency 3 4 4 2" xfId="9010"/>
    <cellStyle name="Currency 3 4 4 2 2" xfId="15554"/>
    <cellStyle name="Currency 3 4 4 3" xfId="7291"/>
    <cellStyle name="Currency 3 4 4 3 2" xfId="13973"/>
    <cellStyle name="Currency 3 4 4 4" xfId="12188"/>
    <cellStyle name="Currency 3 4 5" xfId="5705"/>
    <cellStyle name="Currency 3 4 5 2" xfId="9446"/>
    <cellStyle name="Currency 3 4 5 2 2" xfId="15948"/>
    <cellStyle name="Currency 3 4 5 3" xfId="7727"/>
    <cellStyle name="Currency 3 4 5 3 2" xfId="14367"/>
    <cellStyle name="Currency 3 4 5 4" xfId="12598"/>
    <cellStyle name="Currency 3 4 6" xfId="9884"/>
    <cellStyle name="Currency 3 4 6 2" xfId="16365"/>
    <cellStyle name="Currency 3 4 7" xfId="8204"/>
    <cellStyle name="Currency 3 4 7 2" xfId="14761"/>
    <cellStyle name="Currency 3 4 8" xfId="6485"/>
    <cellStyle name="Currency 3 4 8 2" xfId="13175"/>
    <cellStyle name="Currency 3 4 9" xfId="11383"/>
    <cellStyle name="Currency 3 5" xfId="4492"/>
    <cellStyle name="Currency 3 5 2" xfId="4890"/>
    <cellStyle name="Currency 3 5 2 2" xfId="8633"/>
    <cellStyle name="Currency 3 5 2 2 2" xfId="15181"/>
    <cellStyle name="Currency 3 5 2 3" xfId="6914"/>
    <cellStyle name="Currency 3 5 2 3 2" xfId="13600"/>
    <cellStyle name="Currency 3 5 2 4" xfId="11815"/>
    <cellStyle name="Currency 3 5 3" xfId="5319"/>
    <cellStyle name="Currency 3 5 3 2" xfId="9062"/>
    <cellStyle name="Currency 3 5 3 2 2" xfId="15606"/>
    <cellStyle name="Currency 3 5 3 3" xfId="7343"/>
    <cellStyle name="Currency 3 5 3 3 2" xfId="14025"/>
    <cellStyle name="Currency 3 5 3 4" xfId="12240"/>
    <cellStyle name="Currency 3 5 4" xfId="5757"/>
    <cellStyle name="Currency 3 5 4 2" xfId="9498"/>
    <cellStyle name="Currency 3 5 4 2 2" xfId="16000"/>
    <cellStyle name="Currency 3 5 4 3" xfId="7779"/>
    <cellStyle name="Currency 3 5 4 3 2" xfId="14419"/>
    <cellStyle name="Currency 3 5 4 4" xfId="12650"/>
    <cellStyle name="Currency 3 5 5" xfId="9886"/>
    <cellStyle name="Currency 3 5 5 2" xfId="16367"/>
    <cellStyle name="Currency 3 5 6" xfId="8256"/>
    <cellStyle name="Currency 3 5 6 2" xfId="14813"/>
    <cellStyle name="Currency 3 5 7" xfId="6537"/>
    <cellStyle name="Currency 3 5 7 2" xfId="13227"/>
    <cellStyle name="Currency 3 5 8" xfId="11437"/>
    <cellStyle name="Currency 3 6" xfId="4695"/>
    <cellStyle name="Currency 3 6 2" xfId="8440"/>
    <cellStyle name="Currency 3 6 2 2" xfId="14992"/>
    <cellStyle name="Currency 3 6 3" xfId="6721"/>
    <cellStyle name="Currency 3 6 3 2" xfId="13411"/>
    <cellStyle name="Currency 3 6 4" xfId="11625"/>
    <cellStyle name="Currency 3 7" xfId="5122"/>
    <cellStyle name="Currency 3 7 2" xfId="8865"/>
    <cellStyle name="Currency 3 7 2 2" xfId="15409"/>
    <cellStyle name="Currency 3 7 3" xfId="7146"/>
    <cellStyle name="Currency 3 7 3 2" xfId="13828"/>
    <cellStyle name="Currency 3 7 4" xfId="12043"/>
    <cellStyle name="Currency 3 8" xfId="5555"/>
    <cellStyle name="Currency 3 8 2" xfId="9296"/>
    <cellStyle name="Currency 3 8 2 2" xfId="15803"/>
    <cellStyle name="Currency 3 8 3" xfId="7577"/>
    <cellStyle name="Currency 3 8 3 2" xfId="14222"/>
    <cellStyle name="Currency 3 8 4" xfId="12448"/>
    <cellStyle name="Currency 3 9" xfId="9677"/>
    <cellStyle name="Currency 3 9 2" xfId="16177"/>
    <cellStyle name="Currency 3*" xfId="3921"/>
    <cellStyle name="Currency 4" xfId="3922"/>
    <cellStyle name="Currency 4 2" xfId="4416"/>
    <cellStyle name="Currency 4 2 10" xfId="16703"/>
    <cellStyle name="Currency 4 2 2" xfId="4626"/>
    <cellStyle name="Currency 4 2 2 2" xfId="4892"/>
    <cellStyle name="Currency 4 2 2 2 2" xfId="8635"/>
    <cellStyle name="Currency 4 2 2 2 2 2" xfId="15183"/>
    <cellStyle name="Currency 4 2 2 2 3" xfId="6916"/>
    <cellStyle name="Currency 4 2 2 2 3 2" xfId="13602"/>
    <cellStyle name="Currency 4 2 2 2 4" xfId="11817"/>
    <cellStyle name="Currency 4 2 2 3" xfId="5453"/>
    <cellStyle name="Currency 4 2 2 3 2" xfId="9196"/>
    <cellStyle name="Currency 4 2 2 3 2 2" xfId="15740"/>
    <cellStyle name="Currency 4 2 2 3 3" xfId="7477"/>
    <cellStyle name="Currency 4 2 2 3 3 2" xfId="14159"/>
    <cellStyle name="Currency 4 2 2 3 4" xfId="12374"/>
    <cellStyle name="Currency 4 2 2 4" xfId="5891"/>
    <cellStyle name="Currency 4 2 2 4 2" xfId="9632"/>
    <cellStyle name="Currency 4 2 2 4 2 2" xfId="16134"/>
    <cellStyle name="Currency 4 2 2 4 3" xfId="7913"/>
    <cellStyle name="Currency 4 2 2 4 3 2" xfId="14553"/>
    <cellStyle name="Currency 4 2 2 4 4" xfId="12784"/>
    <cellStyle name="Currency 4 2 2 5" xfId="9888"/>
    <cellStyle name="Currency 4 2 2 5 2" xfId="16369"/>
    <cellStyle name="Currency 4 2 2 6" xfId="8390"/>
    <cellStyle name="Currency 4 2 2 6 2" xfId="14947"/>
    <cellStyle name="Currency 4 2 2 7" xfId="6671"/>
    <cellStyle name="Currency 4 2 2 7 2" xfId="13361"/>
    <cellStyle name="Currency 4 2 2 8" xfId="11571"/>
    <cellStyle name="Currency 4 2 2 9" xfId="16704"/>
    <cellStyle name="Currency 4 2 3" xfId="4891"/>
    <cellStyle name="Currency 4 2 3 2" xfId="8634"/>
    <cellStyle name="Currency 4 2 3 2 2" xfId="15182"/>
    <cellStyle name="Currency 4 2 3 3" xfId="6915"/>
    <cellStyle name="Currency 4 2 3 3 2" xfId="13601"/>
    <cellStyle name="Currency 4 2 3 4" xfId="11816"/>
    <cellStyle name="Currency 4 2 4" xfId="5256"/>
    <cellStyle name="Currency 4 2 4 2" xfId="8999"/>
    <cellStyle name="Currency 4 2 4 2 2" xfId="15543"/>
    <cellStyle name="Currency 4 2 4 3" xfId="7280"/>
    <cellStyle name="Currency 4 2 4 3 2" xfId="13962"/>
    <cellStyle name="Currency 4 2 4 4" xfId="12177"/>
    <cellStyle name="Currency 4 2 5" xfId="5694"/>
    <cellStyle name="Currency 4 2 5 2" xfId="9435"/>
    <cellStyle name="Currency 4 2 5 2 2" xfId="15937"/>
    <cellStyle name="Currency 4 2 5 3" xfId="7716"/>
    <cellStyle name="Currency 4 2 5 3 2" xfId="14356"/>
    <cellStyle name="Currency 4 2 5 4" xfId="12587"/>
    <cellStyle name="Currency 4 2 6" xfId="9887"/>
    <cellStyle name="Currency 4 2 6 2" xfId="16368"/>
    <cellStyle name="Currency 4 2 7" xfId="8193"/>
    <cellStyle name="Currency 4 2 7 2" xfId="14750"/>
    <cellStyle name="Currency 4 2 8" xfId="6474"/>
    <cellStyle name="Currency 4 2 8 2" xfId="13164"/>
    <cellStyle name="Currency 4 2 9" xfId="11372"/>
    <cellStyle name="Currency 4 3" xfId="4429"/>
    <cellStyle name="Currency 4 3 10" xfId="16705"/>
    <cellStyle name="Currency 4 3 2" xfId="4638"/>
    <cellStyle name="Currency 4 3 2 2" xfId="4894"/>
    <cellStyle name="Currency 4 3 2 2 2" xfId="8637"/>
    <cellStyle name="Currency 4 3 2 2 2 2" xfId="15185"/>
    <cellStyle name="Currency 4 3 2 2 3" xfId="6918"/>
    <cellStyle name="Currency 4 3 2 2 3 2" xfId="13604"/>
    <cellStyle name="Currency 4 3 2 2 4" xfId="11819"/>
    <cellStyle name="Currency 4 3 2 3" xfId="5465"/>
    <cellStyle name="Currency 4 3 2 3 2" xfId="9208"/>
    <cellStyle name="Currency 4 3 2 3 2 2" xfId="15752"/>
    <cellStyle name="Currency 4 3 2 3 3" xfId="7489"/>
    <cellStyle name="Currency 4 3 2 3 3 2" xfId="14171"/>
    <cellStyle name="Currency 4 3 2 3 4" xfId="12386"/>
    <cellStyle name="Currency 4 3 2 4" xfId="5903"/>
    <cellStyle name="Currency 4 3 2 4 2" xfId="9644"/>
    <cellStyle name="Currency 4 3 2 4 2 2" xfId="16146"/>
    <cellStyle name="Currency 4 3 2 4 3" xfId="7925"/>
    <cellStyle name="Currency 4 3 2 4 3 2" xfId="14565"/>
    <cellStyle name="Currency 4 3 2 4 4" xfId="12796"/>
    <cellStyle name="Currency 4 3 2 5" xfId="9890"/>
    <cellStyle name="Currency 4 3 2 5 2" xfId="16371"/>
    <cellStyle name="Currency 4 3 2 6" xfId="8402"/>
    <cellStyle name="Currency 4 3 2 6 2" xfId="14959"/>
    <cellStyle name="Currency 4 3 2 7" xfId="6683"/>
    <cellStyle name="Currency 4 3 2 7 2" xfId="13373"/>
    <cellStyle name="Currency 4 3 2 8" xfId="11583"/>
    <cellStyle name="Currency 4 3 2 9" xfId="16706"/>
    <cellStyle name="Currency 4 3 3" xfId="4893"/>
    <cellStyle name="Currency 4 3 3 2" xfId="8636"/>
    <cellStyle name="Currency 4 3 3 2 2" xfId="15184"/>
    <cellStyle name="Currency 4 3 3 3" xfId="6917"/>
    <cellStyle name="Currency 4 3 3 3 2" xfId="13603"/>
    <cellStyle name="Currency 4 3 3 4" xfId="11818"/>
    <cellStyle name="Currency 4 3 4" xfId="5268"/>
    <cellStyle name="Currency 4 3 4 2" xfId="9011"/>
    <cellStyle name="Currency 4 3 4 2 2" xfId="15555"/>
    <cellStyle name="Currency 4 3 4 3" xfId="7292"/>
    <cellStyle name="Currency 4 3 4 3 2" xfId="13974"/>
    <cellStyle name="Currency 4 3 4 4" xfId="12189"/>
    <cellStyle name="Currency 4 3 5" xfId="5706"/>
    <cellStyle name="Currency 4 3 5 2" xfId="9447"/>
    <cellStyle name="Currency 4 3 5 2 2" xfId="15949"/>
    <cellStyle name="Currency 4 3 5 3" xfId="7728"/>
    <cellStyle name="Currency 4 3 5 3 2" xfId="14368"/>
    <cellStyle name="Currency 4 3 5 4" xfId="12599"/>
    <cellStyle name="Currency 4 3 6" xfId="9889"/>
    <cellStyle name="Currency 4 3 6 2" xfId="16370"/>
    <cellStyle name="Currency 4 3 7" xfId="8205"/>
    <cellStyle name="Currency 4 3 7 2" xfId="14762"/>
    <cellStyle name="Currency 4 3 8" xfId="6486"/>
    <cellStyle name="Currency 4 3 8 2" xfId="13176"/>
    <cellStyle name="Currency 4 3 9" xfId="11384"/>
    <cellStyle name="Currency 4 4" xfId="11231"/>
    <cellStyle name="Currency 5" xfId="3923"/>
    <cellStyle name="Currency 5 2" xfId="4445"/>
    <cellStyle name="Currency 5 2 2" xfId="11390"/>
    <cellStyle name="Currency 5 2 3" xfId="16707"/>
    <cellStyle name="Currency 5 3" xfId="11232"/>
    <cellStyle name="Currency 8" xfId="3924"/>
    <cellStyle name="Currency 8 10" xfId="16658"/>
    <cellStyle name="Currency 8 2" xfId="4494"/>
    <cellStyle name="Currency 8 2 2" xfId="4895"/>
    <cellStyle name="Currency 8 2 2 2" xfId="8638"/>
    <cellStyle name="Currency 8 2 2 2 2" xfId="15186"/>
    <cellStyle name="Currency 8 2 2 3" xfId="6919"/>
    <cellStyle name="Currency 8 2 2 3 2" xfId="13605"/>
    <cellStyle name="Currency 8 2 2 4" xfId="11820"/>
    <cellStyle name="Currency 8 2 3" xfId="5321"/>
    <cellStyle name="Currency 8 2 3 2" xfId="9064"/>
    <cellStyle name="Currency 8 2 3 2 2" xfId="15608"/>
    <cellStyle name="Currency 8 2 3 3" xfId="7345"/>
    <cellStyle name="Currency 8 2 3 3 2" xfId="14027"/>
    <cellStyle name="Currency 8 2 3 4" xfId="12242"/>
    <cellStyle name="Currency 8 2 4" xfId="5759"/>
    <cellStyle name="Currency 8 2 4 2" xfId="9500"/>
    <cellStyle name="Currency 8 2 4 2 2" xfId="16002"/>
    <cellStyle name="Currency 8 2 4 3" xfId="7781"/>
    <cellStyle name="Currency 8 2 4 3 2" xfId="14421"/>
    <cellStyle name="Currency 8 2 4 4" xfId="12652"/>
    <cellStyle name="Currency 8 2 5" xfId="9891"/>
    <cellStyle name="Currency 8 2 5 2" xfId="16372"/>
    <cellStyle name="Currency 8 2 6" xfId="8258"/>
    <cellStyle name="Currency 8 2 6 2" xfId="14815"/>
    <cellStyle name="Currency 8 2 7" xfId="6539"/>
    <cellStyle name="Currency 8 2 7 2" xfId="13229"/>
    <cellStyle name="Currency 8 2 8" xfId="11439"/>
    <cellStyle name="Currency 8 2 9" xfId="16708"/>
    <cellStyle name="Currency 8 3" xfId="4843"/>
    <cellStyle name="Currency 8 3 2" xfId="8586"/>
    <cellStyle name="Currency 8 3 2 2" xfId="15134"/>
    <cellStyle name="Currency 8 3 3" xfId="6867"/>
    <cellStyle name="Currency 8 3 3 2" xfId="13553"/>
    <cellStyle name="Currency 8 3 4" xfId="11768"/>
    <cellStyle name="Currency 8 4" xfId="5124"/>
    <cellStyle name="Currency 8 4 2" xfId="8867"/>
    <cellStyle name="Currency 8 4 2 2" xfId="15411"/>
    <cellStyle name="Currency 8 4 3" xfId="7148"/>
    <cellStyle name="Currency 8 4 3 2" xfId="13830"/>
    <cellStyle name="Currency 8 4 4" xfId="12045"/>
    <cellStyle name="Currency 8 5" xfId="5557"/>
    <cellStyle name="Currency 8 5 2" xfId="9298"/>
    <cellStyle name="Currency 8 5 2 2" xfId="15805"/>
    <cellStyle name="Currency 8 5 3" xfId="7579"/>
    <cellStyle name="Currency 8 5 3 2" xfId="14224"/>
    <cellStyle name="Currency 8 5 4" xfId="12450"/>
    <cellStyle name="Currency 8 6" xfId="9834"/>
    <cellStyle name="Currency 8 6 2" xfId="16320"/>
    <cellStyle name="Currency 8 7" xfId="8015"/>
    <cellStyle name="Currency 8 7 2" xfId="14618"/>
    <cellStyle name="Currency 8 8" xfId="6278"/>
    <cellStyle name="Currency 8 8 2" xfId="13003"/>
    <cellStyle name="Currency 8 9" xfId="11233"/>
    <cellStyle name="Currency Dashed" xfId="3925"/>
    <cellStyle name="Currency Nil" xfId="3926"/>
    <cellStyle name="Currency*" xfId="3927"/>
    <cellStyle name="Currency0" xfId="3928"/>
    <cellStyle name="d_yield" xfId="3929"/>
    <cellStyle name="Dash" xfId="3930"/>
    <cellStyle name="DATA Amount" xfId="3931"/>
    <cellStyle name="DATA Amount [1]" xfId="3932"/>
    <cellStyle name="DATA Amount [2]" xfId="3933"/>
    <cellStyle name="DATA Currency" xfId="3934"/>
    <cellStyle name="DATA Currency [1]" xfId="3935"/>
    <cellStyle name="DATA Currency [2]" xfId="3936"/>
    <cellStyle name="DATA Date Long" xfId="3937"/>
    <cellStyle name="DATA Date Short" xfId="3938"/>
    <cellStyle name="Data Input" xfId="3939"/>
    <cellStyle name="DATA List" xfId="3940"/>
    <cellStyle name="DATA Memo" xfId="3941"/>
    <cellStyle name="DATA Percent" xfId="3942"/>
    <cellStyle name="DATA Percent [1]" xfId="3943"/>
    <cellStyle name="DATA Percent [2]" xfId="3944"/>
    <cellStyle name="Data Section Heading" xfId="3945"/>
    <cellStyle name="DATA Text" xfId="3946"/>
    <cellStyle name="DATA Version" xfId="3947"/>
    <cellStyle name="DATA_Amount" xfId="3948"/>
    <cellStyle name="Date" xfId="3949"/>
    <cellStyle name="Date 2" xfId="3950"/>
    <cellStyle name="Date Aligned" xfId="3951"/>
    <cellStyle name="Date Aligned*" xfId="3952"/>
    <cellStyle name="Date Aligned_Model_Sep_2_02" xfId="3953"/>
    <cellStyle name="Date input" xfId="3954"/>
    <cellStyle name="date title" xfId="3955"/>
    <cellStyle name="Date U" xfId="3956"/>
    <cellStyle name="Date_0910 GSO Capex RRP - Final (Detail) v2 220710" xfId="3957"/>
    <cellStyle name="dateformat" xfId="3958"/>
    <cellStyle name="Dateline" xfId="3959"/>
    <cellStyle name="DateLong" xfId="3960"/>
    <cellStyle name="DateShort" xfId="3961"/>
    <cellStyle name="Dec places 0" xfId="3962"/>
    <cellStyle name="Dec places 1, millions" xfId="3963"/>
    <cellStyle name="Dec places 2" xfId="3964"/>
    <cellStyle name="Dec places 2, millions" xfId="3965"/>
    <cellStyle name="Dec places 2_Draft RIIO plan presentation template - Customer Opsx Centre V7" xfId="3966"/>
    <cellStyle name="Decimal [0]" xfId="3967"/>
    <cellStyle name="Decimal [2]" xfId="3968"/>
    <cellStyle name="Decimal [2] U" xfId="3969"/>
    <cellStyle name="Decimal [4]" xfId="3970"/>
    <cellStyle name="Decimal [4] U" xfId="3971"/>
    <cellStyle name="Dezimal [0]_Anschreiben" xfId="3972"/>
    <cellStyle name="Dezimal_Anschreiben" xfId="3973"/>
    <cellStyle name="Directors" xfId="3974"/>
    <cellStyle name="dollar" xfId="3975"/>
    <cellStyle name="dollar[0]" xfId="3976"/>
    <cellStyle name="dollar_Draft RIIO plan presentation template - Customer Opsx Centre V7" xfId="3977"/>
    <cellStyle name="done" xfId="3978"/>
    <cellStyle name="Dotted Line" xfId="3979"/>
    <cellStyle name="DOWNFOOT" xfId="3980"/>
    <cellStyle name="DP 0, no commas" xfId="3981"/>
    <cellStyle name="DWF1.5-3.0split" xfId="3982"/>
    <cellStyle name="DWFsplit0-1.5" xfId="3983"/>
    <cellStyle name="DWFsplit0-1.5 2" xfId="3984"/>
    <cellStyle name="DWFsplit0-1.5 2 2" xfId="5105"/>
    <cellStyle name="DWFsplit0-1.5 2 2 2" xfId="8848"/>
    <cellStyle name="DWFsplit0-1.5 2 2 2 2" xfId="6223"/>
    <cellStyle name="DWFsplit0-1.5 2 2 2 2 2" xfId="12948"/>
    <cellStyle name="DWFsplit0-1.5 2 2 3" xfId="7129"/>
    <cellStyle name="DWFsplit0-1.5 2 3" xfId="8018"/>
    <cellStyle name="DWFsplit0-1.5 2 3 2" xfId="6164"/>
    <cellStyle name="DWFsplit0-1.5 2 3 2 2" xfId="12889"/>
    <cellStyle name="DWFsplit0-1.5 2 4" xfId="6280"/>
    <cellStyle name="DWFsplit0-1.5 3" xfId="5106"/>
    <cellStyle name="DWFsplit0-1.5 3 2" xfId="8849"/>
    <cellStyle name="DWFsplit0-1.5 3 2 2" xfId="6224"/>
    <cellStyle name="DWFsplit0-1.5 3 2 2 2" xfId="12949"/>
    <cellStyle name="DWFsplit0-1.5 3 3" xfId="7130"/>
    <cellStyle name="DWFsplit0-1.5 4" xfId="8017"/>
    <cellStyle name="DWFsplit0-1.5 4 2" xfId="6163"/>
    <cellStyle name="DWFsplit0-1.5 4 2 2" xfId="12888"/>
    <cellStyle name="DWFsplit0-1.5 5" xfId="6279"/>
    <cellStyle name="Dziesiêtny [0]_1" xfId="3985"/>
    <cellStyle name="Dziesiêtny_1" xfId="3986"/>
    <cellStyle name="Emphasis 1" xfId="3987"/>
    <cellStyle name="Emphasis 2" xfId="3988"/>
    <cellStyle name="Emphasis 3" xfId="3989"/>
    <cellStyle name="Entered" xfId="3990"/>
    <cellStyle name="eps" xfId="3991"/>
    <cellStyle name="eps$" xfId="3992"/>
    <cellStyle name="eps$A" xfId="3993"/>
    <cellStyle name="eps$E" xfId="3994"/>
    <cellStyle name="epsA" xfId="3995"/>
    <cellStyle name="epsE" xfId="3996"/>
    <cellStyle name="Euro" xfId="14"/>
    <cellStyle name="Euro 2" xfId="3997"/>
    <cellStyle name="Euro 3" xfId="3998"/>
    <cellStyle name="Euro billion" xfId="3999"/>
    <cellStyle name="Euro million" xfId="4000"/>
    <cellStyle name="Euro thousand" xfId="4001"/>
    <cellStyle name="Euro_Allocated Opex " xfId="4002"/>
    <cellStyle name="Explanatory Text 2" xfId="4003"/>
    <cellStyle name="Explanatory Text 3" xfId="4004"/>
    <cellStyle name="EY House" xfId="4005"/>
    <cellStyle name="EYBlocked" xfId="4006"/>
    <cellStyle name="EYCallUp" xfId="4007"/>
    <cellStyle name="EYCheck" xfId="4008"/>
    <cellStyle name="EYDate" xfId="4009"/>
    <cellStyle name="EYDeviant" xfId="4010"/>
    <cellStyle name="Factor" xfId="4011"/>
    <cellStyle name="Flag" xfId="4012"/>
    <cellStyle name="From" xfId="4013"/>
    <cellStyle name="FromDate" xfId="4014"/>
    <cellStyle name="FromDate 2" xfId="5944"/>
    <cellStyle name="General" xfId="4015"/>
    <cellStyle name="H_Major" xfId="4016"/>
    <cellStyle name="Header bar" xfId="4017"/>
    <cellStyle name="Heading" xfId="4018"/>
    <cellStyle name="Heading (12pt)" xfId="4019"/>
    <cellStyle name="Heading (14pt)" xfId="4020"/>
    <cellStyle name="HeadingMain" xfId="4021"/>
    <cellStyle name="HeadingMinor" xfId="4022"/>
    <cellStyle name="HeadingSection" xfId="4023"/>
    <cellStyle name="HeadingSub" xfId="4024"/>
    <cellStyle name="Hidden" xfId="4025"/>
    <cellStyle name="HideZeros" xfId="4026"/>
    <cellStyle name="hours" xfId="4027"/>
    <cellStyle name="HSBC Input Percent" xfId="4028"/>
    <cellStyle name="HSBC Percent" xfId="4029"/>
    <cellStyle name="HSBC Ratio" xfId="4030"/>
    <cellStyle name="HSBC Title Module" xfId="4031"/>
    <cellStyle name="HSBC WK Number 2" xfId="4032"/>
    <cellStyle name="HSBC WK Percent" xfId="4033"/>
    <cellStyle name="HSBC_Date" xfId="4034"/>
    <cellStyle name="IllustrativeTotal" xfId="4035"/>
    <cellStyle name="IllustrativeTotal 2" xfId="5943"/>
    <cellStyle name="ImportFromOtherWorkbook" xfId="4036"/>
    <cellStyle name="ImportFromOtherWorkbook 2" xfId="5942"/>
    <cellStyle name="Index" xfId="4037"/>
    <cellStyle name="InflationIndex" xfId="4038"/>
    <cellStyle name="Input 2" xfId="16640"/>
    <cellStyle name="InputNumber" xfId="4039"/>
    <cellStyle name="InputNumber 2" xfId="5941"/>
    <cellStyle name="InputPercent" xfId="4040"/>
    <cellStyle name="InputPermanent" xfId="4041"/>
    <cellStyle name="InputText" xfId="4042"/>
    <cellStyle name="InputText 2" xfId="5940"/>
    <cellStyle name="Integer" xfId="4043"/>
    <cellStyle name="Invisible" xfId="4044"/>
    <cellStyle name="K (0dp)" xfId="4045"/>
    <cellStyle name="K (2dp)" xfId="4046"/>
    <cellStyle name="KPMG Heading 1" xfId="4047"/>
    <cellStyle name="KPMG Heading 2" xfId="4048"/>
    <cellStyle name="KPMG Heading 3" xfId="4049"/>
    <cellStyle name="KPMG Heading 4" xfId="4050"/>
    <cellStyle name="KPMG Normal" xfId="4051"/>
    <cellStyle name="KPMG Normal Text" xfId="4052"/>
    <cellStyle name="Label" xfId="4053"/>
    <cellStyle name="LABEL Normal" xfId="4054"/>
    <cellStyle name="LABEL Note" xfId="4055"/>
    <cellStyle name="LABEL Units" xfId="4056"/>
    <cellStyle name="Label_8.0 SITA Suffolk BASE CASE FINAL All Scenarios" xfId="4057"/>
    <cellStyle name="lift" xfId="4058"/>
    <cellStyle name="Ligne" xfId="4059"/>
    <cellStyle name="Logical" xfId="4060"/>
    <cellStyle name="M (0dp)" xfId="4061"/>
    <cellStyle name="M (2dp)" xfId="4062"/>
    <cellStyle name="MacroPasted" xfId="4063"/>
    <cellStyle name="MainHeading" xfId="4064"/>
    <cellStyle name="max" xfId="4065"/>
    <cellStyle name="Milliers [0]_Feuil1" xfId="4066"/>
    <cellStyle name="Milliers_Feuil1" xfId="4067"/>
    <cellStyle name="Millions£" xfId="4068"/>
    <cellStyle name="Millions£ (2dp)" xfId="4069"/>
    <cellStyle name="min" xfId="4070"/>
    <cellStyle name="Monétaire [0]_Feuil1" xfId="4071"/>
    <cellStyle name="Monétaire_Feuil1" xfId="4072"/>
    <cellStyle name="Money" xfId="4073"/>
    <cellStyle name="month" xfId="4074"/>
    <cellStyle name="months" xfId="4075"/>
    <cellStyle name="MW" xfId="4076"/>
    <cellStyle name="MWth" xfId="4077"/>
    <cellStyle name="Normal" xfId="0" builtinId="0"/>
    <cellStyle name="Normal - Style1" xfId="4078"/>
    <cellStyle name="Normal - Style1 2" xfId="42"/>
    <cellStyle name="Normal (0dp)" xfId="4079"/>
    <cellStyle name="Normal (0dp+NZ)" xfId="4080"/>
    <cellStyle name="Normal (2dp)" xfId="4081"/>
    <cellStyle name="Normal (2dp+NZ)" xfId="4082"/>
    <cellStyle name="Normal 10" xfId="4083"/>
    <cellStyle name="Normal 10 10" xfId="11234"/>
    <cellStyle name="Normal 10 2" xfId="4084"/>
    <cellStyle name="Normal 10 2 2" xfId="4496"/>
    <cellStyle name="Normal 10 2 2 2" xfId="4896"/>
    <cellStyle name="Normal 10 2 2 2 2" xfId="8639"/>
    <cellStyle name="Normal 10 2 2 2 2 2" xfId="15187"/>
    <cellStyle name="Normal 10 2 2 2 3" xfId="6920"/>
    <cellStyle name="Normal 10 2 2 2 3 2" xfId="13606"/>
    <cellStyle name="Normal 10 2 2 2 4" xfId="11821"/>
    <cellStyle name="Normal 10 2 2 3" xfId="5323"/>
    <cellStyle name="Normal 10 2 2 3 2" xfId="9066"/>
    <cellStyle name="Normal 10 2 2 3 2 2" xfId="15610"/>
    <cellStyle name="Normal 10 2 2 3 3" xfId="7347"/>
    <cellStyle name="Normal 10 2 2 3 3 2" xfId="14029"/>
    <cellStyle name="Normal 10 2 2 3 4" xfId="12244"/>
    <cellStyle name="Normal 10 2 2 4" xfId="5761"/>
    <cellStyle name="Normal 10 2 2 4 2" xfId="9502"/>
    <cellStyle name="Normal 10 2 2 4 2 2" xfId="16004"/>
    <cellStyle name="Normal 10 2 2 4 3" xfId="7783"/>
    <cellStyle name="Normal 10 2 2 4 3 2" xfId="14423"/>
    <cellStyle name="Normal 10 2 2 4 4" xfId="12654"/>
    <cellStyle name="Normal 10 2 2 5" xfId="9892"/>
    <cellStyle name="Normal 10 2 2 5 2" xfId="16373"/>
    <cellStyle name="Normal 10 2 2 6" xfId="8260"/>
    <cellStyle name="Normal 10 2 2 6 2" xfId="14817"/>
    <cellStyle name="Normal 10 2 2 7" xfId="6541"/>
    <cellStyle name="Normal 10 2 2 7 2" xfId="13231"/>
    <cellStyle name="Normal 10 2 2 8" xfId="11441"/>
    <cellStyle name="Normal 10 2 3" xfId="4811"/>
    <cellStyle name="Normal 10 2 3 2" xfId="8554"/>
    <cellStyle name="Normal 10 2 3 2 2" xfId="15106"/>
    <cellStyle name="Normal 10 2 3 3" xfId="6835"/>
    <cellStyle name="Normal 10 2 3 3 2" xfId="13525"/>
    <cellStyle name="Normal 10 2 3 4" xfId="11740"/>
    <cellStyle name="Normal 10 2 4" xfId="5126"/>
    <cellStyle name="Normal 10 2 4 2" xfId="8869"/>
    <cellStyle name="Normal 10 2 4 2 2" xfId="15413"/>
    <cellStyle name="Normal 10 2 4 3" xfId="7150"/>
    <cellStyle name="Normal 10 2 4 3 2" xfId="13832"/>
    <cellStyle name="Normal 10 2 4 4" xfId="12047"/>
    <cellStyle name="Normal 10 2 5" xfId="5559"/>
    <cellStyle name="Normal 10 2 5 2" xfId="9300"/>
    <cellStyle name="Normal 10 2 5 2 2" xfId="15807"/>
    <cellStyle name="Normal 10 2 5 3" xfId="7581"/>
    <cellStyle name="Normal 10 2 5 3 2" xfId="14226"/>
    <cellStyle name="Normal 10 2 5 4" xfId="12452"/>
    <cellStyle name="Normal 10 2 6" xfId="9801"/>
    <cellStyle name="Normal 10 2 6 2" xfId="16292"/>
    <cellStyle name="Normal 10 2 7" xfId="8020"/>
    <cellStyle name="Normal 10 2 7 2" xfId="14620"/>
    <cellStyle name="Normal 10 2 8" xfId="6293"/>
    <cellStyle name="Normal 10 2 8 2" xfId="13016"/>
    <cellStyle name="Normal 10 2 9" xfId="11235"/>
    <cellStyle name="Normal 10 3" xfId="4495"/>
    <cellStyle name="Normal 10 3 2" xfId="4897"/>
    <cellStyle name="Normal 10 3 2 2" xfId="8640"/>
    <cellStyle name="Normal 10 3 2 2 2" xfId="15188"/>
    <cellStyle name="Normal 10 3 2 3" xfId="6921"/>
    <cellStyle name="Normal 10 3 2 3 2" xfId="13607"/>
    <cellStyle name="Normal 10 3 2 4" xfId="11822"/>
    <cellStyle name="Normal 10 3 3" xfId="5322"/>
    <cellStyle name="Normal 10 3 3 2" xfId="9065"/>
    <cellStyle name="Normal 10 3 3 2 2" xfId="15609"/>
    <cellStyle name="Normal 10 3 3 3" xfId="7346"/>
    <cellStyle name="Normal 10 3 3 3 2" xfId="14028"/>
    <cellStyle name="Normal 10 3 3 4" xfId="12243"/>
    <cellStyle name="Normal 10 3 4" xfId="5760"/>
    <cellStyle name="Normal 10 3 4 2" xfId="9501"/>
    <cellStyle name="Normal 10 3 4 2 2" xfId="16003"/>
    <cellStyle name="Normal 10 3 4 3" xfId="7782"/>
    <cellStyle name="Normal 10 3 4 3 2" xfId="14422"/>
    <cellStyle name="Normal 10 3 4 4" xfId="12653"/>
    <cellStyle name="Normal 10 3 5" xfId="9893"/>
    <cellStyle name="Normal 10 3 5 2" xfId="16374"/>
    <cellStyle name="Normal 10 3 6" xfId="8259"/>
    <cellStyle name="Normal 10 3 6 2" xfId="14816"/>
    <cellStyle name="Normal 10 3 7" xfId="6540"/>
    <cellStyle name="Normal 10 3 7 2" xfId="13230"/>
    <cellStyle name="Normal 10 3 8" xfId="11440"/>
    <cellStyle name="Normal 10 4" xfId="4729"/>
    <cellStyle name="Normal 10 4 2" xfId="8473"/>
    <cellStyle name="Normal 10 4 2 2" xfId="15025"/>
    <cellStyle name="Normal 10 4 3" xfId="6754"/>
    <cellStyle name="Normal 10 4 3 2" xfId="13444"/>
    <cellStyle name="Normal 10 4 4" xfId="11658"/>
    <cellStyle name="Normal 10 5" xfId="5125"/>
    <cellStyle name="Normal 10 5 2" xfId="8868"/>
    <cellStyle name="Normal 10 5 2 2" xfId="15412"/>
    <cellStyle name="Normal 10 5 3" xfId="7149"/>
    <cellStyle name="Normal 10 5 3 2" xfId="13831"/>
    <cellStyle name="Normal 10 5 4" xfId="12046"/>
    <cellStyle name="Normal 10 6" xfId="5558"/>
    <cellStyle name="Normal 10 6 2" xfId="9299"/>
    <cellStyle name="Normal 10 6 2 2" xfId="15806"/>
    <cellStyle name="Normal 10 6 3" xfId="7580"/>
    <cellStyle name="Normal 10 6 3 2" xfId="14225"/>
    <cellStyle name="Normal 10 6 4" xfId="12451"/>
    <cellStyle name="Normal 10 7" xfId="9717"/>
    <cellStyle name="Normal 10 7 2" xfId="16210"/>
    <cellStyle name="Normal 10 8" xfId="8019"/>
    <cellStyle name="Normal 10 8 2" xfId="14619"/>
    <cellStyle name="Normal 10 9" xfId="6292"/>
    <cellStyle name="Normal 10 9 2" xfId="13015"/>
    <cellStyle name="Normal 11" xfId="4085"/>
    <cellStyle name="Normal 11 10" xfId="11236"/>
    <cellStyle name="Normal 11 2" xfId="4086"/>
    <cellStyle name="Normal 11 2 2" xfId="4498"/>
    <cellStyle name="Normal 11 2 2 2" xfId="4898"/>
    <cellStyle name="Normal 11 2 2 2 2" xfId="8641"/>
    <cellStyle name="Normal 11 2 2 2 2 2" xfId="15189"/>
    <cellStyle name="Normal 11 2 2 2 3" xfId="6922"/>
    <cellStyle name="Normal 11 2 2 2 3 2" xfId="13608"/>
    <cellStyle name="Normal 11 2 2 2 4" xfId="11823"/>
    <cellStyle name="Normal 11 2 2 3" xfId="5325"/>
    <cellStyle name="Normal 11 2 2 3 2" xfId="9068"/>
    <cellStyle name="Normal 11 2 2 3 2 2" xfId="15612"/>
    <cellStyle name="Normal 11 2 2 3 3" xfId="7349"/>
    <cellStyle name="Normal 11 2 2 3 3 2" xfId="14031"/>
    <cellStyle name="Normal 11 2 2 3 4" xfId="12246"/>
    <cellStyle name="Normal 11 2 2 4" xfId="5763"/>
    <cellStyle name="Normal 11 2 2 4 2" xfId="9504"/>
    <cellStyle name="Normal 11 2 2 4 2 2" xfId="16006"/>
    <cellStyle name="Normal 11 2 2 4 3" xfId="7785"/>
    <cellStyle name="Normal 11 2 2 4 3 2" xfId="14425"/>
    <cellStyle name="Normal 11 2 2 4 4" xfId="12656"/>
    <cellStyle name="Normal 11 2 2 5" xfId="9894"/>
    <cellStyle name="Normal 11 2 2 5 2" xfId="16375"/>
    <cellStyle name="Normal 11 2 2 6" xfId="8262"/>
    <cellStyle name="Normal 11 2 2 6 2" xfId="14819"/>
    <cellStyle name="Normal 11 2 2 7" xfId="6543"/>
    <cellStyle name="Normal 11 2 2 7 2" xfId="13233"/>
    <cellStyle name="Normal 11 2 2 8" xfId="11443"/>
    <cellStyle name="Normal 11 2 3" xfId="4784"/>
    <cellStyle name="Normal 11 2 3 2" xfId="8527"/>
    <cellStyle name="Normal 11 2 3 2 2" xfId="15079"/>
    <cellStyle name="Normal 11 2 3 3" xfId="6808"/>
    <cellStyle name="Normal 11 2 3 3 2" xfId="13498"/>
    <cellStyle name="Normal 11 2 3 4" xfId="11713"/>
    <cellStyle name="Normal 11 2 4" xfId="5128"/>
    <cellStyle name="Normal 11 2 4 2" xfId="8871"/>
    <cellStyle name="Normal 11 2 4 2 2" xfId="15415"/>
    <cellStyle name="Normal 11 2 4 3" xfId="7152"/>
    <cellStyle name="Normal 11 2 4 3 2" xfId="13834"/>
    <cellStyle name="Normal 11 2 4 4" xfId="12049"/>
    <cellStyle name="Normal 11 2 5" xfId="5561"/>
    <cellStyle name="Normal 11 2 5 2" xfId="9302"/>
    <cellStyle name="Normal 11 2 5 2 2" xfId="15809"/>
    <cellStyle name="Normal 11 2 5 3" xfId="7583"/>
    <cellStyle name="Normal 11 2 5 3 2" xfId="14228"/>
    <cellStyle name="Normal 11 2 5 4" xfId="12454"/>
    <cellStyle name="Normal 11 2 6" xfId="9774"/>
    <cellStyle name="Normal 11 2 6 2" xfId="16265"/>
    <cellStyle name="Normal 11 2 7" xfId="8022"/>
    <cellStyle name="Normal 11 2 7 2" xfId="14622"/>
    <cellStyle name="Normal 11 2 8" xfId="6295"/>
    <cellStyle name="Normal 11 2 8 2" xfId="13018"/>
    <cellStyle name="Normal 11 2 9" xfId="11237"/>
    <cellStyle name="Normal 11 3" xfId="4497"/>
    <cellStyle name="Normal 11 3 2" xfId="4899"/>
    <cellStyle name="Normal 11 3 2 2" xfId="8642"/>
    <cellStyle name="Normal 11 3 2 2 2" xfId="15190"/>
    <cellStyle name="Normal 11 3 2 3" xfId="6923"/>
    <cellStyle name="Normal 11 3 2 3 2" xfId="13609"/>
    <cellStyle name="Normal 11 3 2 4" xfId="11824"/>
    <cellStyle name="Normal 11 3 3" xfId="5324"/>
    <cellStyle name="Normal 11 3 3 2" xfId="9067"/>
    <cellStyle name="Normal 11 3 3 2 2" xfId="15611"/>
    <cellStyle name="Normal 11 3 3 3" xfId="7348"/>
    <cellStyle name="Normal 11 3 3 3 2" xfId="14030"/>
    <cellStyle name="Normal 11 3 3 4" xfId="12245"/>
    <cellStyle name="Normal 11 3 4" xfId="5762"/>
    <cellStyle name="Normal 11 3 4 2" xfId="9503"/>
    <cellStyle name="Normal 11 3 4 2 2" xfId="16005"/>
    <cellStyle name="Normal 11 3 4 3" xfId="7784"/>
    <cellStyle name="Normal 11 3 4 3 2" xfId="14424"/>
    <cellStyle name="Normal 11 3 4 4" xfId="12655"/>
    <cellStyle name="Normal 11 3 5" xfId="9895"/>
    <cellStyle name="Normal 11 3 5 2" xfId="16376"/>
    <cellStyle name="Normal 11 3 6" xfId="8261"/>
    <cellStyle name="Normal 11 3 6 2" xfId="14818"/>
    <cellStyle name="Normal 11 3 7" xfId="6542"/>
    <cellStyle name="Normal 11 3 7 2" xfId="13232"/>
    <cellStyle name="Normal 11 3 8" xfId="11442"/>
    <cellStyle name="Normal 11 4" xfId="4702"/>
    <cellStyle name="Normal 11 4 2" xfId="8446"/>
    <cellStyle name="Normal 11 4 2 2" xfId="14998"/>
    <cellStyle name="Normal 11 4 3" xfId="6727"/>
    <cellStyle name="Normal 11 4 3 2" xfId="13417"/>
    <cellStyle name="Normal 11 4 4" xfId="11631"/>
    <cellStyle name="Normal 11 5" xfId="5127"/>
    <cellStyle name="Normal 11 5 2" xfId="8870"/>
    <cellStyle name="Normal 11 5 2 2" xfId="15414"/>
    <cellStyle name="Normal 11 5 3" xfId="7151"/>
    <cellStyle name="Normal 11 5 3 2" xfId="13833"/>
    <cellStyle name="Normal 11 5 4" xfId="12048"/>
    <cellStyle name="Normal 11 6" xfId="5560"/>
    <cellStyle name="Normal 11 6 2" xfId="9301"/>
    <cellStyle name="Normal 11 6 2 2" xfId="15808"/>
    <cellStyle name="Normal 11 6 3" xfId="7582"/>
    <cellStyle name="Normal 11 6 3 2" xfId="14227"/>
    <cellStyle name="Normal 11 6 4" xfId="12453"/>
    <cellStyle name="Normal 11 7" xfId="9690"/>
    <cellStyle name="Normal 11 7 2" xfId="16183"/>
    <cellStyle name="Normal 11 8" xfId="8021"/>
    <cellStyle name="Normal 11 8 2" xfId="14621"/>
    <cellStyle name="Normal 11 9" xfId="6294"/>
    <cellStyle name="Normal 11 9 2" xfId="13017"/>
    <cellStyle name="Normal 12" xfId="4087"/>
    <cellStyle name="Normal 12 10" xfId="11238"/>
    <cellStyle name="Normal 12 2" xfId="4088"/>
    <cellStyle name="Normal 12 2 2" xfId="4500"/>
    <cellStyle name="Normal 12 2 2 2" xfId="4900"/>
    <cellStyle name="Normal 12 2 2 2 2" xfId="8643"/>
    <cellStyle name="Normal 12 2 2 2 2 2" xfId="15191"/>
    <cellStyle name="Normal 12 2 2 2 3" xfId="6924"/>
    <cellStyle name="Normal 12 2 2 2 3 2" xfId="13610"/>
    <cellStyle name="Normal 12 2 2 2 4" xfId="11825"/>
    <cellStyle name="Normal 12 2 2 3" xfId="5327"/>
    <cellStyle name="Normal 12 2 2 3 2" xfId="9070"/>
    <cellStyle name="Normal 12 2 2 3 2 2" xfId="15614"/>
    <cellStyle name="Normal 12 2 2 3 3" xfId="7351"/>
    <cellStyle name="Normal 12 2 2 3 3 2" xfId="14033"/>
    <cellStyle name="Normal 12 2 2 3 4" xfId="12248"/>
    <cellStyle name="Normal 12 2 2 4" xfId="5765"/>
    <cellStyle name="Normal 12 2 2 4 2" xfId="9506"/>
    <cellStyle name="Normal 12 2 2 4 2 2" xfId="16008"/>
    <cellStyle name="Normal 12 2 2 4 3" xfId="7787"/>
    <cellStyle name="Normal 12 2 2 4 3 2" xfId="14427"/>
    <cellStyle name="Normal 12 2 2 4 4" xfId="12658"/>
    <cellStyle name="Normal 12 2 2 5" xfId="9896"/>
    <cellStyle name="Normal 12 2 2 5 2" xfId="16377"/>
    <cellStyle name="Normal 12 2 2 6" xfId="8264"/>
    <cellStyle name="Normal 12 2 2 6 2" xfId="14821"/>
    <cellStyle name="Normal 12 2 2 7" xfId="6545"/>
    <cellStyle name="Normal 12 2 2 7 2" xfId="13235"/>
    <cellStyle name="Normal 12 2 2 8" xfId="11445"/>
    <cellStyle name="Normal 12 2 3" xfId="4785"/>
    <cellStyle name="Normal 12 2 3 2" xfId="8528"/>
    <cellStyle name="Normal 12 2 3 2 2" xfId="15080"/>
    <cellStyle name="Normal 12 2 3 3" xfId="6809"/>
    <cellStyle name="Normal 12 2 3 3 2" xfId="13499"/>
    <cellStyle name="Normal 12 2 3 4" xfId="11714"/>
    <cellStyle name="Normal 12 2 4" xfId="5130"/>
    <cellStyle name="Normal 12 2 4 2" xfId="8873"/>
    <cellStyle name="Normal 12 2 4 2 2" xfId="15417"/>
    <cellStyle name="Normal 12 2 4 3" xfId="7154"/>
    <cellStyle name="Normal 12 2 4 3 2" xfId="13836"/>
    <cellStyle name="Normal 12 2 4 4" xfId="12051"/>
    <cellStyle name="Normal 12 2 5" xfId="5563"/>
    <cellStyle name="Normal 12 2 5 2" xfId="9304"/>
    <cellStyle name="Normal 12 2 5 2 2" xfId="15811"/>
    <cellStyle name="Normal 12 2 5 3" xfId="7585"/>
    <cellStyle name="Normal 12 2 5 3 2" xfId="14230"/>
    <cellStyle name="Normal 12 2 5 4" xfId="12456"/>
    <cellStyle name="Normal 12 2 6" xfId="9775"/>
    <cellStyle name="Normal 12 2 6 2" xfId="16266"/>
    <cellStyle name="Normal 12 2 7" xfId="8024"/>
    <cellStyle name="Normal 12 2 7 2" xfId="14624"/>
    <cellStyle name="Normal 12 2 8" xfId="6297"/>
    <cellStyle name="Normal 12 2 8 2" xfId="13020"/>
    <cellStyle name="Normal 12 2 9" xfId="11239"/>
    <cellStyle name="Normal 12 3" xfId="4499"/>
    <cellStyle name="Normal 12 3 2" xfId="4901"/>
    <cellStyle name="Normal 12 3 2 2" xfId="8644"/>
    <cellStyle name="Normal 12 3 2 2 2" xfId="15192"/>
    <cellStyle name="Normal 12 3 2 3" xfId="6925"/>
    <cellStyle name="Normal 12 3 2 3 2" xfId="13611"/>
    <cellStyle name="Normal 12 3 2 4" xfId="11826"/>
    <cellStyle name="Normal 12 3 3" xfId="5326"/>
    <cellStyle name="Normal 12 3 3 2" xfId="9069"/>
    <cellStyle name="Normal 12 3 3 2 2" xfId="15613"/>
    <cellStyle name="Normal 12 3 3 3" xfId="7350"/>
    <cellStyle name="Normal 12 3 3 3 2" xfId="14032"/>
    <cellStyle name="Normal 12 3 3 4" xfId="12247"/>
    <cellStyle name="Normal 12 3 4" xfId="5764"/>
    <cellStyle name="Normal 12 3 4 2" xfId="9505"/>
    <cellStyle name="Normal 12 3 4 2 2" xfId="16007"/>
    <cellStyle name="Normal 12 3 4 3" xfId="7786"/>
    <cellStyle name="Normal 12 3 4 3 2" xfId="14426"/>
    <cellStyle name="Normal 12 3 4 4" xfId="12657"/>
    <cellStyle name="Normal 12 3 5" xfId="9897"/>
    <cellStyle name="Normal 12 3 5 2" xfId="16378"/>
    <cellStyle name="Normal 12 3 6" xfId="8263"/>
    <cellStyle name="Normal 12 3 6 2" xfId="14820"/>
    <cellStyle name="Normal 12 3 7" xfId="6544"/>
    <cellStyle name="Normal 12 3 7 2" xfId="13234"/>
    <cellStyle name="Normal 12 3 8" xfId="11444"/>
    <cellStyle name="Normal 12 4" xfId="4703"/>
    <cellStyle name="Normal 12 4 2" xfId="8447"/>
    <cellStyle name="Normal 12 4 2 2" xfId="14999"/>
    <cellStyle name="Normal 12 4 3" xfId="6728"/>
    <cellStyle name="Normal 12 4 3 2" xfId="13418"/>
    <cellStyle name="Normal 12 4 4" xfId="11632"/>
    <cellStyle name="Normal 12 5" xfId="5129"/>
    <cellStyle name="Normal 12 5 2" xfId="8872"/>
    <cellStyle name="Normal 12 5 2 2" xfId="15416"/>
    <cellStyle name="Normal 12 5 3" xfId="7153"/>
    <cellStyle name="Normal 12 5 3 2" xfId="13835"/>
    <cellStyle name="Normal 12 5 4" xfId="12050"/>
    <cellStyle name="Normal 12 6" xfId="5562"/>
    <cellStyle name="Normal 12 6 2" xfId="9303"/>
    <cellStyle name="Normal 12 6 2 2" xfId="15810"/>
    <cellStyle name="Normal 12 6 3" xfId="7584"/>
    <cellStyle name="Normal 12 6 3 2" xfId="14229"/>
    <cellStyle name="Normal 12 6 4" xfId="12455"/>
    <cellStyle name="Normal 12 7" xfId="9691"/>
    <cellStyle name="Normal 12 7 2" xfId="16184"/>
    <cellStyle name="Normal 12 8" xfId="8023"/>
    <cellStyle name="Normal 12 8 2" xfId="14623"/>
    <cellStyle name="Normal 12 9" xfId="6296"/>
    <cellStyle name="Normal 12 9 2" xfId="13019"/>
    <cellStyle name="Normal 13" xfId="4089"/>
    <cellStyle name="Normal 13 10" xfId="11240"/>
    <cellStyle name="Normal 13 2" xfId="4090"/>
    <cellStyle name="Normal 13 2 2" xfId="4502"/>
    <cellStyle name="Normal 13 2 2 2" xfId="4902"/>
    <cellStyle name="Normal 13 2 2 2 2" xfId="8645"/>
    <cellStyle name="Normal 13 2 2 2 2 2" xfId="15193"/>
    <cellStyle name="Normal 13 2 2 2 3" xfId="6926"/>
    <cellStyle name="Normal 13 2 2 2 3 2" xfId="13612"/>
    <cellStyle name="Normal 13 2 2 2 4" xfId="11827"/>
    <cellStyle name="Normal 13 2 2 3" xfId="5329"/>
    <cellStyle name="Normal 13 2 2 3 2" xfId="9072"/>
    <cellStyle name="Normal 13 2 2 3 2 2" xfId="15616"/>
    <cellStyle name="Normal 13 2 2 3 3" xfId="7353"/>
    <cellStyle name="Normal 13 2 2 3 3 2" xfId="14035"/>
    <cellStyle name="Normal 13 2 2 3 4" xfId="12250"/>
    <cellStyle name="Normal 13 2 2 4" xfId="5767"/>
    <cellStyle name="Normal 13 2 2 4 2" xfId="9508"/>
    <cellStyle name="Normal 13 2 2 4 2 2" xfId="16010"/>
    <cellStyle name="Normal 13 2 2 4 3" xfId="7789"/>
    <cellStyle name="Normal 13 2 2 4 3 2" xfId="14429"/>
    <cellStyle name="Normal 13 2 2 4 4" xfId="12660"/>
    <cellStyle name="Normal 13 2 2 5" xfId="9898"/>
    <cellStyle name="Normal 13 2 2 5 2" xfId="16379"/>
    <cellStyle name="Normal 13 2 2 6" xfId="8266"/>
    <cellStyle name="Normal 13 2 2 6 2" xfId="14823"/>
    <cellStyle name="Normal 13 2 2 7" xfId="6547"/>
    <cellStyle name="Normal 13 2 2 7 2" xfId="13237"/>
    <cellStyle name="Normal 13 2 2 8" xfId="11447"/>
    <cellStyle name="Normal 13 2 3" xfId="4787"/>
    <cellStyle name="Normal 13 2 3 2" xfId="8530"/>
    <cellStyle name="Normal 13 2 3 2 2" xfId="15082"/>
    <cellStyle name="Normal 13 2 3 3" xfId="6811"/>
    <cellStyle name="Normal 13 2 3 3 2" xfId="13501"/>
    <cellStyle name="Normal 13 2 3 4" xfId="11716"/>
    <cellStyle name="Normal 13 2 4" xfId="5132"/>
    <cellStyle name="Normal 13 2 4 2" xfId="8875"/>
    <cellStyle name="Normal 13 2 4 2 2" xfId="15419"/>
    <cellStyle name="Normal 13 2 4 3" xfId="7156"/>
    <cellStyle name="Normal 13 2 4 3 2" xfId="13838"/>
    <cellStyle name="Normal 13 2 4 4" xfId="12053"/>
    <cellStyle name="Normal 13 2 5" xfId="5565"/>
    <cellStyle name="Normal 13 2 5 2" xfId="9306"/>
    <cellStyle name="Normal 13 2 5 2 2" xfId="15813"/>
    <cellStyle name="Normal 13 2 5 3" xfId="7587"/>
    <cellStyle name="Normal 13 2 5 3 2" xfId="14232"/>
    <cellStyle name="Normal 13 2 5 4" xfId="12458"/>
    <cellStyle name="Normal 13 2 6" xfId="9777"/>
    <cellStyle name="Normal 13 2 6 2" xfId="16268"/>
    <cellStyle name="Normal 13 2 7" xfId="8026"/>
    <cellStyle name="Normal 13 2 7 2" xfId="14626"/>
    <cellStyle name="Normal 13 2 8" xfId="6299"/>
    <cellStyle name="Normal 13 2 8 2" xfId="13022"/>
    <cellStyle name="Normal 13 2 9" xfId="11241"/>
    <cellStyle name="Normal 13 3" xfId="4501"/>
    <cellStyle name="Normal 13 3 2" xfId="4903"/>
    <cellStyle name="Normal 13 3 2 2" xfId="8646"/>
    <cellStyle name="Normal 13 3 2 2 2" xfId="15194"/>
    <cellStyle name="Normal 13 3 2 3" xfId="6927"/>
    <cellStyle name="Normal 13 3 2 3 2" xfId="13613"/>
    <cellStyle name="Normal 13 3 2 4" xfId="11828"/>
    <cellStyle name="Normal 13 3 3" xfId="5328"/>
    <cellStyle name="Normal 13 3 3 2" xfId="9071"/>
    <cellStyle name="Normal 13 3 3 2 2" xfId="15615"/>
    <cellStyle name="Normal 13 3 3 3" xfId="7352"/>
    <cellStyle name="Normal 13 3 3 3 2" xfId="14034"/>
    <cellStyle name="Normal 13 3 3 4" xfId="12249"/>
    <cellStyle name="Normal 13 3 4" xfId="5766"/>
    <cellStyle name="Normal 13 3 4 2" xfId="9507"/>
    <cellStyle name="Normal 13 3 4 2 2" xfId="16009"/>
    <cellStyle name="Normal 13 3 4 3" xfId="7788"/>
    <cellStyle name="Normal 13 3 4 3 2" xfId="14428"/>
    <cellStyle name="Normal 13 3 4 4" xfId="12659"/>
    <cellStyle name="Normal 13 3 5" xfId="9899"/>
    <cellStyle name="Normal 13 3 5 2" xfId="16380"/>
    <cellStyle name="Normal 13 3 6" xfId="8265"/>
    <cellStyle name="Normal 13 3 6 2" xfId="14822"/>
    <cellStyle name="Normal 13 3 7" xfId="6546"/>
    <cellStyle name="Normal 13 3 7 2" xfId="13236"/>
    <cellStyle name="Normal 13 3 8" xfId="11446"/>
    <cellStyle name="Normal 13 4" xfId="4705"/>
    <cellStyle name="Normal 13 4 2" xfId="8449"/>
    <cellStyle name="Normal 13 4 2 2" xfId="15001"/>
    <cellStyle name="Normal 13 4 3" xfId="6730"/>
    <cellStyle name="Normal 13 4 3 2" xfId="13420"/>
    <cellStyle name="Normal 13 4 4" xfId="11634"/>
    <cellStyle name="Normal 13 5" xfId="5131"/>
    <cellStyle name="Normal 13 5 2" xfId="8874"/>
    <cellStyle name="Normal 13 5 2 2" xfId="15418"/>
    <cellStyle name="Normal 13 5 3" xfId="7155"/>
    <cellStyle name="Normal 13 5 3 2" xfId="13837"/>
    <cellStyle name="Normal 13 5 4" xfId="12052"/>
    <cellStyle name="Normal 13 6" xfId="5564"/>
    <cellStyle name="Normal 13 6 2" xfId="9305"/>
    <cellStyle name="Normal 13 6 2 2" xfId="15812"/>
    <cellStyle name="Normal 13 6 3" xfId="7586"/>
    <cellStyle name="Normal 13 6 3 2" xfId="14231"/>
    <cellStyle name="Normal 13 6 4" xfId="12457"/>
    <cellStyle name="Normal 13 7" xfId="9693"/>
    <cellStyle name="Normal 13 7 2" xfId="16186"/>
    <cellStyle name="Normal 13 8" xfId="8025"/>
    <cellStyle name="Normal 13 8 2" xfId="14625"/>
    <cellStyle name="Normal 13 9" xfId="6298"/>
    <cellStyle name="Normal 13 9 2" xfId="13021"/>
    <cellStyle name="Normal 14" xfId="4091"/>
    <cellStyle name="Normal 14 10" xfId="11242"/>
    <cellStyle name="Normal 14 10 18" xfId="4092"/>
    <cellStyle name="Normal 14 10 18 10" xfId="11243"/>
    <cellStyle name="Normal 14 10 18 2" xfId="4093"/>
    <cellStyle name="Normal 14 10 18 2 2" xfId="4505"/>
    <cellStyle name="Normal 14 10 18 2 2 2" xfId="4904"/>
    <cellStyle name="Normal 14 10 18 2 2 2 2" xfId="8647"/>
    <cellStyle name="Normal 14 10 18 2 2 2 2 2" xfId="15195"/>
    <cellStyle name="Normal 14 10 18 2 2 2 3" xfId="6928"/>
    <cellStyle name="Normal 14 10 18 2 2 2 3 2" xfId="13614"/>
    <cellStyle name="Normal 14 10 18 2 2 2 4" xfId="11829"/>
    <cellStyle name="Normal 14 10 18 2 2 3" xfId="5332"/>
    <cellStyle name="Normal 14 10 18 2 2 3 2" xfId="9075"/>
    <cellStyle name="Normal 14 10 18 2 2 3 2 2" xfId="15619"/>
    <cellStyle name="Normal 14 10 18 2 2 3 3" xfId="7356"/>
    <cellStyle name="Normal 14 10 18 2 2 3 3 2" xfId="14038"/>
    <cellStyle name="Normal 14 10 18 2 2 3 4" xfId="12253"/>
    <cellStyle name="Normal 14 10 18 2 2 4" xfId="5770"/>
    <cellStyle name="Normal 14 10 18 2 2 4 2" xfId="9511"/>
    <cellStyle name="Normal 14 10 18 2 2 4 2 2" xfId="16013"/>
    <cellStyle name="Normal 14 10 18 2 2 4 3" xfId="7792"/>
    <cellStyle name="Normal 14 10 18 2 2 4 3 2" xfId="14432"/>
    <cellStyle name="Normal 14 10 18 2 2 4 4" xfId="12663"/>
    <cellStyle name="Normal 14 10 18 2 2 5" xfId="9900"/>
    <cellStyle name="Normal 14 10 18 2 2 5 2" xfId="16381"/>
    <cellStyle name="Normal 14 10 18 2 2 6" xfId="8269"/>
    <cellStyle name="Normal 14 10 18 2 2 6 2" xfId="14826"/>
    <cellStyle name="Normal 14 10 18 2 2 7" xfId="6550"/>
    <cellStyle name="Normal 14 10 18 2 2 7 2" xfId="13240"/>
    <cellStyle name="Normal 14 10 18 2 2 8" xfId="11450"/>
    <cellStyle name="Normal 14 10 18 2 3" xfId="4759"/>
    <cellStyle name="Normal 14 10 18 2 3 2" xfId="8502"/>
    <cellStyle name="Normal 14 10 18 2 3 2 2" xfId="15054"/>
    <cellStyle name="Normal 14 10 18 2 3 3" xfId="6783"/>
    <cellStyle name="Normal 14 10 18 2 3 3 2" xfId="13473"/>
    <cellStyle name="Normal 14 10 18 2 3 4" xfId="11688"/>
    <cellStyle name="Normal 14 10 18 2 4" xfId="5135"/>
    <cellStyle name="Normal 14 10 18 2 4 2" xfId="8878"/>
    <cellStyle name="Normal 14 10 18 2 4 2 2" xfId="15422"/>
    <cellStyle name="Normal 14 10 18 2 4 3" xfId="7159"/>
    <cellStyle name="Normal 14 10 18 2 4 3 2" xfId="13841"/>
    <cellStyle name="Normal 14 10 18 2 4 4" xfId="12056"/>
    <cellStyle name="Normal 14 10 18 2 5" xfId="5568"/>
    <cellStyle name="Normal 14 10 18 2 5 2" xfId="9309"/>
    <cellStyle name="Normal 14 10 18 2 5 2 2" xfId="15816"/>
    <cellStyle name="Normal 14 10 18 2 5 3" xfId="7590"/>
    <cellStyle name="Normal 14 10 18 2 5 3 2" xfId="14235"/>
    <cellStyle name="Normal 14 10 18 2 5 4" xfId="12461"/>
    <cellStyle name="Normal 14 10 18 2 6" xfId="9749"/>
    <cellStyle name="Normal 14 10 18 2 6 2" xfId="16240"/>
    <cellStyle name="Normal 14 10 18 2 7" xfId="8029"/>
    <cellStyle name="Normal 14 10 18 2 7 2" xfId="14629"/>
    <cellStyle name="Normal 14 10 18 2 8" xfId="6302"/>
    <cellStyle name="Normal 14 10 18 2 8 2" xfId="13025"/>
    <cellStyle name="Normal 14 10 18 2 9" xfId="11244"/>
    <cellStyle name="Normal 14 10 18 3" xfId="4504"/>
    <cellStyle name="Normal 14 10 18 3 2" xfId="4905"/>
    <cellStyle name="Normal 14 10 18 3 2 2" xfId="8648"/>
    <cellStyle name="Normal 14 10 18 3 2 2 2" xfId="15196"/>
    <cellStyle name="Normal 14 10 18 3 2 3" xfId="6929"/>
    <cellStyle name="Normal 14 10 18 3 2 3 2" xfId="13615"/>
    <cellStyle name="Normal 14 10 18 3 2 4" xfId="11830"/>
    <cellStyle name="Normal 14 10 18 3 3" xfId="5331"/>
    <cellStyle name="Normal 14 10 18 3 3 2" xfId="9074"/>
    <cellStyle name="Normal 14 10 18 3 3 2 2" xfId="15618"/>
    <cellStyle name="Normal 14 10 18 3 3 3" xfId="7355"/>
    <cellStyle name="Normal 14 10 18 3 3 3 2" xfId="14037"/>
    <cellStyle name="Normal 14 10 18 3 3 4" xfId="12252"/>
    <cellStyle name="Normal 14 10 18 3 4" xfId="5769"/>
    <cellStyle name="Normal 14 10 18 3 4 2" xfId="9510"/>
    <cellStyle name="Normal 14 10 18 3 4 2 2" xfId="16012"/>
    <cellStyle name="Normal 14 10 18 3 4 3" xfId="7791"/>
    <cellStyle name="Normal 14 10 18 3 4 3 2" xfId="14431"/>
    <cellStyle name="Normal 14 10 18 3 4 4" xfId="12662"/>
    <cellStyle name="Normal 14 10 18 3 5" xfId="9901"/>
    <cellStyle name="Normal 14 10 18 3 5 2" xfId="16382"/>
    <cellStyle name="Normal 14 10 18 3 6" xfId="8268"/>
    <cellStyle name="Normal 14 10 18 3 6 2" xfId="14825"/>
    <cellStyle name="Normal 14 10 18 3 7" xfId="6549"/>
    <cellStyle name="Normal 14 10 18 3 7 2" xfId="13239"/>
    <cellStyle name="Normal 14 10 18 3 8" xfId="11449"/>
    <cellStyle name="Normal 14 10 18 4" xfId="4696"/>
    <cellStyle name="Normal 14 10 18 4 2" xfId="8441"/>
    <cellStyle name="Normal 14 10 18 4 2 2" xfId="14993"/>
    <cellStyle name="Normal 14 10 18 4 3" xfId="6722"/>
    <cellStyle name="Normal 14 10 18 4 3 2" xfId="13412"/>
    <cellStyle name="Normal 14 10 18 4 4" xfId="11626"/>
    <cellStyle name="Normal 14 10 18 5" xfId="5134"/>
    <cellStyle name="Normal 14 10 18 5 2" xfId="8877"/>
    <cellStyle name="Normal 14 10 18 5 2 2" xfId="15421"/>
    <cellStyle name="Normal 14 10 18 5 3" xfId="7158"/>
    <cellStyle name="Normal 14 10 18 5 3 2" xfId="13840"/>
    <cellStyle name="Normal 14 10 18 5 4" xfId="12055"/>
    <cellStyle name="Normal 14 10 18 6" xfId="5567"/>
    <cellStyle name="Normal 14 10 18 6 2" xfId="9308"/>
    <cellStyle name="Normal 14 10 18 6 2 2" xfId="15815"/>
    <cellStyle name="Normal 14 10 18 6 3" xfId="7589"/>
    <cellStyle name="Normal 14 10 18 6 3 2" xfId="14234"/>
    <cellStyle name="Normal 14 10 18 6 4" xfId="12460"/>
    <cellStyle name="Normal 14 10 18 7" xfId="9678"/>
    <cellStyle name="Normal 14 10 18 7 2" xfId="16178"/>
    <cellStyle name="Normal 14 10 18 8" xfId="8028"/>
    <cellStyle name="Normal 14 10 18 8 2" xfId="14628"/>
    <cellStyle name="Normal 14 10 18 9" xfId="6301"/>
    <cellStyle name="Normal 14 10 18 9 2" xfId="13024"/>
    <cellStyle name="Normal 14 2" xfId="4094"/>
    <cellStyle name="Normal 14 2 2" xfId="4506"/>
    <cellStyle name="Normal 14 2 2 2" xfId="4906"/>
    <cellStyle name="Normal 14 2 2 2 2" xfId="8649"/>
    <cellStyle name="Normal 14 2 2 2 2 2" xfId="15197"/>
    <cellStyle name="Normal 14 2 2 2 3" xfId="6930"/>
    <cellStyle name="Normal 14 2 2 2 3 2" xfId="13616"/>
    <cellStyle name="Normal 14 2 2 2 4" xfId="11831"/>
    <cellStyle name="Normal 14 2 2 3" xfId="5333"/>
    <cellStyle name="Normal 14 2 2 3 2" xfId="9076"/>
    <cellStyle name="Normal 14 2 2 3 2 2" xfId="15620"/>
    <cellStyle name="Normal 14 2 2 3 3" xfId="7357"/>
    <cellStyle name="Normal 14 2 2 3 3 2" xfId="14039"/>
    <cellStyle name="Normal 14 2 2 3 4" xfId="12254"/>
    <cellStyle name="Normal 14 2 2 4" xfId="5771"/>
    <cellStyle name="Normal 14 2 2 4 2" xfId="9512"/>
    <cellStyle name="Normal 14 2 2 4 2 2" xfId="16014"/>
    <cellStyle name="Normal 14 2 2 4 3" xfId="7793"/>
    <cellStyle name="Normal 14 2 2 4 3 2" xfId="14433"/>
    <cellStyle name="Normal 14 2 2 4 4" xfId="12664"/>
    <cellStyle name="Normal 14 2 2 5" xfId="9902"/>
    <cellStyle name="Normal 14 2 2 5 2" xfId="16383"/>
    <cellStyle name="Normal 14 2 2 6" xfId="8270"/>
    <cellStyle name="Normal 14 2 2 6 2" xfId="14827"/>
    <cellStyle name="Normal 14 2 2 7" xfId="6551"/>
    <cellStyle name="Normal 14 2 2 7 2" xfId="13241"/>
    <cellStyle name="Normal 14 2 2 8" xfId="11451"/>
    <cellStyle name="Normal 14 2 3" xfId="4790"/>
    <cellStyle name="Normal 14 2 3 2" xfId="8533"/>
    <cellStyle name="Normal 14 2 3 2 2" xfId="15085"/>
    <cellStyle name="Normal 14 2 3 3" xfId="6814"/>
    <cellStyle name="Normal 14 2 3 3 2" xfId="13504"/>
    <cellStyle name="Normal 14 2 3 4" xfId="11719"/>
    <cellStyle name="Normal 14 2 4" xfId="5136"/>
    <cellStyle name="Normal 14 2 4 2" xfId="8879"/>
    <cellStyle name="Normal 14 2 4 2 2" xfId="15423"/>
    <cellStyle name="Normal 14 2 4 3" xfId="7160"/>
    <cellStyle name="Normal 14 2 4 3 2" xfId="13842"/>
    <cellStyle name="Normal 14 2 4 4" xfId="12057"/>
    <cellStyle name="Normal 14 2 5" xfId="5569"/>
    <cellStyle name="Normal 14 2 5 2" xfId="9310"/>
    <cellStyle name="Normal 14 2 5 2 2" xfId="15817"/>
    <cellStyle name="Normal 14 2 5 3" xfId="7591"/>
    <cellStyle name="Normal 14 2 5 3 2" xfId="14236"/>
    <cellStyle name="Normal 14 2 5 4" xfId="12462"/>
    <cellStyle name="Normal 14 2 6" xfId="9780"/>
    <cellStyle name="Normal 14 2 6 2" xfId="16271"/>
    <cellStyle name="Normal 14 2 7" xfId="8030"/>
    <cellStyle name="Normal 14 2 7 2" xfId="14630"/>
    <cellStyle name="Normal 14 2 8" xfId="6303"/>
    <cellStyle name="Normal 14 2 8 2" xfId="13026"/>
    <cellStyle name="Normal 14 2 9" xfId="11245"/>
    <cellStyle name="Normal 14 3" xfId="4503"/>
    <cellStyle name="Normal 14 3 2" xfId="4907"/>
    <cellStyle name="Normal 14 3 2 2" xfId="8650"/>
    <cellStyle name="Normal 14 3 2 2 2" xfId="15198"/>
    <cellStyle name="Normal 14 3 2 3" xfId="6931"/>
    <cellStyle name="Normal 14 3 2 3 2" xfId="13617"/>
    <cellStyle name="Normal 14 3 2 4" xfId="11832"/>
    <cellStyle name="Normal 14 3 3" xfId="5330"/>
    <cellStyle name="Normal 14 3 3 2" xfId="9073"/>
    <cellStyle name="Normal 14 3 3 2 2" xfId="15617"/>
    <cellStyle name="Normal 14 3 3 3" xfId="7354"/>
    <cellStyle name="Normal 14 3 3 3 2" xfId="14036"/>
    <cellStyle name="Normal 14 3 3 4" xfId="12251"/>
    <cellStyle name="Normal 14 3 4" xfId="5768"/>
    <cellStyle name="Normal 14 3 4 2" xfId="9509"/>
    <cellStyle name="Normal 14 3 4 2 2" xfId="16011"/>
    <cellStyle name="Normal 14 3 4 3" xfId="7790"/>
    <cellStyle name="Normal 14 3 4 3 2" xfId="14430"/>
    <cellStyle name="Normal 14 3 4 4" xfId="12661"/>
    <cellStyle name="Normal 14 3 5" xfId="9903"/>
    <cellStyle name="Normal 14 3 5 2" xfId="16384"/>
    <cellStyle name="Normal 14 3 6" xfId="8267"/>
    <cellStyle name="Normal 14 3 6 2" xfId="14824"/>
    <cellStyle name="Normal 14 3 7" xfId="6548"/>
    <cellStyle name="Normal 14 3 7 2" xfId="13238"/>
    <cellStyle name="Normal 14 3 8" xfId="11448"/>
    <cellStyle name="Normal 14 4" xfId="4708"/>
    <cellStyle name="Normal 14 4 2" xfId="8452"/>
    <cellStyle name="Normal 14 4 2 2" xfId="15004"/>
    <cellStyle name="Normal 14 4 3" xfId="6733"/>
    <cellStyle name="Normal 14 4 3 2" xfId="13423"/>
    <cellStyle name="Normal 14 4 4" xfId="11637"/>
    <cellStyle name="Normal 14 5" xfId="5133"/>
    <cellStyle name="Normal 14 5 2" xfId="8876"/>
    <cellStyle name="Normal 14 5 2 2" xfId="15420"/>
    <cellStyle name="Normal 14 5 3" xfId="7157"/>
    <cellStyle name="Normal 14 5 3 2" xfId="13839"/>
    <cellStyle name="Normal 14 5 4" xfId="12054"/>
    <cellStyle name="Normal 14 6" xfId="5566"/>
    <cellStyle name="Normal 14 6 2" xfId="9307"/>
    <cellStyle name="Normal 14 6 2 2" xfId="15814"/>
    <cellStyle name="Normal 14 6 3" xfId="7588"/>
    <cellStyle name="Normal 14 6 3 2" xfId="14233"/>
    <cellStyle name="Normal 14 6 4" xfId="12459"/>
    <cellStyle name="Normal 14 7" xfId="9696"/>
    <cellStyle name="Normal 14 7 2" xfId="16189"/>
    <cellStyle name="Normal 14 8" xfId="8027"/>
    <cellStyle name="Normal 14 8 2" xfId="14627"/>
    <cellStyle name="Normal 14 9" xfId="6300"/>
    <cellStyle name="Normal 14 9 2" xfId="13023"/>
    <cellStyle name="Normal 15" xfId="4095"/>
    <cellStyle name="Normal 15 10" xfId="11246"/>
    <cellStyle name="Normal 15 2" xfId="4096"/>
    <cellStyle name="Normal 15 2 2" xfId="4508"/>
    <cellStyle name="Normal 15 2 2 2" xfId="4908"/>
    <cellStyle name="Normal 15 2 2 2 2" xfId="8651"/>
    <cellStyle name="Normal 15 2 2 2 2 2" xfId="15199"/>
    <cellStyle name="Normal 15 2 2 2 3" xfId="6932"/>
    <cellStyle name="Normal 15 2 2 2 3 2" xfId="13618"/>
    <cellStyle name="Normal 15 2 2 2 4" xfId="11833"/>
    <cellStyle name="Normal 15 2 2 3" xfId="5335"/>
    <cellStyle name="Normal 15 2 2 3 2" xfId="9078"/>
    <cellStyle name="Normal 15 2 2 3 2 2" xfId="15622"/>
    <cellStyle name="Normal 15 2 2 3 3" xfId="7359"/>
    <cellStyle name="Normal 15 2 2 3 3 2" xfId="14041"/>
    <cellStyle name="Normal 15 2 2 3 4" xfId="12256"/>
    <cellStyle name="Normal 15 2 2 4" xfId="5773"/>
    <cellStyle name="Normal 15 2 2 4 2" xfId="9514"/>
    <cellStyle name="Normal 15 2 2 4 2 2" xfId="16016"/>
    <cellStyle name="Normal 15 2 2 4 3" xfId="7795"/>
    <cellStyle name="Normal 15 2 2 4 3 2" xfId="14435"/>
    <cellStyle name="Normal 15 2 2 4 4" xfId="12666"/>
    <cellStyle name="Normal 15 2 2 5" xfId="9904"/>
    <cellStyle name="Normal 15 2 2 5 2" xfId="16385"/>
    <cellStyle name="Normal 15 2 2 6" xfId="8272"/>
    <cellStyle name="Normal 15 2 2 6 2" xfId="14829"/>
    <cellStyle name="Normal 15 2 2 7" xfId="6553"/>
    <cellStyle name="Normal 15 2 2 7 2" xfId="13243"/>
    <cellStyle name="Normal 15 2 2 8" xfId="11453"/>
    <cellStyle name="Normal 15 2 3" xfId="4792"/>
    <cellStyle name="Normal 15 2 3 2" xfId="8535"/>
    <cellStyle name="Normal 15 2 3 2 2" xfId="15087"/>
    <cellStyle name="Normal 15 2 3 3" xfId="6816"/>
    <cellStyle name="Normal 15 2 3 3 2" xfId="13506"/>
    <cellStyle name="Normal 15 2 3 4" xfId="11721"/>
    <cellStyle name="Normal 15 2 4" xfId="5138"/>
    <cellStyle name="Normal 15 2 4 2" xfId="8881"/>
    <cellStyle name="Normal 15 2 4 2 2" xfId="15425"/>
    <cellStyle name="Normal 15 2 4 3" xfId="7162"/>
    <cellStyle name="Normal 15 2 4 3 2" xfId="13844"/>
    <cellStyle name="Normal 15 2 4 4" xfId="12059"/>
    <cellStyle name="Normal 15 2 5" xfId="5571"/>
    <cellStyle name="Normal 15 2 5 2" xfId="9312"/>
    <cellStyle name="Normal 15 2 5 2 2" xfId="15819"/>
    <cellStyle name="Normal 15 2 5 3" xfId="7593"/>
    <cellStyle name="Normal 15 2 5 3 2" xfId="14238"/>
    <cellStyle name="Normal 15 2 5 4" xfId="12464"/>
    <cellStyle name="Normal 15 2 6" xfId="9782"/>
    <cellStyle name="Normal 15 2 6 2" xfId="16273"/>
    <cellStyle name="Normal 15 2 7" xfId="8032"/>
    <cellStyle name="Normal 15 2 7 2" xfId="14632"/>
    <cellStyle name="Normal 15 2 8" xfId="6305"/>
    <cellStyle name="Normal 15 2 8 2" xfId="13028"/>
    <cellStyle name="Normal 15 2 9" xfId="11247"/>
    <cellStyle name="Normal 15 3" xfId="4507"/>
    <cellStyle name="Normal 15 3 2" xfId="4909"/>
    <cellStyle name="Normal 15 3 2 2" xfId="8652"/>
    <cellStyle name="Normal 15 3 2 2 2" xfId="15200"/>
    <cellStyle name="Normal 15 3 2 3" xfId="6933"/>
    <cellStyle name="Normal 15 3 2 3 2" xfId="13619"/>
    <cellStyle name="Normal 15 3 2 4" xfId="11834"/>
    <cellStyle name="Normal 15 3 3" xfId="5334"/>
    <cellStyle name="Normal 15 3 3 2" xfId="9077"/>
    <cellStyle name="Normal 15 3 3 2 2" xfId="15621"/>
    <cellStyle name="Normal 15 3 3 3" xfId="7358"/>
    <cellStyle name="Normal 15 3 3 3 2" xfId="14040"/>
    <cellStyle name="Normal 15 3 3 4" xfId="12255"/>
    <cellStyle name="Normal 15 3 4" xfId="5772"/>
    <cellStyle name="Normal 15 3 4 2" xfId="9513"/>
    <cellStyle name="Normal 15 3 4 2 2" xfId="16015"/>
    <cellStyle name="Normal 15 3 4 3" xfId="7794"/>
    <cellStyle name="Normal 15 3 4 3 2" xfId="14434"/>
    <cellStyle name="Normal 15 3 4 4" xfId="12665"/>
    <cellStyle name="Normal 15 3 5" xfId="9905"/>
    <cellStyle name="Normal 15 3 5 2" xfId="16386"/>
    <cellStyle name="Normal 15 3 6" xfId="8271"/>
    <cellStyle name="Normal 15 3 6 2" xfId="14828"/>
    <cellStyle name="Normal 15 3 7" xfId="6552"/>
    <cellStyle name="Normal 15 3 7 2" xfId="13242"/>
    <cellStyle name="Normal 15 3 8" xfId="11452"/>
    <cellStyle name="Normal 15 4" xfId="4710"/>
    <cellStyle name="Normal 15 4 2" xfId="8454"/>
    <cellStyle name="Normal 15 4 2 2" xfId="15006"/>
    <cellStyle name="Normal 15 4 3" xfId="6735"/>
    <cellStyle name="Normal 15 4 3 2" xfId="13425"/>
    <cellStyle name="Normal 15 4 4" xfId="11639"/>
    <cellStyle name="Normal 15 5" xfId="5137"/>
    <cellStyle name="Normal 15 5 2" xfId="8880"/>
    <cellStyle name="Normal 15 5 2 2" xfId="15424"/>
    <cellStyle name="Normal 15 5 3" xfId="7161"/>
    <cellStyle name="Normal 15 5 3 2" xfId="13843"/>
    <cellStyle name="Normal 15 5 4" xfId="12058"/>
    <cellStyle name="Normal 15 6" xfId="5570"/>
    <cellStyle name="Normal 15 6 2" xfId="9311"/>
    <cellStyle name="Normal 15 6 2 2" xfId="15818"/>
    <cellStyle name="Normal 15 6 3" xfId="7592"/>
    <cellStyle name="Normal 15 6 3 2" xfId="14237"/>
    <cellStyle name="Normal 15 6 4" xfId="12463"/>
    <cellStyle name="Normal 15 7" xfId="9698"/>
    <cellStyle name="Normal 15 7 2" xfId="16191"/>
    <cellStyle name="Normal 15 8" xfId="8031"/>
    <cellStyle name="Normal 15 8 2" xfId="14631"/>
    <cellStyle name="Normal 15 9" xfId="6304"/>
    <cellStyle name="Normal 15 9 2" xfId="13027"/>
    <cellStyle name="Normal 16" xfId="4097"/>
    <cellStyle name="Normal 16 10" xfId="11248"/>
    <cellStyle name="Normal 16 2" xfId="4098"/>
    <cellStyle name="Normal 16 2 2" xfId="4510"/>
    <cellStyle name="Normal 16 2 2 2" xfId="4910"/>
    <cellStyle name="Normal 16 2 2 2 2" xfId="8653"/>
    <cellStyle name="Normal 16 2 2 2 2 2" xfId="15201"/>
    <cellStyle name="Normal 16 2 2 2 3" xfId="6934"/>
    <cellStyle name="Normal 16 2 2 2 3 2" xfId="13620"/>
    <cellStyle name="Normal 16 2 2 2 4" xfId="11835"/>
    <cellStyle name="Normal 16 2 2 3" xfId="5337"/>
    <cellStyle name="Normal 16 2 2 3 2" xfId="9080"/>
    <cellStyle name="Normal 16 2 2 3 2 2" xfId="15624"/>
    <cellStyle name="Normal 16 2 2 3 3" xfId="7361"/>
    <cellStyle name="Normal 16 2 2 3 3 2" xfId="14043"/>
    <cellStyle name="Normal 16 2 2 3 4" xfId="12258"/>
    <cellStyle name="Normal 16 2 2 4" xfId="5775"/>
    <cellStyle name="Normal 16 2 2 4 2" xfId="9516"/>
    <cellStyle name="Normal 16 2 2 4 2 2" xfId="16018"/>
    <cellStyle name="Normal 16 2 2 4 3" xfId="7797"/>
    <cellStyle name="Normal 16 2 2 4 3 2" xfId="14437"/>
    <cellStyle name="Normal 16 2 2 4 4" xfId="12668"/>
    <cellStyle name="Normal 16 2 2 5" xfId="9906"/>
    <cellStyle name="Normal 16 2 2 5 2" xfId="16387"/>
    <cellStyle name="Normal 16 2 2 6" xfId="8274"/>
    <cellStyle name="Normal 16 2 2 6 2" xfId="14831"/>
    <cellStyle name="Normal 16 2 2 7" xfId="6555"/>
    <cellStyle name="Normal 16 2 2 7 2" xfId="13245"/>
    <cellStyle name="Normal 16 2 2 8" xfId="11455"/>
    <cellStyle name="Normal 16 2 3" xfId="4793"/>
    <cellStyle name="Normal 16 2 3 2" xfId="8536"/>
    <cellStyle name="Normal 16 2 3 2 2" xfId="15088"/>
    <cellStyle name="Normal 16 2 3 3" xfId="6817"/>
    <cellStyle name="Normal 16 2 3 3 2" xfId="13507"/>
    <cellStyle name="Normal 16 2 3 4" xfId="11722"/>
    <cellStyle name="Normal 16 2 4" xfId="5140"/>
    <cellStyle name="Normal 16 2 4 2" xfId="8883"/>
    <cellStyle name="Normal 16 2 4 2 2" xfId="15427"/>
    <cellStyle name="Normal 16 2 4 3" xfId="7164"/>
    <cellStyle name="Normal 16 2 4 3 2" xfId="13846"/>
    <cellStyle name="Normal 16 2 4 4" xfId="12061"/>
    <cellStyle name="Normal 16 2 5" xfId="5573"/>
    <cellStyle name="Normal 16 2 5 2" xfId="9314"/>
    <cellStyle name="Normal 16 2 5 2 2" xfId="15821"/>
    <cellStyle name="Normal 16 2 5 3" xfId="7595"/>
    <cellStyle name="Normal 16 2 5 3 2" xfId="14240"/>
    <cellStyle name="Normal 16 2 5 4" xfId="12466"/>
    <cellStyle name="Normal 16 2 6" xfId="9783"/>
    <cellStyle name="Normal 16 2 6 2" xfId="16274"/>
    <cellStyle name="Normal 16 2 7" xfId="8034"/>
    <cellStyle name="Normal 16 2 7 2" xfId="14634"/>
    <cellStyle name="Normal 16 2 8" xfId="6307"/>
    <cellStyle name="Normal 16 2 8 2" xfId="13030"/>
    <cellStyle name="Normal 16 2 9" xfId="11249"/>
    <cellStyle name="Normal 16 3" xfId="4509"/>
    <cellStyle name="Normal 16 3 2" xfId="4911"/>
    <cellStyle name="Normal 16 3 2 2" xfId="8654"/>
    <cellStyle name="Normal 16 3 2 2 2" xfId="15202"/>
    <cellStyle name="Normal 16 3 2 3" xfId="6935"/>
    <cellStyle name="Normal 16 3 2 3 2" xfId="13621"/>
    <cellStyle name="Normal 16 3 2 4" xfId="11836"/>
    <cellStyle name="Normal 16 3 3" xfId="5336"/>
    <cellStyle name="Normal 16 3 3 2" xfId="9079"/>
    <cellStyle name="Normal 16 3 3 2 2" xfId="15623"/>
    <cellStyle name="Normal 16 3 3 3" xfId="7360"/>
    <cellStyle name="Normal 16 3 3 3 2" xfId="14042"/>
    <cellStyle name="Normal 16 3 3 4" xfId="12257"/>
    <cellStyle name="Normal 16 3 4" xfId="5774"/>
    <cellStyle name="Normal 16 3 4 2" xfId="9515"/>
    <cellStyle name="Normal 16 3 4 2 2" xfId="16017"/>
    <cellStyle name="Normal 16 3 4 3" xfId="7796"/>
    <cellStyle name="Normal 16 3 4 3 2" xfId="14436"/>
    <cellStyle name="Normal 16 3 4 4" xfId="12667"/>
    <cellStyle name="Normal 16 3 5" xfId="9907"/>
    <cellStyle name="Normal 16 3 5 2" xfId="16388"/>
    <cellStyle name="Normal 16 3 6" xfId="8273"/>
    <cellStyle name="Normal 16 3 6 2" xfId="14830"/>
    <cellStyle name="Normal 16 3 7" xfId="6554"/>
    <cellStyle name="Normal 16 3 7 2" xfId="13244"/>
    <cellStyle name="Normal 16 3 8" xfId="11454"/>
    <cellStyle name="Normal 16 4" xfId="4711"/>
    <cellStyle name="Normal 16 4 2" xfId="8455"/>
    <cellStyle name="Normal 16 4 2 2" xfId="15007"/>
    <cellStyle name="Normal 16 4 3" xfId="6736"/>
    <cellStyle name="Normal 16 4 3 2" xfId="13426"/>
    <cellStyle name="Normal 16 4 4" xfId="11640"/>
    <cellStyle name="Normal 16 5" xfId="5139"/>
    <cellStyle name="Normal 16 5 2" xfId="8882"/>
    <cellStyle name="Normal 16 5 2 2" xfId="15426"/>
    <cellStyle name="Normal 16 5 3" xfId="7163"/>
    <cellStyle name="Normal 16 5 3 2" xfId="13845"/>
    <cellStyle name="Normal 16 5 4" xfId="12060"/>
    <cellStyle name="Normal 16 6" xfId="5572"/>
    <cellStyle name="Normal 16 6 2" xfId="9313"/>
    <cellStyle name="Normal 16 6 2 2" xfId="15820"/>
    <cellStyle name="Normal 16 6 3" xfId="7594"/>
    <cellStyle name="Normal 16 6 3 2" xfId="14239"/>
    <cellStyle name="Normal 16 6 4" xfId="12465"/>
    <cellStyle name="Normal 16 7" xfId="9699"/>
    <cellStyle name="Normal 16 7 2" xfId="16192"/>
    <cellStyle name="Normal 16 8" xfId="8033"/>
    <cellStyle name="Normal 16 8 2" xfId="14633"/>
    <cellStyle name="Normal 16 9" xfId="6306"/>
    <cellStyle name="Normal 16 9 2" xfId="13029"/>
    <cellStyle name="Normal 17" xfId="4099"/>
    <cellStyle name="Normal 17 10" xfId="11250"/>
    <cellStyle name="Normal 17 2" xfId="4100"/>
    <cellStyle name="Normal 17 2 2" xfId="4512"/>
    <cellStyle name="Normal 17 2 2 2" xfId="4912"/>
    <cellStyle name="Normal 17 2 2 2 2" xfId="8655"/>
    <cellStyle name="Normal 17 2 2 2 2 2" xfId="15203"/>
    <cellStyle name="Normal 17 2 2 2 3" xfId="6936"/>
    <cellStyle name="Normal 17 2 2 2 3 2" xfId="13622"/>
    <cellStyle name="Normal 17 2 2 2 4" xfId="11837"/>
    <cellStyle name="Normal 17 2 2 3" xfId="5339"/>
    <cellStyle name="Normal 17 2 2 3 2" xfId="9082"/>
    <cellStyle name="Normal 17 2 2 3 2 2" xfId="15626"/>
    <cellStyle name="Normal 17 2 2 3 3" xfId="7363"/>
    <cellStyle name="Normal 17 2 2 3 3 2" xfId="14045"/>
    <cellStyle name="Normal 17 2 2 3 4" xfId="12260"/>
    <cellStyle name="Normal 17 2 2 4" xfId="5777"/>
    <cellStyle name="Normal 17 2 2 4 2" xfId="9518"/>
    <cellStyle name="Normal 17 2 2 4 2 2" xfId="16020"/>
    <cellStyle name="Normal 17 2 2 4 3" xfId="7799"/>
    <cellStyle name="Normal 17 2 2 4 3 2" xfId="14439"/>
    <cellStyle name="Normal 17 2 2 4 4" xfId="12670"/>
    <cellStyle name="Normal 17 2 2 5" xfId="9908"/>
    <cellStyle name="Normal 17 2 2 5 2" xfId="16389"/>
    <cellStyle name="Normal 17 2 2 6" xfId="8276"/>
    <cellStyle name="Normal 17 2 2 6 2" xfId="14833"/>
    <cellStyle name="Normal 17 2 2 7" xfId="6557"/>
    <cellStyle name="Normal 17 2 2 7 2" xfId="13247"/>
    <cellStyle name="Normal 17 2 2 8" xfId="11457"/>
    <cellStyle name="Normal 17 2 3" xfId="4795"/>
    <cellStyle name="Normal 17 2 3 2" xfId="8538"/>
    <cellStyle name="Normal 17 2 3 2 2" xfId="15090"/>
    <cellStyle name="Normal 17 2 3 3" xfId="6819"/>
    <cellStyle name="Normal 17 2 3 3 2" xfId="13509"/>
    <cellStyle name="Normal 17 2 3 4" xfId="11724"/>
    <cellStyle name="Normal 17 2 4" xfId="5142"/>
    <cellStyle name="Normal 17 2 4 2" xfId="8885"/>
    <cellStyle name="Normal 17 2 4 2 2" xfId="15429"/>
    <cellStyle name="Normal 17 2 4 3" xfId="7166"/>
    <cellStyle name="Normal 17 2 4 3 2" xfId="13848"/>
    <cellStyle name="Normal 17 2 4 4" xfId="12063"/>
    <cellStyle name="Normal 17 2 5" xfId="5575"/>
    <cellStyle name="Normal 17 2 5 2" xfId="9316"/>
    <cellStyle name="Normal 17 2 5 2 2" xfId="15823"/>
    <cellStyle name="Normal 17 2 5 3" xfId="7597"/>
    <cellStyle name="Normal 17 2 5 3 2" xfId="14242"/>
    <cellStyle name="Normal 17 2 5 4" xfId="12468"/>
    <cellStyle name="Normal 17 2 6" xfId="9785"/>
    <cellStyle name="Normal 17 2 6 2" xfId="16276"/>
    <cellStyle name="Normal 17 2 7" xfId="8036"/>
    <cellStyle name="Normal 17 2 7 2" xfId="14636"/>
    <cellStyle name="Normal 17 2 8" xfId="6309"/>
    <cellStyle name="Normal 17 2 8 2" xfId="13032"/>
    <cellStyle name="Normal 17 2 9" xfId="11251"/>
    <cellStyle name="Normal 17 3" xfId="4511"/>
    <cellStyle name="Normal 17 3 2" xfId="4913"/>
    <cellStyle name="Normal 17 3 2 2" xfId="8656"/>
    <cellStyle name="Normal 17 3 2 2 2" xfId="15204"/>
    <cellStyle name="Normal 17 3 2 3" xfId="6937"/>
    <cellStyle name="Normal 17 3 2 3 2" xfId="13623"/>
    <cellStyle name="Normal 17 3 2 4" xfId="11838"/>
    <cellStyle name="Normal 17 3 3" xfId="5338"/>
    <cellStyle name="Normal 17 3 3 2" xfId="9081"/>
    <cellStyle name="Normal 17 3 3 2 2" xfId="15625"/>
    <cellStyle name="Normal 17 3 3 3" xfId="7362"/>
    <cellStyle name="Normal 17 3 3 3 2" xfId="14044"/>
    <cellStyle name="Normal 17 3 3 4" xfId="12259"/>
    <cellStyle name="Normal 17 3 4" xfId="5776"/>
    <cellStyle name="Normal 17 3 4 2" xfId="9517"/>
    <cellStyle name="Normal 17 3 4 2 2" xfId="16019"/>
    <cellStyle name="Normal 17 3 4 3" xfId="7798"/>
    <cellStyle name="Normal 17 3 4 3 2" xfId="14438"/>
    <cellStyle name="Normal 17 3 4 4" xfId="12669"/>
    <cellStyle name="Normal 17 3 5" xfId="9909"/>
    <cellStyle name="Normal 17 3 5 2" xfId="16390"/>
    <cellStyle name="Normal 17 3 6" xfId="8275"/>
    <cellStyle name="Normal 17 3 6 2" xfId="14832"/>
    <cellStyle name="Normal 17 3 7" xfId="6556"/>
    <cellStyle name="Normal 17 3 7 2" xfId="13246"/>
    <cellStyle name="Normal 17 3 8" xfId="11456"/>
    <cellStyle name="Normal 17 4" xfId="4713"/>
    <cellStyle name="Normal 17 4 2" xfId="8457"/>
    <cellStyle name="Normal 17 4 2 2" xfId="15009"/>
    <cellStyle name="Normal 17 4 3" xfId="6738"/>
    <cellStyle name="Normal 17 4 3 2" xfId="13428"/>
    <cellStyle name="Normal 17 4 4" xfId="11642"/>
    <cellStyle name="Normal 17 5" xfId="5141"/>
    <cellStyle name="Normal 17 5 2" xfId="8884"/>
    <cellStyle name="Normal 17 5 2 2" xfId="15428"/>
    <cellStyle name="Normal 17 5 3" xfId="7165"/>
    <cellStyle name="Normal 17 5 3 2" xfId="13847"/>
    <cellStyle name="Normal 17 5 4" xfId="12062"/>
    <cellStyle name="Normal 17 6" xfId="5574"/>
    <cellStyle name="Normal 17 6 2" xfId="9315"/>
    <cellStyle name="Normal 17 6 2 2" xfId="15822"/>
    <cellStyle name="Normal 17 6 3" xfId="7596"/>
    <cellStyle name="Normal 17 6 3 2" xfId="14241"/>
    <cellStyle name="Normal 17 6 4" xfId="12467"/>
    <cellStyle name="Normal 17 7" xfId="9701"/>
    <cellStyle name="Normal 17 7 2" xfId="16194"/>
    <cellStyle name="Normal 17 8" xfId="8035"/>
    <cellStyle name="Normal 17 8 2" xfId="14635"/>
    <cellStyle name="Normal 17 9" xfId="6308"/>
    <cellStyle name="Normal 17 9 2" xfId="13031"/>
    <cellStyle name="Normal 18" xfId="4101"/>
    <cellStyle name="Normal 18 10" xfId="11252"/>
    <cellStyle name="Normal 18 2" xfId="4102"/>
    <cellStyle name="Normal 18 2 2" xfId="4514"/>
    <cellStyle name="Normal 18 2 2 2" xfId="4914"/>
    <cellStyle name="Normal 18 2 2 2 2" xfId="8657"/>
    <cellStyle name="Normal 18 2 2 2 2 2" xfId="15205"/>
    <cellStyle name="Normal 18 2 2 2 3" xfId="6938"/>
    <cellStyle name="Normal 18 2 2 2 3 2" xfId="13624"/>
    <cellStyle name="Normal 18 2 2 2 4" xfId="11839"/>
    <cellStyle name="Normal 18 2 2 3" xfId="5341"/>
    <cellStyle name="Normal 18 2 2 3 2" xfId="9084"/>
    <cellStyle name="Normal 18 2 2 3 2 2" xfId="15628"/>
    <cellStyle name="Normal 18 2 2 3 3" xfId="7365"/>
    <cellStyle name="Normal 18 2 2 3 3 2" xfId="14047"/>
    <cellStyle name="Normal 18 2 2 3 4" xfId="12262"/>
    <cellStyle name="Normal 18 2 2 4" xfId="5779"/>
    <cellStyle name="Normal 18 2 2 4 2" xfId="9520"/>
    <cellStyle name="Normal 18 2 2 4 2 2" xfId="16022"/>
    <cellStyle name="Normal 18 2 2 4 3" xfId="7801"/>
    <cellStyle name="Normal 18 2 2 4 3 2" xfId="14441"/>
    <cellStyle name="Normal 18 2 2 4 4" xfId="12672"/>
    <cellStyle name="Normal 18 2 2 5" xfId="9910"/>
    <cellStyle name="Normal 18 2 2 5 2" xfId="16391"/>
    <cellStyle name="Normal 18 2 2 6" xfId="8278"/>
    <cellStyle name="Normal 18 2 2 6 2" xfId="14835"/>
    <cellStyle name="Normal 18 2 2 7" xfId="6559"/>
    <cellStyle name="Normal 18 2 2 7 2" xfId="13249"/>
    <cellStyle name="Normal 18 2 2 8" xfId="11459"/>
    <cellStyle name="Normal 18 2 3" xfId="4798"/>
    <cellStyle name="Normal 18 2 3 2" xfId="8541"/>
    <cellStyle name="Normal 18 2 3 2 2" xfId="15093"/>
    <cellStyle name="Normal 18 2 3 3" xfId="6822"/>
    <cellStyle name="Normal 18 2 3 3 2" xfId="13512"/>
    <cellStyle name="Normal 18 2 3 4" xfId="11727"/>
    <cellStyle name="Normal 18 2 4" xfId="5144"/>
    <cellStyle name="Normal 18 2 4 2" xfId="8887"/>
    <cellStyle name="Normal 18 2 4 2 2" xfId="15431"/>
    <cellStyle name="Normal 18 2 4 3" xfId="7168"/>
    <cellStyle name="Normal 18 2 4 3 2" xfId="13850"/>
    <cellStyle name="Normal 18 2 4 4" xfId="12065"/>
    <cellStyle name="Normal 18 2 5" xfId="5577"/>
    <cellStyle name="Normal 18 2 5 2" xfId="9318"/>
    <cellStyle name="Normal 18 2 5 2 2" xfId="15825"/>
    <cellStyle name="Normal 18 2 5 3" xfId="7599"/>
    <cellStyle name="Normal 18 2 5 3 2" xfId="14244"/>
    <cellStyle name="Normal 18 2 5 4" xfId="12470"/>
    <cellStyle name="Normal 18 2 6" xfId="9788"/>
    <cellStyle name="Normal 18 2 6 2" xfId="16279"/>
    <cellStyle name="Normal 18 2 7" xfId="8038"/>
    <cellStyle name="Normal 18 2 7 2" xfId="14638"/>
    <cellStyle name="Normal 18 2 8" xfId="6311"/>
    <cellStyle name="Normal 18 2 8 2" xfId="13034"/>
    <cellStyle name="Normal 18 2 9" xfId="11253"/>
    <cellStyle name="Normal 18 3" xfId="4513"/>
    <cellStyle name="Normal 18 3 2" xfId="4915"/>
    <cellStyle name="Normal 18 3 2 2" xfId="8658"/>
    <cellStyle name="Normal 18 3 2 2 2" xfId="15206"/>
    <cellStyle name="Normal 18 3 2 3" xfId="6939"/>
    <cellStyle name="Normal 18 3 2 3 2" xfId="13625"/>
    <cellStyle name="Normal 18 3 2 4" xfId="11840"/>
    <cellStyle name="Normal 18 3 3" xfId="5340"/>
    <cellStyle name="Normal 18 3 3 2" xfId="9083"/>
    <cellStyle name="Normal 18 3 3 2 2" xfId="15627"/>
    <cellStyle name="Normal 18 3 3 3" xfId="7364"/>
    <cellStyle name="Normal 18 3 3 3 2" xfId="14046"/>
    <cellStyle name="Normal 18 3 3 4" xfId="12261"/>
    <cellStyle name="Normal 18 3 4" xfId="5778"/>
    <cellStyle name="Normal 18 3 4 2" xfId="9519"/>
    <cellStyle name="Normal 18 3 4 2 2" xfId="16021"/>
    <cellStyle name="Normal 18 3 4 3" xfId="7800"/>
    <cellStyle name="Normal 18 3 4 3 2" xfId="14440"/>
    <cellStyle name="Normal 18 3 4 4" xfId="12671"/>
    <cellStyle name="Normal 18 3 5" xfId="9911"/>
    <cellStyle name="Normal 18 3 5 2" xfId="16392"/>
    <cellStyle name="Normal 18 3 6" xfId="8277"/>
    <cellStyle name="Normal 18 3 6 2" xfId="14834"/>
    <cellStyle name="Normal 18 3 7" xfId="6558"/>
    <cellStyle name="Normal 18 3 7 2" xfId="13248"/>
    <cellStyle name="Normal 18 3 8" xfId="11458"/>
    <cellStyle name="Normal 18 4" xfId="4716"/>
    <cellStyle name="Normal 18 4 2" xfId="8460"/>
    <cellStyle name="Normal 18 4 2 2" xfId="15012"/>
    <cellStyle name="Normal 18 4 3" xfId="6741"/>
    <cellStyle name="Normal 18 4 3 2" xfId="13431"/>
    <cellStyle name="Normal 18 4 4" xfId="11645"/>
    <cellStyle name="Normal 18 5" xfId="5143"/>
    <cellStyle name="Normal 18 5 2" xfId="8886"/>
    <cellStyle name="Normal 18 5 2 2" xfId="15430"/>
    <cellStyle name="Normal 18 5 3" xfId="7167"/>
    <cellStyle name="Normal 18 5 3 2" xfId="13849"/>
    <cellStyle name="Normal 18 5 4" xfId="12064"/>
    <cellStyle name="Normal 18 6" xfId="5576"/>
    <cellStyle name="Normal 18 6 2" xfId="9317"/>
    <cellStyle name="Normal 18 6 2 2" xfId="15824"/>
    <cellStyle name="Normal 18 6 3" xfId="7598"/>
    <cellStyle name="Normal 18 6 3 2" xfId="14243"/>
    <cellStyle name="Normal 18 6 4" xfId="12469"/>
    <cellStyle name="Normal 18 7" xfId="9704"/>
    <cellStyle name="Normal 18 7 2" xfId="16197"/>
    <cellStyle name="Normal 18 8" xfId="8037"/>
    <cellStyle name="Normal 18 8 2" xfId="14637"/>
    <cellStyle name="Normal 18 9" xfId="6310"/>
    <cellStyle name="Normal 18 9 2" xfId="13033"/>
    <cellStyle name="Normal 19" xfId="4103"/>
    <cellStyle name="Normal 19 10" xfId="11254"/>
    <cellStyle name="Normal 19 2" xfId="4104"/>
    <cellStyle name="Normal 19 2 2" xfId="4516"/>
    <cellStyle name="Normal 19 2 2 2" xfId="4916"/>
    <cellStyle name="Normal 19 2 2 2 2" xfId="8659"/>
    <cellStyle name="Normal 19 2 2 2 2 2" xfId="15207"/>
    <cellStyle name="Normal 19 2 2 2 3" xfId="6940"/>
    <cellStyle name="Normal 19 2 2 2 3 2" xfId="13626"/>
    <cellStyle name="Normal 19 2 2 2 4" xfId="11841"/>
    <cellStyle name="Normal 19 2 2 3" xfId="5343"/>
    <cellStyle name="Normal 19 2 2 3 2" xfId="9086"/>
    <cellStyle name="Normal 19 2 2 3 2 2" xfId="15630"/>
    <cellStyle name="Normal 19 2 2 3 3" xfId="7367"/>
    <cellStyle name="Normal 19 2 2 3 3 2" xfId="14049"/>
    <cellStyle name="Normal 19 2 2 3 4" xfId="12264"/>
    <cellStyle name="Normal 19 2 2 4" xfId="5781"/>
    <cellStyle name="Normal 19 2 2 4 2" xfId="9522"/>
    <cellStyle name="Normal 19 2 2 4 2 2" xfId="16024"/>
    <cellStyle name="Normal 19 2 2 4 3" xfId="7803"/>
    <cellStyle name="Normal 19 2 2 4 3 2" xfId="14443"/>
    <cellStyle name="Normal 19 2 2 4 4" xfId="12674"/>
    <cellStyle name="Normal 19 2 2 5" xfId="9912"/>
    <cellStyle name="Normal 19 2 2 5 2" xfId="16393"/>
    <cellStyle name="Normal 19 2 2 6" xfId="8280"/>
    <cellStyle name="Normal 19 2 2 6 2" xfId="14837"/>
    <cellStyle name="Normal 19 2 2 7" xfId="6561"/>
    <cellStyle name="Normal 19 2 2 7 2" xfId="13251"/>
    <cellStyle name="Normal 19 2 2 8" xfId="11461"/>
    <cellStyle name="Normal 19 2 3" xfId="4800"/>
    <cellStyle name="Normal 19 2 3 2" xfId="8543"/>
    <cellStyle name="Normal 19 2 3 2 2" xfId="15095"/>
    <cellStyle name="Normal 19 2 3 3" xfId="6824"/>
    <cellStyle name="Normal 19 2 3 3 2" xfId="13514"/>
    <cellStyle name="Normal 19 2 3 4" xfId="11729"/>
    <cellStyle name="Normal 19 2 4" xfId="5146"/>
    <cellStyle name="Normal 19 2 4 2" xfId="8889"/>
    <cellStyle name="Normal 19 2 4 2 2" xfId="15433"/>
    <cellStyle name="Normal 19 2 4 3" xfId="7170"/>
    <cellStyle name="Normal 19 2 4 3 2" xfId="13852"/>
    <cellStyle name="Normal 19 2 4 4" xfId="12067"/>
    <cellStyle name="Normal 19 2 5" xfId="5579"/>
    <cellStyle name="Normal 19 2 5 2" xfId="9320"/>
    <cellStyle name="Normal 19 2 5 2 2" xfId="15827"/>
    <cellStyle name="Normal 19 2 5 3" xfId="7601"/>
    <cellStyle name="Normal 19 2 5 3 2" xfId="14246"/>
    <cellStyle name="Normal 19 2 5 4" xfId="12472"/>
    <cellStyle name="Normal 19 2 6" xfId="9790"/>
    <cellStyle name="Normal 19 2 6 2" xfId="16281"/>
    <cellStyle name="Normal 19 2 7" xfId="8040"/>
    <cellStyle name="Normal 19 2 7 2" xfId="14640"/>
    <cellStyle name="Normal 19 2 8" xfId="6313"/>
    <cellStyle name="Normal 19 2 8 2" xfId="13036"/>
    <cellStyle name="Normal 19 2 9" xfId="11255"/>
    <cellStyle name="Normal 19 3" xfId="4515"/>
    <cellStyle name="Normal 19 3 2" xfId="4917"/>
    <cellStyle name="Normal 19 3 2 2" xfId="8660"/>
    <cellStyle name="Normal 19 3 2 2 2" xfId="15208"/>
    <cellStyle name="Normal 19 3 2 3" xfId="6941"/>
    <cellStyle name="Normal 19 3 2 3 2" xfId="13627"/>
    <cellStyle name="Normal 19 3 2 4" xfId="11842"/>
    <cellStyle name="Normal 19 3 3" xfId="5342"/>
    <cellStyle name="Normal 19 3 3 2" xfId="9085"/>
    <cellStyle name="Normal 19 3 3 2 2" xfId="15629"/>
    <cellStyle name="Normal 19 3 3 3" xfId="7366"/>
    <cellStyle name="Normal 19 3 3 3 2" xfId="14048"/>
    <cellStyle name="Normal 19 3 3 4" xfId="12263"/>
    <cellStyle name="Normal 19 3 4" xfId="5780"/>
    <cellStyle name="Normal 19 3 4 2" xfId="9521"/>
    <cellStyle name="Normal 19 3 4 2 2" xfId="16023"/>
    <cellStyle name="Normal 19 3 4 3" xfId="7802"/>
    <cellStyle name="Normal 19 3 4 3 2" xfId="14442"/>
    <cellStyle name="Normal 19 3 4 4" xfId="12673"/>
    <cellStyle name="Normal 19 3 5" xfId="9913"/>
    <cellStyle name="Normal 19 3 5 2" xfId="16394"/>
    <cellStyle name="Normal 19 3 6" xfId="8279"/>
    <cellStyle name="Normal 19 3 6 2" xfId="14836"/>
    <cellStyle name="Normal 19 3 7" xfId="6560"/>
    <cellStyle name="Normal 19 3 7 2" xfId="13250"/>
    <cellStyle name="Normal 19 3 8" xfId="11460"/>
    <cellStyle name="Normal 19 4" xfId="4718"/>
    <cellStyle name="Normal 19 4 2" xfId="8462"/>
    <cellStyle name="Normal 19 4 2 2" xfId="15014"/>
    <cellStyle name="Normal 19 4 3" xfId="6743"/>
    <cellStyle name="Normal 19 4 3 2" xfId="13433"/>
    <cellStyle name="Normal 19 4 4" xfId="11647"/>
    <cellStyle name="Normal 19 5" xfId="5145"/>
    <cellStyle name="Normal 19 5 2" xfId="8888"/>
    <cellStyle name="Normal 19 5 2 2" xfId="15432"/>
    <cellStyle name="Normal 19 5 3" xfId="7169"/>
    <cellStyle name="Normal 19 5 3 2" xfId="13851"/>
    <cellStyle name="Normal 19 5 4" xfId="12066"/>
    <cellStyle name="Normal 19 6" xfId="5578"/>
    <cellStyle name="Normal 19 6 2" xfId="9319"/>
    <cellStyle name="Normal 19 6 2 2" xfId="15826"/>
    <cellStyle name="Normal 19 6 3" xfId="7600"/>
    <cellStyle name="Normal 19 6 3 2" xfId="14245"/>
    <cellStyle name="Normal 19 6 4" xfId="12471"/>
    <cellStyle name="Normal 19 7" xfId="9706"/>
    <cellStyle name="Normal 19 7 2" xfId="16199"/>
    <cellStyle name="Normal 19 8" xfId="8039"/>
    <cellStyle name="Normal 19 8 2" xfId="14639"/>
    <cellStyle name="Normal 19 9" xfId="6312"/>
    <cellStyle name="Normal 19 9 2" xfId="13035"/>
    <cellStyle name="Normal 2" xfId="5"/>
    <cellStyle name="Normal 2 10" xfId="7933"/>
    <cellStyle name="Normal 2 10 2" xfId="14573"/>
    <cellStyle name="Normal 2 11" xfId="5912"/>
    <cellStyle name="Normal 2 11 2" xfId="12805"/>
    <cellStyle name="Normal 2 12" xfId="10244"/>
    <cellStyle name="Normal 2 2" xfId="6"/>
    <cellStyle name="Normal 2 2 10" xfId="5076"/>
    <cellStyle name="Normal 2 2 10 2" xfId="8819"/>
    <cellStyle name="Normal 2 2 10 2 2" xfId="15367"/>
    <cellStyle name="Normal 2 2 10 3" xfId="7100"/>
    <cellStyle name="Normal 2 2 10 3 2" xfId="13786"/>
    <cellStyle name="Normal 2 2 10 4" xfId="12001"/>
    <cellStyle name="Normal 2 2 11" xfId="5513"/>
    <cellStyle name="Normal 2 2 11 2" xfId="9254"/>
    <cellStyle name="Normal 2 2 11 2 2" xfId="15761"/>
    <cellStyle name="Normal 2 2 11 3" xfId="7535"/>
    <cellStyle name="Normal 2 2 11 3 2" xfId="14180"/>
    <cellStyle name="Normal 2 2 11 4" xfId="12406"/>
    <cellStyle name="Normal 2 2 12" xfId="9657"/>
    <cellStyle name="Normal 2 2 12 2" xfId="16159"/>
    <cellStyle name="Normal 2 2 13" xfId="7934"/>
    <cellStyle name="Normal 2 2 13 2" xfId="14574"/>
    <cellStyle name="Normal 2 2 14" xfId="5913"/>
    <cellStyle name="Normal 2 2 14 2" xfId="12806"/>
    <cellStyle name="Normal 2 2 15" xfId="10245"/>
    <cellStyle name="Normal 2 2 16" xfId="16628"/>
    <cellStyle name="Normal 2 2 2" xfId="17"/>
    <cellStyle name="Normal 2 2 2 10" xfId="7939"/>
    <cellStyle name="Normal 2 2 2 10 2" xfId="14579"/>
    <cellStyle name="Normal 2 2 2 11" xfId="5918"/>
    <cellStyle name="Normal 2 2 2 11 2" xfId="12811"/>
    <cellStyle name="Normal 2 2 2 12" xfId="10253"/>
    <cellStyle name="Normal 2 2 2 2" xfId="39"/>
    <cellStyle name="Normal 2 2 2 2 10" xfId="5937"/>
    <cellStyle name="Normal 2 2 2 2 10 2" xfId="12830"/>
    <cellStyle name="Normal 2 2 2 2 11" xfId="10272"/>
    <cellStyle name="Normal 2 2 2 2 2" xfId="4105"/>
    <cellStyle name="Normal 2 2 2 2 2 2" xfId="4517"/>
    <cellStyle name="Normal 2 2 2 2 2 2 2" xfId="4918"/>
    <cellStyle name="Normal 2 2 2 2 2 2 2 2" xfId="8661"/>
    <cellStyle name="Normal 2 2 2 2 2 2 2 2 2" xfId="15209"/>
    <cellStyle name="Normal 2 2 2 2 2 2 2 3" xfId="6942"/>
    <cellStyle name="Normal 2 2 2 2 2 2 2 3 2" xfId="13628"/>
    <cellStyle name="Normal 2 2 2 2 2 2 2 4" xfId="11843"/>
    <cellStyle name="Normal 2 2 2 2 2 2 3" xfId="5344"/>
    <cellStyle name="Normal 2 2 2 2 2 2 3 2" xfId="9087"/>
    <cellStyle name="Normal 2 2 2 2 2 2 3 2 2" xfId="15631"/>
    <cellStyle name="Normal 2 2 2 2 2 2 3 3" xfId="7368"/>
    <cellStyle name="Normal 2 2 2 2 2 2 3 3 2" xfId="14050"/>
    <cellStyle name="Normal 2 2 2 2 2 2 3 4" xfId="12265"/>
    <cellStyle name="Normal 2 2 2 2 2 2 4" xfId="5782"/>
    <cellStyle name="Normal 2 2 2 2 2 2 4 2" xfId="9523"/>
    <cellStyle name="Normal 2 2 2 2 2 2 4 2 2" xfId="16025"/>
    <cellStyle name="Normal 2 2 2 2 2 2 4 3" xfId="7804"/>
    <cellStyle name="Normal 2 2 2 2 2 2 4 3 2" xfId="14444"/>
    <cellStyle name="Normal 2 2 2 2 2 2 4 4" xfId="12675"/>
    <cellStyle name="Normal 2 2 2 2 2 2 5" xfId="9914"/>
    <cellStyle name="Normal 2 2 2 2 2 2 5 2" xfId="16395"/>
    <cellStyle name="Normal 2 2 2 2 2 2 6" xfId="8281"/>
    <cellStyle name="Normal 2 2 2 2 2 2 6 2" xfId="14838"/>
    <cellStyle name="Normal 2 2 2 2 2 2 7" xfId="6562"/>
    <cellStyle name="Normal 2 2 2 2 2 2 7 2" xfId="13252"/>
    <cellStyle name="Normal 2 2 2 2 2 2 8" xfId="11462"/>
    <cellStyle name="Normal 2 2 2 2 2 24" xfId="4106"/>
    <cellStyle name="Normal 2 2 2 2 2 24 10" xfId="9680"/>
    <cellStyle name="Normal 2 2 2 2 2 24 10 2" xfId="16180"/>
    <cellStyle name="Normal 2 2 2 2 2 24 11" xfId="8042"/>
    <cellStyle name="Normal 2 2 2 2 2 24 11 2" xfId="14642"/>
    <cellStyle name="Normal 2 2 2 2 2 24 12" xfId="6315"/>
    <cellStyle name="Normal 2 2 2 2 2 24 12 2" xfId="13038"/>
    <cellStyle name="Normal 2 2 2 2 2 24 13" xfId="11257"/>
    <cellStyle name="Normal 2 2 2 2 2 24 2" xfId="4107"/>
    <cellStyle name="Normal 2 2 2 2 2 24 2 2" xfId="4519"/>
    <cellStyle name="Normal 2 2 2 2 2 24 2 2 2" xfId="4919"/>
    <cellStyle name="Normal 2 2 2 2 2 24 2 2 2 2" xfId="8662"/>
    <cellStyle name="Normal 2 2 2 2 2 24 2 2 2 2 2" xfId="15210"/>
    <cellStyle name="Normal 2 2 2 2 2 24 2 2 2 3" xfId="6943"/>
    <cellStyle name="Normal 2 2 2 2 2 24 2 2 2 3 2" xfId="13629"/>
    <cellStyle name="Normal 2 2 2 2 2 24 2 2 2 4" xfId="11844"/>
    <cellStyle name="Normal 2 2 2 2 2 24 2 2 3" xfId="5346"/>
    <cellStyle name="Normal 2 2 2 2 2 24 2 2 3 2" xfId="9089"/>
    <cellStyle name="Normal 2 2 2 2 2 24 2 2 3 2 2" xfId="15633"/>
    <cellStyle name="Normal 2 2 2 2 2 24 2 2 3 3" xfId="7370"/>
    <cellStyle name="Normal 2 2 2 2 2 24 2 2 3 3 2" xfId="14052"/>
    <cellStyle name="Normal 2 2 2 2 2 24 2 2 3 4" xfId="12267"/>
    <cellStyle name="Normal 2 2 2 2 2 24 2 2 4" xfId="5784"/>
    <cellStyle name="Normal 2 2 2 2 2 24 2 2 4 2" xfId="9525"/>
    <cellStyle name="Normal 2 2 2 2 2 24 2 2 4 2 2" xfId="16027"/>
    <cellStyle name="Normal 2 2 2 2 2 24 2 2 4 3" xfId="7806"/>
    <cellStyle name="Normal 2 2 2 2 2 24 2 2 4 3 2" xfId="14446"/>
    <cellStyle name="Normal 2 2 2 2 2 24 2 2 4 4" xfId="12677"/>
    <cellStyle name="Normal 2 2 2 2 2 24 2 2 5" xfId="9915"/>
    <cellStyle name="Normal 2 2 2 2 2 24 2 2 5 2" xfId="16396"/>
    <cellStyle name="Normal 2 2 2 2 2 24 2 2 6" xfId="8283"/>
    <cellStyle name="Normal 2 2 2 2 2 24 2 2 6 2" xfId="14840"/>
    <cellStyle name="Normal 2 2 2 2 2 24 2 2 7" xfId="6564"/>
    <cellStyle name="Normal 2 2 2 2 2 24 2 2 7 2" xfId="13254"/>
    <cellStyle name="Normal 2 2 2 2 2 24 2 2 8" xfId="11464"/>
    <cellStyle name="Normal 2 2 2 2 2 24 2 3" xfId="4760"/>
    <cellStyle name="Normal 2 2 2 2 2 24 2 3 2" xfId="8503"/>
    <cellStyle name="Normal 2 2 2 2 2 24 2 3 2 2" xfId="15055"/>
    <cellStyle name="Normal 2 2 2 2 2 24 2 3 3" xfId="6784"/>
    <cellStyle name="Normal 2 2 2 2 2 24 2 3 3 2" xfId="13474"/>
    <cellStyle name="Normal 2 2 2 2 2 24 2 3 4" xfId="11689"/>
    <cellStyle name="Normal 2 2 2 2 2 24 2 4" xfId="5149"/>
    <cellStyle name="Normal 2 2 2 2 2 24 2 4 2" xfId="8892"/>
    <cellStyle name="Normal 2 2 2 2 2 24 2 4 2 2" xfId="15436"/>
    <cellStyle name="Normal 2 2 2 2 2 24 2 4 3" xfId="7173"/>
    <cellStyle name="Normal 2 2 2 2 2 24 2 4 3 2" xfId="13855"/>
    <cellStyle name="Normal 2 2 2 2 2 24 2 4 4" xfId="12070"/>
    <cellStyle name="Normal 2 2 2 2 2 24 2 5" xfId="5582"/>
    <cellStyle name="Normal 2 2 2 2 2 24 2 5 2" xfId="9323"/>
    <cellStyle name="Normal 2 2 2 2 2 24 2 5 2 2" xfId="15830"/>
    <cellStyle name="Normal 2 2 2 2 2 24 2 5 3" xfId="7604"/>
    <cellStyle name="Normal 2 2 2 2 2 24 2 5 3 2" xfId="14249"/>
    <cellStyle name="Normal 2 2 2 2 2 24 2 5 4" xfId="12475"/>
    <cellStyle name="Normal 2 2 2 2 2 24 2 6" xfId="9750"/>
    <cellStyle name="Normal 2 2 2 2 2 24 2 6 2" xfId="16241"/>
    <cellStyle name="Normal 2 2 2 2 2 24 2 7" xfId="8043"/>
    <cellStyle name="Normal 2 2 2 2 2 24 2 7 2" xfId="14643"/>
    <cellStyle name="Normal 2 2 2 2 2 24 2 8" xfId="6316"/>
    <cellStyle name="Normal 2 2 2 2 2 24 2 8 2" xfId="13039"/>
    <cellStyle name="Normal 2 2 2 2 2 24 2 9" xfId="11258"/>
    <cellStyle name="Normal 2 2 2 2 2 24 3" xfId="4108"/>
    <cellStyle name="Normal 2 2 2 2 2 24 3 2" xfId="4520"/>
    <cellStyle name="Normal 2 2 2 2 2 24 3 2 2" xfId="4920"/>
    <cellStyle name="Normal 2 2 2 2 2 24 3 2 2 2" xfId="8663"/>
    <cellStyle name="Normal 2 2 2 2 2 24 3 2 2 2 2" xfId="15211"/>
    <cellStyle name="Normal 2 2 2 2 2 24 3 2 2 3" xfId="6944"/>
    <cellStyle name="Normal 2 2 2 2 2 24 3 2 2 3 2" xfId="13630"/>
    <cellStyle name="Normal 2 2 2 2 2 24 3 2 2 4" xfId="11845"/>
    <cellStyle name="Normal 2 2 2 2 2 24 3 2 3" xfId="5347"/>
    <cellStyle name="Normal 2 2 2 2 2 24 3 2 3 2" xfId="9090"/>
    <cellStyle name="Normal 2 2 2 2 2 24 3 2 3 2 2" xfId="15634"/>
    <cellStyle name="Normal 2 2 2 2 2 24 3 2 3 3" xfId="7371"/>
    <cellStyle name="Normal 2 2 2 2 2 24 3 2 3 3 2" xfId="14053"/>
    <cellStyle name="Normal 2 2 2 2 2 24 3 2 3 4" xfId="12268"/>
    <cellStyle name="Normal 2 2 2 2 2 24 3 2 4" xfId="5785"/>
    <cellStyle name="Normal 2 2 2 2 2 24 3 2 4 2" xfId="9526"/>
    <cellStyle name="Normal 2 2 2 2 2 24 3 2 4 2 2" xfId="16028"/>
    <cellStyle name="Normal 2 2 2 2 2 24 3 2 4 3" xfId="7807"/>
    <cellStyle name="Normal 2 2 2 2 2 24 3 2 4 3 2" xfId="14447"/>
    <cellStyle name="Normal 2 2 2 2 2 24 3 2 4 4" xfId="12678"/>
    <cellStyle name="Normal 2 2 2 2 2 24 3 2 5" xfId="9916"/>
    <cellStyle name="Normal 2 2 2 2 2 24 3 2 5 2" xfId="16397"/>
    <cellStyle name="Normal 2 2 2 2 2 24 3 2 6" xfId="8284"/>
    <cellStyle name="Normal 2 2 2 2 2 24 3 2 6 2" xfId="14841"/>
    <cellStyle name="Normal 2 2 2 2 2 24 3 2 7" xfId="6565"/>
    <cellStyle name="Normal 2 2 2 2 2 24 3 2 7 2" xfId="13255"/>
    <cellStyle name="Normal 2 2 2 2 2 24 3 2 8" xfId="11465"/>
    <cellStyle name="Normal 2 2 2 2 2 24 3 3" xfId="4842"/>
    <cellStyle name="Normal 2 2 2 2 2 24 3 3 2" xfId="8585"/>
    <cellStyle name="Normal 2 2 2 2 2 24 3 3 2 2" xfId="15133"/>
    <cellStyle name="Normal 2 2 2 2 2 24 3 3 3" xfId="6866"/>
    <cellStyle name="Normal 2 2 2 2 2 24 3 3 3 2" xfId="13552"/>
    <cellStyle name="Normal 2 2 2 2 2 24 3 3 4" xfId="11767"/>
    <cellStyle name="Normal 2 2 2 2 2 24 3 4" xfId="5150"/>
    <cellStyle name="Normal 2 2 2 2 2 24 3 4 2" xfId="8893"/>
    <cellStyle name="Normal 2 2 2 2 2 24 3 4 2 2" xfId="15437"/>
    <cellStyle name="Normal 2 2 2 2 2 24 3 4 3" xfId="7174"/>
    <cellStyle name="Normal 2 2 2 2 2 24 3 4 3 2" xfId="13856"/>
    <cellStyle name="Normal 2 2 2 2 2 24 3 4 4" xfId="12071"/>
    <cellStyle name="Normal 2 2 2 2 2 24 3 5" xfId="5583"/>
    <cellStyle name="Normal 2 2 2 2 2 24 3 5 2" xfId="9324"/>
    <cellStyle name="Normal 2 2 2 2 2 24 3 5 2 2" xfId="15831"/>
    <cellStyle name="Normal 2 2 2 2 2 24 3 5 3" xfId="7605"/>
    <cellStyle name="Normal 2 2 2 2 2 24 3 5 3 2" xfId="14250"/>
    <cellStyle name="Normal 2 2 2 2 2 24 3 5 4" xfId="12476"/>
    <cellStyle name="Normal 2 2 2 2 2 24 3 6" xfId="9833"/>
    <cellStyle name="Normal 2 2 2 2 2 24 3 6 2" xfId="16319"/>
    <cellStyle name="Normal 2 2 2 2 2 24 3 7" xfId="8044"/>
    <cellStyle name="Normal 2 2 2 2 2 24 3 7 2" xfId="14644"/>
    <cellStyle name="Normal 2 2 2 2 2 24 3 8" xfId="6317"/>
    <cellStyle name="Normal 2 2 2 2 2 24 3 8 2" xfId="13040"/>
    <cellStyle name="Normal 2 2 2 2 2 24 3 9" xfId="11259"/>
    <cellStyle name="Normal 2 2 2 2 2 24 4" xfId="4419"/>
    <cellStyle name="Normal 2 2 2 2 2 24 4 2" xfId="4629"/>
    <cellStyle name="Normal 2 2 2 2 2 24 4 2 2" xfId="4922"/>
    <cellStyle name="Normal 2 2 2 2 2 24 4 2 2 2" xfId="8665"/>
    <cellStyle name="Normal 2 2 2 2 2 24 4 2 2 2 2" xfId="15213"/>
    <cellStyle name="Normal 2 2 2 2 2 24 4 2 2 3" xfId="6946"/>
    <cellStyle name="Normal 2 2 2 2 2 24 4 2 2 3 2" xfId="13632"/>
    <cellStyle name="Normal 2 2 2 2 2 24 4 2 2 4" xfId="11847"/>
    <cellStyle name="Normal 2 2 2 2 2 24 4 2 3" xfId="5456"/>
    <cellStyle name="Normal 2 2 2 2 2 24 4 2 3 2" xfId="9199"/>
    <cellStyle name="Normal 2 2 2 2 2 24 4 2 3 2 2" xfId="15743"/>
    <cellStyle name="Normal 2 2 2 2 2 24 4 2 3 3" xfId="7480"/>
    <cellStyle name="Normal 2 2 2 2 2 24 4 2 3 3 2" xfId="14162"/>
    <cellStyle name="Normal 2 2 2 2 2 24 4 2 3 4" xfId="12377"/>
    <cellStyle name="Normal 2 2 2 2 2 24 4 2 4" xfId="5894"/>
    <cellStyle name="Normal 2 2 2 2 2 24 4 2 4 2" xfId="9635"/>
    <cellStyle name="Normal 2 2 2 2 2 24 4 2 4 2 2" xfId="16137"/>
    <cellStyle name="Normal 2 2 2 2 2 24 4 2 4 3" xfId="7916"/>
    <cellStyle name="Normal 2 2 2 2 2 24 4 2 4 3 2" xfId="14556"/>
    <cellStyle name="Normal 2 2 2 2 2 24 4 2 4 4" xfId="12787"/>
    <cellStyle name="Normal 2 2 2 2 2 24 4 2 5" xfId="9918"/>
    <cellStyle name="Normal 2 2 2 2 2 24 4 2 5 2" xfId="16399"/>
    <cellStyle name="Normal 2 2 2 2 2 24 4 2 6" xfId="8393"/>
    <cellStyle name="Normal 2 2 2 2 2 24 4 2 6 2" xfId="14950"/>
    <cellStyle name="Normal 2 2 2 2 2 24 4 2 7" xfId="6674"/>
    <cellStyle name="Normal 2 2 2 2 2 24 4 2 7 2" xfId="13364"/>
    <cellStyle name="Normal 2 2 2 2 2 24 4 2 8" xfId="11574"/>
    <cellStyle name="Normal 2 2 2 2 2 24 4 3" xfId="4921"/>
    <cellStyle name="Normal 2 2 2 2 2 24 4 3 2" xfId="8664"/>
    <cellStyle name="Normal 2 2 2 2 2 24 4 3 2 2" xfId="15212"/>
    <cellStyle name="Normal 2 2 2 2 2 24 4 3 3" xfId="6945"/>
    <cellStyle name="Normal 2 2 2 2 2 24 4 3 3 2" xfId="13631"/>
    <cellStyle name="Normal 2 2 2 2 2 24 4 3 4" xfId="11846"/>
    <cellStyle name="Normal 2 2 2 2 2 24 4 4" xfId="5259"/>
    <cellStyle name="Normal 2 2 2 2 2 24 4 4 2" xfId="9002"/>
    <cellStyle name="Normal 2 2 2 2 2 24 4 4 2 2" xfId="15546"/>
    <cellStyle name="Normal 2 2 2 2 2 24 4 4 3" xfId="7283"/>
    <cellStyle name="Normal 2 2 2 2 2 24 4 4 3 2" xfId="13965"/>
    <cellStyle name="Normal 2 2 2 2 2 24 4 4 4" xfId="12180"/>
    <cellStyle name="Normal 2 2 2 2 2 24 4 5" xfId="5697"/>
    <cellStyle name="Normal 2 2 2 2 2 24 4 5 2" xfId="9438"/>
    <cellStyle name="Normal 2 2 2 2 2 24 4 5 2 2" xfId="15940"/>
    <cellStyle name="Normal 2 2 2 2 2 24 4 5 3" xfId="7719"/>
    <cellStyle name="Normal 2 2 2 2 2 24 4 5 3 2" xfId="14359"/>
    <cellStyle name="Normal 2 2 2 2 2 24 4 5 4" xfId="12590"/>
    <cellStyle name="Normal 2 2 2 2 2 24 4 6" xfId="9917"/>
    <cellStyle name="Normal 2 2 2 2 2 24 4 6 2" xfId="16398"/>
    <cellStyle name="Normal 2 2 2 2 2 24 4 7" xfId="8196"/>
    <cellStyle name="Normal 2 2 2 2 2 24 4 7 2" xfId="14753"/>
    <cellStyle name="Normal 2 2 2 2 2 24 4 8" xfId="6477"/>
    <cellStyle name="Normal 2 2 2 2 2 24 4 8 2" xfId="13167"/>
    <cellStyle name="Normal 2 2 2 2 2 24 4 9" xfId="11375"/>
    <cellStyle name="Normal 2 2 2 2 2 24 5" xfId="4432"/>
    <cellStyle name="Normal 2 2 2 2 2 24 5 2" xfId="4641"/>
    <cellStyle name="Normal 2 2 2 2 2 24 5 2 2" xfId="4924"/>
    <cellStyle name="Normal 2 2 2 2 2 24 5 2 2 2" xfId="8667"/>
    <cellStyle name="Normal 2 2 2 2 2 24 5 2 2 2 2" xfId="15215"/>
    <cellStyle name="Normal 2 2 2 2 2 24 5 2 2 3" xfId="6948"/>
    <cellStyle name="Normal 2 2 2 2 2 24 5 2 2 3 2" xfId="13634"/>
    <cellStyle name="Normal 2 2 2 2 2 24 5 2 2 4" xfId="11849"/>
    <cellStyle name="Normal 2 2 2 2 2 24 5 2 3" xfId="5468"/>
    <cellStyle name="Normal 2 2 2 2 2 24 5 2 3 2" xfId="9211"/>
    <cellStyle name="Normal 2 2 2 2 2 24 5 2 3 2 2" xfId="15755"/>
    <cellStyle name="Normal 2 2 2 2 2 24 5 2 3 3" xfId="7492"/>
    <cellStyle name="Normal 2 2 2 2 2 24 5 2 3 3 2" xfId="14174"/>
    <cellStyle name="Normal 2 2 2 2 2 24 5 2 3 4" xfId="12389"/>
    <cellStyle name="Normal 2 2 2 2 2 24 5 2 4" xfId="5906"/>
    <cellStyle name="Normal 2 2 2 2 2 24 5 2 4 2" xfId="9647"/>
    <cellStyle name="Normal 2 2 2 2 2 24 5 2 4 2 2" xfId="16149"/>
    <cellStyle name="Normal 2 2 2 2 2 24 5 2 4 3" xfId="7928"/>
    <cellStyle name="Normal 2 2 2 2 2 24 5 2 4 3 2" xfId="14568"/>
    <cellStyle name="Normal 2 2 2 2 2 24 5 2 4 4" xfId="12799"/>
    <cellStyle name="Normal 2 2 2 2 2 24 5 2 5" xfId="9920"/>
    <cellStyle name="Normal 2 2 2 2 2 24 5 2 5 2" xfId="16401"/>
    <cellStyle name="Normal 2 2 2 2 2 24 5 2 6" xfId="8405"/>
    <cellStyle name="Normal 2 2 2 2 2 24 5 2 6 2" xfId="14962"/>
    <cellStyle name="Normal 2 2 2 2 2 24 5 2 7" xfId="6686"/>
    <cellStyle name="Normal 2 2 2 2 2 24 5 2 7 2" xfId="13376"/>
    <cellStyle name="Normal 2 2 2 2 2 24 5 2 8" xfId="11586"/>
    <cellStyle name="Normal 2 2 2 2 2 24 5 3" xfId="4923"/>
    <cellStyle name="Normal 2 2 2 2 2 24 5 3 2" xfId="8666"/>
    <cellStyle name="Normal 2 2 2 2 2 24 5 3 2 2" xfId="15214"/>
    <cellStyle name="Normal 2 2 2 2 2 24 5 3 3" xfId="6947"/>
    <cellStyle name="Normal 2 2 2 2 2 24 5 3 3 2" xfId="13633"/>
    <cellStyle name="Normal 2 2 2 2 2 24 5 3 4" xfId="11848"/>
    <cellStyle name="Normal 2 2 2 2 2 24 5 4" xfId="5271"/>
    <cellStyle name="Normal 2 2 2 2 2 24 5 4 2" xfId="9014"/>
    <cellStyle name="Normal 2 2 2 2 2 24 5 4 2 2" xfId="15558"/>
    <cellStyle name="Normal 2 2 2 2 2 24 5 4 3" xfId="7295"/>
    <cellStyle name="Normal 2 2 2 2 2 24 5 4 3 2" xfId="13977"/>
    <cellStyle name="Normal 2 2 2 2 2 24 5 4 4" xfId="12192"/>
    <cellStyle name="Normal 2 2 2 2 2 24 5 5" xfId="5709"/>
    <cellStyle name="Normal 2 2 2 2 2 24 5 5 2" xfId="9450"/>
    <cellStyle name="Normal 2 2 2 2 2 24 5 5 2 2" xfId="15952"/>
    <cellStyle name="Normal 2 2 2 2 2 24 5 5 3" xfId="7731"/>
    <cellStyle name="Normal 2 2 2 2 2 24 5 5 3 2" xfId="14371"/>
    <cellStyle name="Normal 2 2 2 2 2 24 5 5 4" xfId="12602"/>
    <cellStyle name="Normal 2 2 2 2 2 24 5 6" xfId="9919"/>
    <cellStyle name="Normal 2 2 2 2 2 24 5 6 2" xfId="16400"/>
    <cellStyle name="Normal 2 2 2 2 2 24 5 7" xfId="8208"/>
    <cellStyle name="Normal 2 2 2 2 2 24 5 7 2" xfId="14765"/>
    <cellStyle name="Normal 2 2 2 2 2 24 5 8" xfId="6489"/>
    <cellStyle name="Normal 2 2 2 2 2 24 5 8 2" xfId="13179"/>
    <cellStyle name="Normal 2 2 2 2 2 24 5 9" xfId="11387"/>
    <cellStyle name="Normal 2 2 2 2 2 24 6" xfId="4518"/>
    <cellStyle name="Normal 2 2 2 2 2 24 6 2" xfId="4925"/>
    <cellStyle name="Normal 2 2 2 2 2 24 6 2 2" xfId="8668"/>
    <cellStyle name="Normal 2 2 2 2 2 24 6 2 2 2" xfId="15216"/>
    <cellStyle name="Normal 2 2 2 2 2 24 6 2 3" xfId="6949"/>
    <cellStyle name="Normal 2 2 2 2 2 24 6 2 3 2" xfId="13635"/>
    <cellStyle name="Normal 2 2 2 2 2 24 6 2 4" xfId="11850"/>
    <cellStyle name="Normal 2 2 2 2 2 24 6 3" xfId="5345"/>
    <cellStyle name="Normal 2 2 2 2 2 24 6 3 2" xfId="9088"/>
    <cellStyle name="Normal 2 2 2 2 2 24 6 3 2 2" xfId="15632"/>
    <cellStyle name="Normal 2 2 2 2 2 24 6 3 3" xfId="7369"/>
    <cellStyle name="Normal 2 2 2 2 2 24 6 3 3 2" xfId="14051"/>
    <cellStyle name="Normal 2 2 2 2 2 24 6 3 4" xfId="12266"/>
    <cellStyle name="Normal 2 2 2 2 2 24 6 4" xfId="5783"/>
    <cellStyle name="Normal 2 2 2 2 2 24 6 4 2" xfId="9524"/>
    <cellStyle name="Normal 2 2 2 2 2 24 6 4 2 2" xfId="16026"/>
    <cellStyle name="Normal 2 2 2 2 2 24 6 4 3" xfId="7805"/>
    <cellStyle name="Normal 2 2 2 2 2 24 6 4 3 2" xfId="14445"/>
    <cellStyle name="Normal 2 2 2 2 2 24 6 4 4" xfId="12676"/>
    <cellStyle name="Normal 2 2 2 2 2 24 6 5" xfId="9921"/>
    <cellStyle name="Normal 2 2 2 2 2 24 6 5 2" xfId="16402"/>
    <cellStyle name="Normal 2 2 2 2 2 24 6 6" xfId="8282"/>
    <cellStyle name="Normal 2 2 2 2 2 24 6 6 2" xfId="14839"/>
    <cellStyle name="Normal 2 2 2 2 2 24 6 7" xfId="6563"/>
    <cellStyle name="Normal 2 2 2 2 2 24 6 7 2" xfId="13253"/>
    <cellStyle name="Normal 2 2 2 2 2 24 6 8" xfId="11463"/>
    <cellStyle name="Normal 2 2 2 2 2 24 7" xfId="4698"/>
    <cellStyle name="Normal 2 2 2 2 2 24 7 2" xfId="8443"/>
    <cellStyle name="Normal 2 2 2 2 2 24 7 2 2" xfId="14995"/>
    <cellStyle name="Normal 2 2 2 2 2 24 7 3" xfId="6724"/>
    <cellStyle name="Normal 2 2 2 2 2 24 7 3 2" xfId="13414"/>
    <cellStyle name="Normal 2 2 2 2 2 24 7 4" xfId="11628"/>
    <cellStyle name="Normal 2 2 2 2 2 24 8" xfId="5148"/>
    <cellStyle name="Normal 2 2 2 2 2 24 8 2" xfId="8891"/>
    <cellStyle name="Normal 2 2 2 2 2 24 8 2 2" xfId="15435"/>
    <cellStyle name="Normal 2 2 2 2 2 24 8 3" xfId="7172"/>
    <cellStyle name="Normal 2 2 2 2 2 24 8 3 2" xfId="13854"/>
    <cellStyle name="Normal 2 2 2 2 2 24 8 4" xfId="12069"/>
    <cellStyle name="Normal 2 2 2 2 2 24 9" xfId="5581"/>
    <cellStyle name="Normal 2 2 2 2 2 24 9 2" xfId="9322"/>
    <cellStyle name="Normal 2 2 2 2 2 24 9 2 2" xfId="15829"/>
    <cellStyle name="Normal 2 2 2 2 2 24 9 3" xfId="7603"/>
    <cellStyle name="Normal 2 2 2 2 2 24 9 3 2" xfId="14248"/>
    <cellStyle name="Normal 2 2 2 2 2 24 9 4" xfId="12474"/>
    <cellStyle name="Normal 2 2 2 2 2 3" xfId="4770"/>
    <cellStyle name="Normal 2 2 2 2 2 3 2" xfId="8513"/>
    <cellStyle name="Normal 2 2 2 2 2 3 2 2" xfId="15065"/>
    <cellStyle name="Normal 2 2 2 2 2 3 3" xfId="6794"/>
    <cellStyle name="Normal 2 2 2 2 2 3 3 2" xfId="13484"/>
    <cellStyle name="Normal 2 2 2 2 2 3 4" xfId="11699"/>
    <cellStyle name="Normal 2 2 2 2 2 4" xfId="5147"/>
    <cellStyle name="Normal 2 2 2 2 2 4 2" xfId="8890"/>
    <cellStyle name="Normal 2 2 2 2 2 4 2 2" xfId="15434"/>
    <cellStyle name="Normal 2 2 2 2 2 4 3" xfId="7171"/>
    <cellStyle name="Normal 2 2 2 2 2 4 3 2" xfId="13853"/>
    <cellStyle name="Normal 2 2 2 2 2 4 4" xfId="12068"/>
    <cellStyle name="Normal 2 2 2 2 2 5" xfId="5580"/>
    <cellStyle name="Normal 2 2 2 2 2 5 2" xfId="9321"/>
    <cellStyle name="Normal 2 2 2 2 2 5 2 2" xfId="15828"/>
    <cellStyle name="Normal 2 2 2 2 2 5 3" xfId="7602"/>
    <cellStyle name="Normal 2 2 2 2 2 5 3 2" xfId="14247"/>
    <cellStyle name="Normal 2 2 2 2 2 5 4" xfId="12473"/>
    <cellStyle name="Normal 2 2 2 2 2 6" xfId="9760"/>
    <cellStyle name="Normal 2 2 2 2 2 6 2" xfId="16251"/>
    <cellStyle name="Normal 2 2 2 2 2 7" xfId="8041"/>
    <cellStyle name="Normal 2 2 2 2 2 7 2" xfId="14641"/>
    <cellStyle name="Normal 2 2 2 2 2 8" xfId="6314"/>
    <cellStyle name="Normal 2 2 2 2 2 8 2" xfId="13037"/>
    <cellStyle name="Normal 2 2 2 2 2 9" xfId="11256"/>
    <cellStyle name="Normal 2 2 2 2 3" xfId="4109"/>
    <cellStyle name="Normal 2 2 2 2 3 2" xfId="4521"/>
    <cellStyle name="Normal 2 2 2 2 3 2 2" xfId="4926"/>
    <cellStyle name="Normal 2 2 2 2 3 2 2 2" xfId="8669"/>
    <cellStyle name="Normal 2 2 2 2 3 2 2 2 2" xfId="15217"/>
    <cellStyle name="Normal 2 2 2 2 3 2 2 3" xfId="6950"/>
    <cellStyle name="Normal 2 2 2 2 3 2 2 3 2" xfId="13636"/>
    <cellStyle name="Normal 2 2 2 2 3 2 2 4" xfId="11851"/>
    <cellStyle name="Normal 2 2 2 2 3 2 3" xfId="5348"/>
    <cellStyle name="Normal 2 2 2 2 3 2 3 2" xfId="9091"/>
    <cellStyle name="Normal 2 2 2 2 3 2 3 2 2" xfId="15635"/>
    <cellStyle name="Normal 2 2 2 2 3 2 3 3" xfId="7372"/>
    <cellStyle name="Normal 2 2 2 2 3 2 3 3 2" xfId="14054"/>
    <cellStyle name="Normal 2 2 2 2 3 2 3 4" xfId="12269"/>
    <cellStyle name="Normal 2 2 2 2 3 2 4" xfId="5786"/>
    <cellStyle name="Normal 2 2 2 2 3 2 4 2" xfId="9527"/>
    <cellStyle name="Normal 2 2 2 2 3 2 4 2 2" xfId="16029"/>
    <cellStyle name="Normal 2 2 2 2 3 2 4 3" xfId="7808"/>
    <cellStyle name="Normal 2 2 2 2 3 2 4 3 2" xfId="14448"/>
    <cellStyle name="Normal 2 2 2 2 3 2 4 4" xfId="12679"/>
    <cellStyle name="Normal 2 2 2 2 3 2 5" xfId="9922"/>
    <cellStyle name="Normal 2 2 2 2 3 2 5 2" xfId="16403"/>
    <cellStyle name="Normal 2 2 2 2 3 2 6" xfId="8285"/>
    <cellStyle name="Normal 2 2 2 2 3 2 6 2" xfId="14842"/>
    <cellStyle name="Normal 2 2 2 2 3 2 7" xfId="6566"/>
    <cellStyle name="Normal 2 2 2 2 3 2 7 2" xfId="13256"/>
    <cellStyle name="Normal 2 2 2 2 3 2 8" xfId="11466"/>
    <cellStyle name="Normal 2 2 2 2 3 3" xfId="4838"/>
    <cellStyle name="Normal 2 2 2 2 3 3 2" xfId="8581"/>
    <cellStyle name="Normal 2 2 2 2 3 3 2 2" xfId="15129"/>
    <cellStyle name="Normal 2 2 2 2 3 3 3" xfId="6862"/>
    <cellStyle name="Normal 2 2 2 2 3 3 3 2" xfId="13548"/>
    <cellStyle name="Normal 2 2 2 2 3 3 4" xfId="11763"/>
    <cellStyle name="Normal 2 2 2 2 3 4" xfId="5151"/>
    <cellStyle name="Normal 2 2 2 2 3 4 2" xfId="8894"/>
    <cellStyle name="Normal 2 2 2 2 3 4 2 2" xfId="15438"/>
    <cellStyle name="Normal 2 2 2 2 3 4 3" xfId="7175"/>
    <cellStyle name="Normal 2 2 2 2 3 4 3 2" xfId="13857"/>
    <cellStyle name="Normal 2 2 2 2 3 4 4" xfId="12072"/>
    <cellStyle name="Normal 2 2 2 2 3 5" xfId="5584"/>
    <cellStyle name="Normal 2 2 2 2 3 5 2" xfId="9325"/>
    <cellStyle name="Normal 2 2 2 2 3 5 2 2" xfId="15832"/>
    <cellStyle name="Normal 2 2 2 2 3 5 3" xfId="7606"/>
    <cellStyle name="Normal 2 2 2 2 3 5 3 2" xfId="14251"/>
    <cellStyle name="Normal 2 2 2 2 3 5 4" xfId="12477"/>
    <cellStyle name="Normal 2 2 2 2 3 6" xfId="9829"/>
    <cellStyle name="Normal 2 2 2 2 3 6 2" xfId="16315"/>
    <cellStyle name="Normal 2 2 2 2 3 7" xfId="8045"/>
    <cellStyle name="Normal 2 2 2 2 3 7 2" xfId="14645"/>
    <cellStyle name="Normal 2 2 2 2 3 8" xfId="6318"/>
    <cellStyle name="Normal 2 2 2 2 3 8 2" xfId="13041"/>
    <cellStyle name="Normal 2 2 2 2 3 9" xfId="11260"/>
    <cellStyle name="Normal 2 2 2 2 4" xfId="4473"/>
    <cellStyle name="Normal 2 2 2 2 4 2" xfId="4927"/>
    <cellStyle name="Normal 2 2 2 2 4 2 2" xfId="8670"/>
    <cellStyle name="Normal 2 2 2 2 4 2 2 2" xfId="15218"/>
    <cellStyle name="Normal 2 2 2 2 4 2 3" xfId="6951"/>
    <cellStyle name="Normal 2 2 2 2 4 2 3 2" xfId="13637"/>
    <cellStyle name="Normal 2 2 2 2 4 2 4" xfId="11852"/>
    <cellStyle name="Normal 2 2 2 2 4 3" xfId="5301"/>
    <cellStyle name="Normal 2 2 2 2 4 3 2" xfId="9044"/>
    <cellStyle name="Normal 2 2 2 2 4 3 2 2" xfId="15588"/>
    <cellStyle name="Normal 2 2 2 2 4 3 3" xfId="7325"/>
    <cellStyle name="Normal 2 2 2 2 4 3 3 2" xfId="14007"/>
    <cellStyle name="Normal 2 2 2 2 4 3 4" xfId="12222"/>
    <cellStyle name="Normal 2 2 2 2 4 4" xfId="5739"/>
    <cellStyle name="Normal 2 2 2 2 4 4 2" xfId="9480"/>
    <cellStyle name="Normal 2 2 2 2 4 4 2 2" xfId="15982"/>
    <cellStyle name="Normal 2 2 2 2 4 4 3" xfId="7761"/>
    <cellStyle name="Normal 2 2 2 2 4 4 3 2" xfId="14401"/>
    <cellStyle name="Normal 2 2 2 2 4 4 4" xfId="12632"/>
    <cellStyle name="Normal 2 2 2 2 4 5" xfId="9923"/>
    <cellStyle name="Normal 2 2 2 2 4 5 2" xfId="16404"/>
    <cellStyle name="Normal 2 2 2 2 4 6" xfId="8238"/>
    <cellStyle name="Normal 2 2 2 2 4 6 2" xfId="14795"/>
    <cellStyle name="Normal 2 2 2 2 4 7" xfId="6519"/>
    <cellStyle name="Normal 2 2 2 2 4 7 2" xfId="13209"/>
    <cellStyle name="Normal 2 2 2 2 4 8" xfId="11418"/>
    <cellStyle name="Normal 2 2 2 2 5" xfId="4679"/>
    <cellStyle name="Normal 2 2 2 2 5 2" xfId="8425"/>
    <cellStyle name="Normal 2 2 2 2 5 2 2" xfId="14977"/>
    <cellStyle name="Normal 2 2 2 2 5 3" xfId="6706"/>
    <cellStyle name="Normal 2 2 2 2 5 3 2" xfId="13396"/>
    <cellStyle name="Normal 2 2 2 2 5 4" xfId="11610"/>
    <cellStyle name="Normal 2 2 2 2 6" xfId="5100"/>
    <cellStyle name="Normal 2 2 2 2 6 2" xfId="8843"/>
    <cellStyle name="Normal 2 2 2 2 6 2 2" xfId="15391"/>
    <cellStyle name="Normal 2 2 2 2 6 3" xfId="7124"/>
    <cellStyle name="Normal 2 2 2 2 6 3 2" xfId="13810"/>
    <cellStyle name="Normal 2 2 2 2 6 4" xfId="12025"/>
    <cellStyle name="Normal 2 2 2 2 7" xfId="5537"/>
    <cellStyle name="Normal 2 2 2 2 7 2" xfId="9278"/>
    <cellStyle name="Normal 2 2 2 2 7 2 2" xfId="15785"/>
    <cellStyle name="Normal 2 2 2 2 7 3" xfId="7559"/>
    <cellStyle name="Normal 2 2 2 2 7 3 2" xfId="14204"/>
    <cellStyle name="Normal 2 2 2 2 7 4" xfId="12430"/>
    <cellStyle name="Normal 2 2 2 2 8" xfId="9659"/>
    <cellStyle name="Normal 2 2 2 2 8 2" xfId="16161"/>
    <cellStyle name="Normal 2 2 2 2 9" xfId="7958"/>
    <cellStyle name="Normal 2 2 2 2 9 2" xfId="14598"/>
    <cellStyle name="Normal 2 2 2 3" xfId="27"/>
    <cellStyle name="Normal 2 2 2 3 2" xfId="4462"/>
    <cellStyle name="Normal 2 2 2 3 2 2" xfId="4928"/>
    <cellStyle name="Normal 2 2 2 3 2 2 2" xfId="8671"/>
    <cellStyle name="Normal 2 2 2 3 2 2 2 2" xfId="15219"/>
    <cellStyle name="Normal 2 2 2 3 2 2 3" xfId="6952"/>
    <cellStyle name="Normal 2 2 2 3 2 2 3 2" xfId="13638"/>
    <cellStyle name="Normal 2 2 2 3 2 2 4" xfId="11853"/>
    <cellStyle name="Normal 2 2 2 3 2 3" xfId="5290"/>
    <cellStyle name="Normal 2 2 2 3 2 3 2" xfId="9033"/>
    <cellStyle name="Normal 2 2 2 3 2 3 2 2" xfId="15577"/>
    <cellStyle name="Normal 2 2 2 3 2 3 3" xfId="7314"/>
    <cellStyle name="Normal 2 2 2 3 2 3 3 2" xfId="13996"/>
    <cellStyle name="Normal 2 2 2 3 2 3 4" xfId="12211"/>
    <cellStyle name="Normal 2 2 2 3 2 4" xfId="5728"/>
    <cellStyle name="Normal 2 2 2 3 2 4 2" xfId="9469"/>
    <cellStyle name="Normal 2 2 2 3 2 4 2 2" xfId="15971"/>
    <cellStyle name="Normal 2 2 2 3 2 4 3" xfId="7750"/>
    <cellStyle name="Normal 2 2 2 3 2 4 3 2" xfId="14390"/>
    <cellStyle name="Normal 2 2 2 3 2 4 4" xfId="12621"/>
    <cellStyle name="Normal 2 2 2 3 2 5" xfId="9924"/>
    <cellStyle name="Normal 2 2 2 3 2 5 2" xfId="16405"/>
    <cellStyle name="Normal 2 2 2 3 2 6" xfId="8227"/>
    <cellStyle name="Normal 2 2 2 3 2 6 2" xfId="14784"/>
    <cellStyle name="Normal 2 2 2 3 2 7" xfId="6508"/>
    <cellStyle name="Normal 2 2 2 3 2 7 2" xfId="13198"/>
    <cellStyle name="Normal 2 2 2 3 2 8" xfId="11407"/>
    <cellStyle name="Normal 2 2 2 3 3" xfId="4769"/>
    <cellStyle name="Normal 2 2 2 3 3 2" xfId="8512"/>
    <cellStyle name="Normal 2 2 2 3 3 2 2" xfId="15064"/>
    <cellStyle name="Normal 2 2 2 3 3 3" xfId="6793"/>
    <cellStyle name="Normal 2 2 2 3 3 3 2" xfId="13483"/>
    <cellStyle name="Normal 2 2 2 3 3 4" xfId="11698"/>
    <cellStyle name="Normal 2 2 2 3 4" xfId="5089"/>
    <cellStyle name="Normal 2 2 2 3 4 2" xfId="8832"/>
    <cellStyle name="Normal 2 2 2 3 4 2 2" xfId="15380"/>
    <cellStyle name="Normal 2 2 2 3 4 3" xfId="7113"/>
    <cellStyle name="Normal 2 2 2 3 4 3 2" xfId="13799"/>
    <cellStyle name="Normal 2 2 2 3 4 4" xfId="12014"/>
    <cellStyle name="Normal 2 2 2 3 5" xfId="5526"/>
    <cellStyle name="Normal 2 2 2 3 5 2" xfId="9267"/>
    <cellStyle name="Normal 2 2 2 3 5 2 2" xfId="15774"/>
    <cellStyle name="Normal 2 2 2 3 5 3" xfId="7548"/>
    <cellStyle name="Normal 2 2 2 3 5 3 2" xfId="14193"/>
    <cellStyle name="Normal 2 2 2 3 5 4" xfId="12419"/>
    <cellStyle name="Normal 2 2 2 3 6" xfId="9759"/>
    <cellStyle name="Normal 2 2 2 3 6 2" xfId="16250"/>
    <cellStyle name="Normal 2 2 2 3 7" xfId="7947"/>
    <cellStyle name="Normal 2 2 2 3 7 2" xfId="14587"/>
    <cellStyle name="Normal 2 2 2 3 8" xfId="5926"/>
    <cellStyle name="Normal 2 2 2 3 8 2" xfId="12819"/>
    <cellStyle name="Normal 2 2 2 3 9" xfId="10261"/>
    <cellStyle name="Normal 2 2 2 4" xfId="4110"/>
    <cellStyle name="Normal 2 2 2 4 2" xfId="4522"/>
    <cellStyle name="Normal 2 2 2 4 2 2" xfId="4929"/>
    <cellStyle name="Normal 2 2 2 4 2 2 2" xfId="8672"/>
    <cellStyle name="Normal 2 2 2 4 2 2 2 2" xfId="15220"/>
    <cellStyle name="Normal 2 2 2 4 2 2 3" xfId="6953"/>
    <cellStyle name="Normal 2 2 2 4 2 2 3 2" xfId="13639"/>
    <cellStyle name="Normal 2 2 2 4 2 2 4" xfId="11854"/>
    <cellStyle name="Normal 2 2 2 4 2 3" xfId="5349"/>
    <cellStyle name="Normal 2 2 2 4 2 3 2" xfId="9092"/>
    <cellStyle name="Normal 2 2 2 4 2 3 2 2" xfId="15636"/>
    <cellStyle name="Normal 2 2 2 4 2 3 3" xfId="7373"/>
    <cellStyle name="Normal 2 2 2 4 2 3 3 2" xfId="14055"/>
    <cellStyle name="Normal 2 2 2 4 2 3 4" xfId="12270"/>
    <cellStyle name="Normal 2 2 2 4 2 4" xfId="5787"/>
    <cellStyle name="Normal 2 2 2 4 2 4 2" xfId="9528"/>
    <cellStyle name="Normal 2 2 2 4 2 4 2 2" xfId="16030"/>
    <cellStyle name="Normal 2 2 2 4 2 4 3" xfId="7809"/>
    <cellStyle name="Normal 2 2 2 4 2 4 3 2" xfId="14449"/>
    <cellStyle name="Normal 2 2 2 4 2 4 4" xfId="12680"/>
    <cellStyle name="Normal 2 2 2 4 2 5" xfId="9925"/>
    <cellStyle name="Normal 2 2 2 4 2 5 2" xfId="16406"/>
    <cellStyle name="Normal 2 2 2 4 2 6" xfId="8286"/>
    <cellStyle name="Normal 2 2 2 4 2 6 2" xfId="14843"/>
    <cellStyle name="Normal 2 2 2 4 2 7" xfId="6567"/>
    <cellStyle name="Normal 2 2 2 4 2 7 2" xfId="13257"/>
    <cellStyle name="Normal 2 2 2 4 2 8" xfId="11467"/>
    <cellStyle name="Normal 2 2 2 4 3" xfId="4827"/>
    <cellStyle name="Normal 2 2 2 4 3 2" xfId="8570"/>
    <cellStyle name="Normal 2 2 2 4 3 2 2" xfId="15118"/>
    <cellStyle name="Normal 2 2 2 4 3 3" xfId="6851"/>
    <cellStyle name="Normal 2 2 2 4 3 3 2" xfId="13537"/>
    <cellStyle name="Normal 2 2 2 4 3 4" xfId="11752"/>
    <cellStyle name="Normal 2 2 2 4 4" xfId="5152"/>
    <cellStyle name="Normal 2 2 2 4 4 2" xfId="8895"/>
    <cellStyle name="Normal 2 2 2 4 4 2 2" xfId="15439"/>
    <cellStyle name="Normal 2 2 2 4 4 3" xfId="7176"/>
    <cellStyle name="Normal 2 2 2 4 4 3 2" xfId="13858"/>
    <cellStyle name="Normal 2 2 2 4 4 4" xfId="12073"/>
    <cellStyle name="Normal 2 2 2 4 5" xfId="5585"/>
    <cellStyle name="Normal 2 2 2 4 5 2" xfId="9326"/>
    <cellStyle name="Normal 2 2 2 4 5 2 2" xfId="15833"/>
    <cellStyle name="Normal 2 2 2 4 5 3" xfId="7607"/>
    <cellStyle name="Normal 2 2 2 4 5 3 2" xfId="14252"/>
    <cellStyle name="Normal 2 2 2 4 5 4" xfId="12478"/>
    <cellStyle name="Normal 2 2 2 4 6" xfId="9818"/>
    <cellStyle name="Normal 2 2 2 4 6 2" xfId="16304"/>
    <cellStyle name="Normal 2 2 2 4 7" xfId="8046"/>
    <cellStyle name="Normal 2 2 2 4 7 2" xfId="14646"/>
    <cellStyle name="Normal 2 2 2 4 8" xfId="6319"/>
    <cellStyle name="Normal 2 2 2 4 8 2" xfId="13042"/>
    <cellStyle name="Normal 2 2 2 4 9" xfId="11261"/>
    <cellStyle name="Normal 2 2 2 5" xfId="4454"/>
    <cellStyle name="Normal 2 2 2 5 2" xfId="4930"/>
    <cellStyle name="Normal 2 2 2 5 2 2" xfId="8673"/>
    <cellStyle name="Normal 2 2 2 5 2 2 2" xfId="15221"/>
    <cellStyle name="Normal 2 2 2 5 2 3" xfId="6954"/>
    <cellStyle name="Normal 2 2 2 5 2 3 2" xfId="13640"/>
    <cellStyle name="Normal 2 2 2 5 2 4" xfId="11855"/>
    <cellStyle name="Normal 2 2 2 5 3" xfId="5282"/>
    <cellStyle name="Normal 2 2 2 5 3 2" xfId="9025"/>
    <cellStyle name="Normal 2 2 2 5 3 2 2" xfId="15569"/>
    <cellStyle name="Normal 2 2 2 5 3 3" xfId="7306"/>
    <cellStyle name="Normal 2 2 2 5 3 3 2" xfId="13988"/>
    <cellStyle name="Normal 2 2 2 5 3 4" xfId="12203"/>
    <cellStyle name="Normal 2 2 2 5 4" xfId="5720"/>
    <cellStyle name="Normal 2 2 2 5 4 2" xfId="9461"/>
    <cellStyle name="Normal 2 2 2 5 4 2 2" xfId="15963"/>
    <cellStyle name="Normal 2 2 2 5 4 3" xfId="7742"/>
    <cellStyle name="Normal 2 2 2 5 4 3 2" xfId="14382"/>
    <cellStyle name="Normal 2 2 2 5 4 4" xfId="12613"/>
    <cellStyle name="Normal 2 2 2 5 5" xfId="9926"/>
    <cellStyle name="Normal 2 2 2 5 5 2" xfId="16407"/>
    <cellStyle name="Normal 2 2 2 5 6" xfId="8219"/>
    <cellStyle name="Normal 2 2 2 5 6 2" xfId="14776"/>
    <cellStyle name="Normal 2 2 2 5 7" xfId="6500"/>
    <cellStyle name="Normal 2 2 2 5 7 2" xfId="13190"/>
    <cellStyle name="Normal 2 2 2 5 8" xfId="11399"/>
    <cellStyle name="Normal 2 2 2 6" xfId="4678"/>
    <cellStyle name="Normal 2 2 2 6 2" xfId="8424"/>
    <cellStyle name="Normal 2 2 2 6 2 2" xfId="14976"/>
    <cellStyle name="Normal 2 2 2 6 3" xfId="6705"/>
    <cellStyle name="Normal 2 2 2 6 3 2" xfId="13395"/>
    <cellStyle name="Normal 2 2 2 6 4" xfId="11609"/>
    <cellStyle name="Normal 2 2 2 7" xfId="5081"/>
    <cellStyle name="Normal 2 2 2 7 2" xfId="8824"/>
    <cellStyle name="Normal 2 2 2 7 2 2" xfId="15372"/>
    <cellStyle name="Normal 2 2 2 7 3" xfId="7105"/>
    <cellStyle name="Normal 2 2 2 7 3 2" xfId="13791"/>
    <cellStyle name="Normal 2 2 2 7 4" xfId="12006"/>
    <cellStyle name="Normal 2 2 2 8" xfId="5518"/>
    <cellStyle name="Normal 2 2 2 8 2" xfId="9259"/>
    <cellStyle name="Normal 2 2 2 8 2 2" xfId="15766"/>
    <cellStyle name="Normal 2 2 2 8 3" xfId="7540"/>
    <cellStyle name="Normal 2 2 2 8 3 2" xfId="14185"/>
    <cellStyle name="Normal 2 2 2 8 4" xfId="12411"/>
    <cellStyle name="Normal 2 2 2 9" xfId="9658"/>
    <cellStyle name="Normal 2 2 2 9 2" xfId="16160"/>
    <cellStyle name="Normal 2 2 3" xfId="33"/>
    <cellStyle name="Normal 2 2 3 10" xfId="5932"/>
    <cellStyle name="Normal 2 2 3 10 2" xfId="12825"/>
    <cellStyle name="Normal 2 2 3 11" xfId="10267"/>
    <cellStyle name="Normal 2 2 3 2" xfId="4111"/>
    <cellStyle name="Normal 2 2 3 2 2" xfId="4523"/>
    <cellStyle name="Normal 2 2 3 2 2 2" xfId="4931"/>
    <cellStyle name="Normal 2 2 3 2 2 2 2" xfId="8674"/>
    <cellStyle name="Normal 2 2 3 2 2 2 2 2" xfId="15222"/>
    <cellStyle name="Normal 2 2 3 2 2 2 3" xfId="6955"/>
    <cellStyle name="Normal 2 2 3 2 2 2 3 2" xfId="13641"/>
    <cellStyle name="Normal 2 2 3 2 2 2 4" xfId="11856"/>
    <cellStyle name="Normal 2 2 3 2 2 3" xfId="5350"/>
    <cellStyle name="Normal 2 2 3 2 2 3 2" xfId="9093"/>
    <cellStyle name="Normal 2 2 3 2 2 3 2 2" xfId="15637"/>
    <cellStyle name="Normal 2 2 3 2 2 3 3" xfId="7374"/>
    <cellStyle name="Normal 2 2 3 2 2 3 3 2" xfId="14056"/>
    <cellStyle name="Normal 2 2 3 2 2 3 4" xfId="12271"/>
    <cellStyle name="Normal 2 2 3 2 2 4" xfId="5788"/>
    <cellStyle name="Normal 2 2 3 2 2 4 2" xfId="9529"/>
    <cellStyle name="Normal 2 2 3 2 2 4 2 2" xfId="16031"/>
    <cellStyle name="Normal 2 2 3 2 2 4 3" xfId="7810"/>
    <cellStyle name="Normal 2 2 3 2 2 4 3 2" xfId="14450"/>
    <cellStyle name="Normal 2 2 3 2 2 4 4" xfId="12681"/>
    <cellStyle name="Normal 2 2 3 2 2 5" xfId="9927"/>
    <cellStyle name="Normal 2 2 3 2 2 5 2" xfId="16408"/>
    <cellStyle name="Normal 2 2 3 2 2 6" xfId="8287"/>
    <cellStyle name="Normal 2 2 3 2 2 6 2" xfId="14844"/>
    <cellStyle name="Normal 2 2 3 2 2 7" xfId="6568"/>
    <cellStyle name="Normal 2 2 3 2 2 7 2" xfId="13258"/>
    <cellStyle name="Normal 2 2 3 2 2 8" xfId="11468"/>
    <cellStyle name="Normal 2 2 3 2 3" xfId="4771"/>
    <cellStyle name="Normal 2 2 3 2 3 2" xfId="8514"/>
    <cellStyle name="Normal 2 2 3 2 3 2 2" xfId="15066"/>
    <cellStyle name="Normal 2 2 3 2 3 3" xfId="6795"/>
    <cellStyle name="Normal 2 2 3 2 3 3 2" xfId="13485"/>
    <cellStyle name="Normal 2 2 3 2 3 4" xfId="11700"/>
    <cellStyle name="Normal 2 2 3 2 4" xfId="5153"/>
    <cellStyle name="Normal 2 2 3 2 4 2" xfId="8896"/>
    <cellStyle name="Normal 2 2 3 2 4 2 2" xfId="15440"/>
    <cellStyle name="Normal 2 2 3 2 4 3" xfId="7177"/>
    <cellStyle name="Normal 2 2 3 2 4 3 2" xfId="13859"/>
    <cellStyle name="Normal 2 2 3 2 4 4" xfId="12074"/>
    <cellStyle name="Normal 2 2 3 2 5" xfId="5586"/>
    <cellStyle name="Normal 2 2 3 2 5 2" xfId="9327"/>
    <cellStyle name="Normal 2 2 3 2 5 2 2" xfId="15834"/>
    <cellStyle name="Normal 2 2 3 2 5 3" xfId="7608"/>
    <cellStyle name="Normal 2 2 3 2 5 3 2" xfId="14253"/>
    <cellStyle name="Normal 2 2 3 2 5 4" xfId="12479"/>
    <cellStyle name="Normal 2 2 3 2 6" xfId="9761"/>
    <cellStyle name="Normal 2 2 3 2 6 2" xfId="16252"/>
    <cellStyle name="Normal 2 2 3 2 7" xfId="8047"/>
    <cellStyle name="Normal 2 2 3 2 7 2" xfId="14647"/>
    <cellStyle name="Normal 2 2 3 2 8" xfId="6320"/>
    <cellStyle name="Normal 2 2 3 2 8 2" xfId="13043"/>
    <cellStyle name="Normal 2 2 3 2 9" xfId="11262"/>
    <cellStyle name="Normal 2 2 3 3" xfId="4112"/>
    <cellStyle name="Normal 2 2 3 3 2" xfId="4524"/>
    <cellStyle name="Normal 2 2 3 3 2 2" xfId="4932"/>
    <cellStyle name="Normal 2 2 3 3 2 2 2" xfId="8675"/>
    <cellStyle name="Normal 2 2 3 3 2 2 2 2" xfId="15223"/>
    <cellStyle name="Normal 2 2 3 3 2 2 3" xfId="6956"/>
    <cellStyle name="Normal 2 2 3 3 2 2 3 2" xfId="13642"/>
    <cellStyle name="Normal 2 2 3 3 2 2 4" xfId="11857"/>
    <cellStyle name="Normal 2 2 3 3 2 3" xfId="5351"/>
    <cellStyle name="Normal 2 2 3 3 2 3 2" xfId="9094"/>
    <cellStyle name="Normal 2 2 3 3 2 3 2 2" xfId="15638"/>
    <cellStyle name="Normal 2 2 3 3 2 3 3" xfId="7375"/>
    <cellStyle name="Normal 2 2 3 3 2 3 3 2" xfId="14057"/>
    <cellStyle name="Normal 2 2 3 3 2 3 4" xfId="12272"/>
    <cellStyle name="Normal 2 2 3 3 2 4" xfId="5789"/>
    <cellStyle name="Normal 2 2 3 3 2 4 2" xfId="9530"/>
    <cellStyle name="Normal 2 2 3 3 2 4 2 2" xfId="16032"/>
    <cellStyle name="Normal 2 2 3 3 2 4 3" xfId="7811"/>
    <cellStyle name="Normal 2 2 3 3 2 4 3 2" xfId="14451"/>
    <cellStyle name="Normal 2 2 3 3 2 4 4" xfId="12682"/>
    <cellStyle name="Normal 2 2 3 3 2 5" xfId="9928"/>
    <cellStyle name="Normal 2 2 3 3 2 5 2" xfId="16409"/>
    <cellStyle name="Normal 2 2 3 3 2 6" xfId="8288"/>
    <cellStyle name="Normal 2 2 3 3 2 6 2" xfId="14845"/>
    <cellStyle name="Normal 2 2 3 3 2 7" xfId="6569"/>
    <cellStyle name="Normal 2 2 3 3 2 7 2" xfId="13259"/>
    <cellStyle name="Normal 2 2 3 3 2 8" xfId="11469"/>
    <cellStyle name="Normal 2 2 3 3 3" xfId="4833"/>
    <cellStyle name="Normal 2 2 3 3 3 2" xfId="8576"/>
    <cellStyle name="Normal 2 2 3 3 3 2 2" xfId="15124"/>
    <cellStyle name="Normal 2 2 3 3 3 3" xfId="6857"/>
    <cellStyle name="Normal 2 2 3 3 3 3 2" xfId="13543"/>
    <cellStyle name="Normal 2 2 3 3 3 4" xfId="11758"/>
    <cellStyle name="Normal 2 2 3 3 4" xfId="5154"/>
    <cellStyle name="Normal 2 2 3 3 4 2" xfId="8897"/>
    <cellStyle name="Normal 2 2 3 3 4 2 2" xfId="15441"/>
    <cellStyle name="Normal 2 2 3 3 4 3" xfId="7178"/>
    <cellStyle name="Normal 2 2 3 3 4 3 2" xfId="13860"/>
    <cellStyle name="Normal 2 2 3 3 4 4" xfId="12075"/>
    <cellStyle name="Normal 2 2 3 3 5" xfId="5587"/>
    <cellStyle name="Normal 2 2 3 3 5 2" xfId="9328"/>
    <cellStyle name="Normal 2 2 3 3 5 2 2" xfId="15835"/>
    <cellStyle name="Normal 2 2 3 3 5 3" xfId="7609"/>
    <cellStyle name="Normal 2 2 3 3 5 3 2" xfId="14254"/>
    <cellStyle name="Normal 2 2 3 3 5 4" xfId="12480"/>
    <cellStyle name="Normal 2 2 3 3 6" xfId="9824"/>
    <cellStyle name="Normal 2 2 3 3 6 2" xfId="16310"/>
    <cellStyle name="Normal 2 2 3 3 7" xfId="8048"/>
    <cellStyle name="Normal 2 2 3 3 7 2" xfId="14648"/>
    <cellStyle name="Normal 2 2 3 3 8" xfId="6321"/>
    <cellStyle name="Normal 2 2 3 3 8 2" xfId="13044"/>
    <cellStyle name="Normal 2 2 3 3 9" xfId="11263"/>
    <cellStyle name="Normal 2 2 3 4" xfId="4468"/>
    <cellStyle name="Normal 2 2 3 4 2" xfId="4933"/>
    <cellStyle name="Normal 2 2 3 4 2 2" xfId="8676"/>
    <cellStyle name="Normal 2 2 3 4 2 2 2" xfId="15224"/>
    <cellStyle name="Normal 2 2 3 4 2 3" xfId="6957"/>
    <cellStyle name="Normal 2 2 3 4 2 3 2" xfId="13643"/>
    <cellStyle name="Normal 2 2 3 4 2 4" xfId="11858"/>
    <cellStyle name="Normal 2 2 3 4 3" xfId="5296"/>
    <cellStyle name="Normal 2 2 3 4 3 2" xfId="9039"/>
    <cellStyle name="Normal 2 2 3 4 3 2 2" xfId="15583"/>
    <cellStyle name="Normal 2 2 3 4 3 3" xfId="7320"/>
    <cellStyle name="Normal 2 2 3 4 3 3 2" xfId="14002"/>
    <cellStyle name="Normal 2 2 3 4 3 4" xfId="12217"/>
    <cellStyle name="Normal 2 2 3 4 4" xfId="5734"/>
    <cellStyle name="Normal 2 2 3 4 4 2" xfId="9475"/>
    <cellStyle name="Normal 2 2 3 4 4 2 2" xfId="15977"/>
    <cellStyle name="Normal 2 2 3 4 4 3" xfId="7756"/>
    <cellStyle name="Normal 2 2 3 4 4 3 2" xfId="14396"/>
    <cellStyle name="Normal 2 2 3 4 4 4" xfId="12627"/>
    <cellStyle name="Normal 2 2 3 4 5" xfId="9929"/>
    <cellStyle name="Normal 2 2 3 4 5 2" xfId="16410"/>
    <cellStyle name="Normal 2 2 3 4 6" xfId="8233"/>
    <cellStyle name="Normal 2 2 3 4 6 2" xfId="14790"/>
    <cellStyle name="Normal 2 2 3 4 7" xfId="6514"/>
    <cellStyle name="Normal 2 2 3 4 7 2" xfId="13204"/>
    <cellStyle name="Normal 2 2 3 4 8" xfId="11413"/>
    <cellStyle name="Normal 2 2 3 5" xfId="4680"/>
    <cellStyle name="Normal 2 2 3 5 2" xfId="8426"/>
    <cellStyle name="Normal 2 2 3 5 2 2" xfId="14978"/>
    <cellStyle name="Normal 2 2 3 5 3" xfId="6707"/>
    <cellStyle name="Normal 2 2 3 5 3 2" xfId="13397"/>
    <cellStyle name="Normal 2 2 3 5 4" xfId="11611"/>
    <cellStyle name="Normal 2 2 3 6" xfId="5095"/>
    <cellStyle name="Normal 2 2 3 6 2" xfId="8838"/>
    <cellStyle name="Normal 2 2 3 6 2 2" xfId="15386"/>
    <cellStyle name="Normal 2 2 3 6 3" xfId="7119"/>
    <cellStyle name="Normal 2 2 3 6 3 2" xfId="13805"/>
    <cellStyle name="Normal 2 2 3 6 4" xfId="12020"/>
    <cellStyle name="Normal 2 2 3 7" xfId="5532"/>
    <cellStyle name="Normal 2 2 3 7 2" xfId="9273"/>
    <cellStyle name="Normal 2 2 3 7 2 2" xfId="15780"/>
    <cellStyle name="Normal 2 2 3 7 3" xfId="7554"/>
    <cellStyle name="Normal 2 2 3 7 3 2" xfId="14199"/>
    <cellStyle name="Normal 2 2 3 7 4" xfId="12425"/>
    <cellStyle name="Normal 2 2 3 8" xfId="9660"/>
    <cellStyle name="Normal 2 2 3 8 2" xfId="16162"/>
    <cellStyle name="Normal 2 2 3 9" xfId="7953"/>
    <cellStyle name="Normal 2 2 3 9 2" xfId="14593"/>
    <cellStyle name="Normal 2 2 4" xfId="22"/>
    <cellStyle name="Normal 2 2 4 2" xfId="4458"/>
    <cellStyle name="Normal 2 2 4 2 2" xfId="4934"/>
    <cellStyle name="Normal 2 2 4 2 2 2" xfId="8677"/>
    <cellStyle name="Normal 2 2 4 2 2 2 2" xfId="15225"/>
    <cellStyle name="Normal 2 2 4 2 2 3" xfId="6958"/>
    <cellStyle name="Normal 2 2 4 2 2 3 2" xfId="13644"/>
    <cellStyle name="Normal 2 2 4 2 2 4" xfId="11859"/>
    <cellStyle name="Normal 2 2 4 2 3" xfId="5286"/>
    <cellStyle name="Normal 2 2 4 2 3 2" xfId="9029"/>
    <cellStyle name="Normal 2 2 4 2 3 2 2" xfId="15573"/>
    <cellStyle name="Normal 2 2 4 2 3 3" xfId="7310"/>
    <cellStyle name="Normal 2 2 4 2 3 3 2" xfId="13992"/>
    <cellStyle name="Normal 2 2 4 2 3 4" xfId="12207"/>
    <cellStyle name="Normal 2 2 4 2 4" xfId="5724"/>
    <cellStyle name="Normal 2 2 4 2 4 2" xfId="9465"/>
    <cellStyle name="Normal 2 2 4 2 4 2 2" xfId="15967"/>
    <cellStyle name="Normal 2 2 4 2 4 3" xfId="7746"/>
    <cellStyle name="Normal 2 2 4 2 4 3 2" xfId="14386"/>
    <cellStyle name="Normal 2 2 4 2 4 4" xfId="12617"/>
    <cellStyle name="Normal 2 2 4 2 5" xfId="9930"/>
    <cellStyle name="Normal 2 2 4 2 5 2" xfId="16411"/>
    <cellStyle name="Normal 2 2 4 2 6" xfId="8223"/>
    <cellStyle name="Normal 2 2 4 2 6 2" xfId="14780"/>
    <cellStyle name="Normal 2 2 4 2 7" xfId="6504"/>
    <cellStyle name="Normal 2 2 4 2 7 2" xfId="13194"/>
    <cellStyle name="Normal 2 2 4 2 8" xfId="11403"/>
    <cellStyle name="Normal 2 2 4 3" xfId="4768"/>
    <cellStyle name="Normal 2 2 4 3 2" xfId="8511"/>
    <cellStyle name="Normal 2 2 4 3 2 2" xfId="15063"/>
    <cellStyle name="Normal 2 2 4 3 3" xfId="6792"/>
    <cellStyle name="Normal 2 2 4 3 3 2" xfId="13482"/>
    <cellStyle name="Normal 2 2 4 3 4" xfId="11697"/>
    <cellStyle name="Normal 2 2 4 4" xfId="5085"/>
    <cellStyle name="Normal 2 2 4 4 2" xfId="8828"/>
    <cellStyle name="Normal 2 2 4 4 2 2" xfId="15376"/>
    <cellStyle name="Normal 2 2 4 4 3" xfId="7109"/>
    <cellStyle name="Normal 2 2 4 4 3 2" xfId="13795"/>
    <cellStyle name="Normal 2 2 4 4 4" xfId="12010"/>
    <cellStyle name="Normal 2 2 4 5" xfId="5522"/>
    <cellStyle name="Normal 2 2 4 5 2" xfId="9263"/>
    <cellStyle name="Normal 2 2 4 5 2 2" xfId="15770"/>
    <cellStyle name="Normal 2 2 4 5 3" xfId="7544"/>
    <cellStyle name="Normal 2 2 4 5 3 2" xfId="14189"/>
    <cellStyle name="Normal 2 2 4 5 4" xfId="12415"/>
    <cellStyle name="Normal 2 2 4 6" xfId="9758"/>
    <cellStyle name="Normal 2 2 4 6 2" xfId="16249"/>
    <cellStyle name="Normal 2 2 4 7" xfId="7943"/>
    <cellStyle name="Normal 2 2 4 7 2" xfId="14583"/>
    <cellStyle name="Normal 2 2 4 8" xfId="5922"/>
    <cellStyle name="Normal 2 2 4 8 2" xfId="12815"/>
    <cellStyle name="Normal 2 2 4 9" xfId="10257"/>
    <cellStyle name="Normal 2 2 5" xfId="4113"/>
    <cellStyle name="Normal 2 2 5 2" xfId="4525"/>
    <cellStyle name="Normal 2 2 5 2 2" xfId="4935"/>
    <cellStyle name="Normal 2 2 5 2 2 2" xfId="8678"/>
    <cellStyle name="Normal 2 2 5 2 2 2 2" xfId="15226"/>
    <cellStyle name="Normal 2 2 5 2 2 3" xfId="6959"/>
    <cellStyle name="Normal 2 2 5 2 2 3 2" xfId="13645"/>
    <cellStyle name="Normal 2 2 5 2 2 4" xfId="11860"/>
    <cellStyle name="Normal 2 2 5 2 3" xfId="5352"/>
    <cellStyle name="Normal 2 2 5 2 3 2" xfId="9095"/>
    <cellStyle name="Normal 2 2 5 2 3 2 2" xfId="15639"/>
    <cellStyle name="Normal 2 2 5 2 3 3" xfId="7376"/>
    <cellStyle name="Normal 2 2 5 2 3 3 2" xfId="14058"/>
    <cellStyle name="Normal 2 2 5 2 3 4" xfId="12273"/>
    <cellStyle name="Normal 2 2 5 2 4" xfId="5790"/>
    <cellStyle name="Normal 2 2 5 2 4 2" xfId="9531"/>
    <cellStyle name="Normal 2 2 5 2 4 2 2" xfId="16033"/>
    <cellStyle name="Normal 2 2 5 2 4 3" xfId="7812"/>
    <cellStyle name="Normal 2 2 5 2 4 3 2" xfId="14452"/>
    <cellStyle name="Normal 2 2 5 2 4 4" xfId="12683"/>
    <cellStyle name="Normal 2 2 5 2 5" xfId="9931"/>
    <cellStyle name="Normal 2 2 5 2 5 2" xfId="16412"/>
    <cellStyle name="Normal 2 2 5 2 6" xfId="8289"/>
    <cellStyle name="Normal 2 2 5 2 6 2" xfId="14846"/>
    <cellStyle name="Normal 2 2 5 2 7" xfId="6570"/>
    <cellStyle name="Normal 2 2 5 2 7 2" xfId="13260"/>
    <cellStyle name="Normal 2 2 5 2 8" xfId="11470"/>
    <cellStyle name="Normal 2 2 5 3" xfId="4823"/>
    <cellStyle name="Normal 2 2 5 3 2" xfId="8566"/>
    <cellStyle name="Normal 2 2 5 3 2 2" xfId="15114"/>
    <cellStyle name="Normal 2 2 5 3 3" xfId="6847"/>
    <cellStyle name="Normal 2 2 5 3 3 2" xfId="13533"/>
    <cellStyle name="Normal 2 2 5 3 4" xfId="11748"/>
    <cellStyle name="Normal 2 2 5 4" xfId="5155"/>
    <cellStyle name="Normal 2 2 5 4 2" xfId="8898"/>
    <cellStyle name="Normal 2 2 5 4 2 2" xfId="15442"/>
    <cellStyle name="Normal 2 2 5 4 3" xfId="7179"/>
    <cellStyle name="Normal 2 2 5 4 3 2" xfId="13861"/>
    <cellStyle name="Normal 2 2 5 4 4" xfId="12076"/>
    <cellStyle name="Normal 2 2 5 5" xfId="5588"/>
    <cellStyle name="Normal 2 2 5 5 2" xfId="9329"/>
    <cellStyle name="Normal 2 2 5 5 2 2" xfId="15836"/>
    <cellStyle name="Normal 2 2 5 5 3" xfId="7610"/>
    <cellStyle name="Normal 2 2 5 5 3 2" xfId="14255"/>
    <cellStyle name="Normal 2 2 5 5 4" xfId="12481"/>
    <cellStyle name="Normal 2 2 5 6" xfId="9814"/>
    <cellStyle name="Normal 2 2 5 6 2" xfId="16300"/>
    <cellStyle name="Normal 2 2 5 7" xfId="8049"/>
    <cellStyle name="Normal 2 2 5 7 2" xfId="14649"/>
    <cellStyle name="Normal 2 2 5 8" xfId="6322"/>
    <cellStyle name="Normal 2 2 5 8 2" xfId="13045"/>
    <cellStyle name="Normal 2 2 5 9" xfId="11264"/>
    <cellStyle name="Normal 2 2 6" xfId="4405"/>
    <cellStyle name="Normal 2 2 6 2" xfId="4619"/>
    <cellStyle name="Normal 2 2 6 2 2" xfId="4937"/>
    <cellStyle name="Normal 2 2 6 2 2 2" xfId="8680"/>
    <cellStyle name="Normal 2 2 6 2 2 2 2" xfId="15228"/>
    <cellStyle name="Normal 2 2 6 2 2 3" xfId="6961"/>
    <cellStyle name="Normal 2 2 6 2 2 3 2" xfId="13647"/>
    <cellStyle name="Normal 2 2 6 2 2 4" xfId="11862"/>
    <cellStyle name="Normal 2 2 6 2 3" xfId="5446"/>
    <cellStyle name="Normal 2 2 6 2 3 2" xfId="9189"/>
    <cellStyle name="Normal 2 2 6 2 3 2 2" xfId="15733"/>
    <cellStyle name="Normal 2 2 6 2 3 3" xfId="7470"/>
    <cellStyle name="Normal 2 2 6 2 3 3 2" xfId="14152"/>
    <cellStyle name="Normal 2 2 6 2 3 4" xfId="12367"/>
    <cellStyle name="Normal 2 2 6 2 4" xfId="5884"/>
    <cellStyle name="Normal 2 2 6 2 4 2" xfId="9625"/>
    <cellStyle name="Normal 2 2 6 2 4 2 2" xfId="16127"/>
    <cellStyle name="Normal 2 2 6 2 4 3" xfId="7906"/>
    <cellStyle name="Normal 2 2 6 2 4 3 2" xfId="14546"/>
    <cellStyle name="Normal 2 2 6 2 4 4" xfId="12777"/>
    <cellStyle name="Normal 2 2 6 2 5" xfId="9933"/>
    <cellStyle name="Normal 2 2 6 2 5 2" xfId="16414"/>
    <cellStyle name="Normal 2 2 6 2 6" xfId="8383"/>
    <cellStyle name="Normal 2 2 6 2 6 2" xfId="14940"/>
    <cellStyle name="Normal 2 2 6 2 7" xfId="6664"/>
    <cellStyle name="Normal 2 2 6 2 7 2" xfId="13354"/>
    <cellStyle name="Normal 2 2 6 2 8" xfId="11564"/>
    <cellStyle name="Normal 2 2 6 3" xfId="4936"/>
    <cellStyle name="Normal 2 2 6 3 2" xfId="8679"/>
    <cellStyle name="Normal 2 2 6 3 2 2" xfId="15227"/>
    <cellStyle name="Normal 2 2 6 3 3" xfId="6960"/>
    <cellStyle name="Normal 2 2 6 3 3 2" xfId="13646"/>
    <cellStyle name="Normal 2 2 6 3 4" xfId="11861"/>
    <cellStyle name="Normal 2 2 6 4" xfId="5249"/>
    <cellStyle name="Normal 2 2 6 4 2" xfId="8992"/>
    <cellStyle name="Normal 2 2 6 4 2 2" xfId="15536"/>
    <cellStyle name="Normal 2 2 6 4 3" xfId="7273"/>
    <cellStyle name="Normal 2 2 6 4 3 2" xfId="13955"/>
    <cellStyle name="Normal 2 2 6 4 4" xfId="12170"/>
    <cellStyle name="Normal 2 2 6 5" xfId="5687"/>
    <cellStyle name="Normal 2 2 6 5 2" xfId="9428"/>
    <cellStyle name="Normal 2 2 6 5 2 2" xfId="15930"/>
    <cellStyle name="Normal 2 2 6 5 3" xfId="7709"/>
    <cellStyle name="Normal 2 2 6 5 3 2" xfId="14349"/>
    <cellStyle name="Normal 2 2 6 5 4" xfId="12580"/>
    <cellStyle name="Normal 2 2 6 6" xfId="9932"/>
    <cellStyle name="Normal 2 2 6 6 2" xfId="16413"/>
    <cellStyle name="Normal 2 2 6 7" xfId="8186"/>
    <cellStyle name="Normal 2 2 6 7 2" xfId="14743"/>
    <cellStyle name="Normal 2 2 6 8" xfId="6467"/>
    <cellStyle name="Normal 2 2 6 8 2" xfId="13157"/>
    <cellStyle name="Normal 2 2 6 9" xfId="11363"/>
    <cellStyle name="Normal 2 2 7" xfId="4422"/>
    <cellStyle name="Normal 2 2 7 2" xfId="4631"/>
    <cellStyle name="Normal 2 2 7 2 2" xfId="4939"/>
    <cellStyle name="Normal 2 2 7 2 2 2" xfId="8682"/>
    <cellStyle name="Normal 2 2 7 2 2 2 2" xfId="15230"/>
    <cellStyle name="Normal 2 2 7 2 2 3" xfId="6963"/>
    <cellStyle name="Normal 2 2 7 2 2 3 2" xfId="13649"/>
    <cellStyle name="Normal 2 2 7 2 2 4" xfId="11864"/>
    <cellStyle name="Normal 2 2 7 2 3" xfId="5458"/>
    <cellStyle name="Normal 2 2 7 2 3 2" xfId="9201"/>
    <cellStyle name="Normal 2 2 7 2 3 2 2" xfId="15745"/>
    <cellStyle name="Normal 2 2 7 2 3 3" xfId="7482"/>
    <cellStyle name="Normal 2 2 7 2 3 3 2" xfId="14164"/>
    <cellStyle name="Normal 2 2 7 2 3 4" xfId="12379"/>
    <cellStyle name="Normal 2 2 7 2 4" xfId="5896"/>
    <cellStyle name="Normal 2 2 7 2 4 2" xfId="9637"/>
    <cellStyle name="Normal 2 2 7 2 4 2 2" xfId="16139"/>
    <cellStyle name="Normal 2 2 7 2 4 3" xfId="7918"/>
    <cellStyle name="Normal 2 2 7 2 4 3 2" xfId="14558"/>
    <cellStyle name="Normal 2 2 7 2 4 4" xfId="12789"/>
    <cellStyle name="Normal 2 2 7 2 5" xfId="9935"/>
    <cellStyle name="Normal 2 2 7 2 5 2" xfId="16416"/>
    <cellStyle name="Normal 2 2 7 2 6" xfId="8395"/>
    <cellStyle name="Normal 2 2 7 2 6 2" xfId="14952"/>
    <cellStyle name="Normal 2 2 7 2 7" xfId="6676"/>
    <cellStyle name="Normal 2 2 7 2 7 2" xfId="13366"/>
    <cellStyle name="Normal 2 2 7 2 8" xfId="11576"/>
    <cellStyle name="Normal 2 2 7 3" xfId="4938"/>
    <cellStyle name="Normal 2 2 7 3 2" xfId="8681"/>
    <cellStyle name="Normal 2 2 7 3 2 2" xfId="15229"/>
    <cellStyle name="Normal 2 2 7 3 3" xfId="6962"/>
    <cellStyle name="Normal 2 2 7 3 3 2" xfId="13648"/>
    <cellStyle name="Normal 2 2 7 3 4" xfId="11863"/>
    <cellStyle name="Normal 2 2 7 4" xfId="5261"/>
    <cellStyle name="Normal 2 2 7 4 2" xfId="9004"/>
    <cellStyle name="Normal 2 2 7 4 2 2" xfId="15548"/>
    <cellStyle name="Normal 2 2 7 4 3" xfId="7285"/>
    <cellStyle name="Normal 2 2 7 4 3 2" xfId="13967"/>
    <cellStyle name="Normal 2 2 7 4 4" xfId="12182"/>
    <cellStyle name="Normal 2 2 7 5" xfId="5699"/>
    <cellStyle name="Normal 2 2 7 5 2" xfId="9440"/>
    <cellStyle name="Normal 2 2 7 5 2 2" xfId="15942"/>
    <cellStyle name="Normal 2 2 7 5 3" xfId="7721"/>
    <cellStyle name="Normal 2 2 7 5 3 2" xfId="14361"/>
    <cellStyle name="Normal 2 2 7 5 4" xfId="12592"/>
    <cellStyle name="Normal 2 2 7 6" xfId="9934"/>
    <cellStyle name="Normal 2 2 7 6 2" xfId="16415"/>
    <cellStyle name="Normal 2 2 7 7" xfId="8198"/>
    <cellStyle name="Normal 2 2 7 7 2" xfId="14755"/>
    <cellStyle name="Normal 2 2 7 8" xfId="6479"/>
    <cellStyle name="Normal 2 2 7 8 2" xfId="13169"/>
    <cellStyle name="Normal 2 2 7 9" xfId="11377"/>
    <cellStyle name="Normal 2 2 8" xfId="4449"/>
    <cellStyle name="Normal 2 2 8 2" xfId="4940"/>
    <cellStyle name="Normal 2 2 8 2 2" xfId="8683"/>
    <cellStyle name="Normal 2 2 8 2 2 2" xfId="15231"/>
    <cellStyle name="Normal 2 2 8 2 3" xfId="6964"/>
    <cellStyle name="Normal 2 2 8 2 3 2" xfId="13650"/>
    <cellStyle name="Normal 2 2 8 2 4" xfId="11865"/>
    <cellStyle name="Normal 2 2 8 3" xfId="5277"/>
    <cellStyle name="Normal 2 2 8 3 2" xfId="9020"/>
    <cellStyle name="Normal 2 2 8 3 2 2" xfId="15564"/>
    <cellStyle name="Normal 2 2 8 3 3" xfId="7301"/>
    <cellStyle name="Normal 2 2 8 3 3 2" xfId="13983"/>
    <cellStyle name="Normal 2 2 8 3 4" xfId="12198"/>
    <cellStyle name="Normal 2 2 8 4" xfId="5715"/>
    <cellStyle name="Normal 2 2 8 4 2" xfId="9456"/>
    <cellStyle name="Normal 2 2 8 4 2 2" xfId="15958"/>
    <cellStyle name="Normal 2 2 8 4 3" xfId="7737"/>
    <cellStyle name="Normal 2 2 8 4 3 2" xfId="14377"/>
    <cellStyle name="Normal 2 2 8 4 4" xfId="12608"/>
    <cellStyle name="Normal 2 2 8 5" xfId="9936"/>
    <cellStyle name="Normal 2 2 8 5 2" xfId="16417"/>
    <cellStyle name="Normal 2 2 8 6" xfId="8214"/>
    <cellStyle name="Normal 2 2 8 6 2" xfId="14771"/>
    <cellStyle name="Normal 2 2 8 7" xfId="6495"/>
    <cellStyle name="Normal 2 2 8 7 2" xfId="13185"/>
    <cellStyle name="Normal 2 2 8 8" xfId="11394"/>
    <cellStyle name="Normal 2 2 9" xfId="4677"/>
    <cellStyle name="Normal 2 2 9 2" xfId="8423"/>
    <cellStyle name="Normal 2 2 9 2 2" xfId="14975"/>
    <cellStyle name="Normal 2 2 9 3" xfId="6704"/>
    <cellStyle name="Normal 2 2 9 3 2" xfId="13394"/>
    <cellStyle name="Normal 2 2 9 4" xfId="11608"/>
    <cellStyle name="Normal 2 3" xfId="15"/>
    <cellStyle name="Normal 2 3 2" xfId="37"/>
    <cellStyle name="Normal 2 3 3" xfId="26"/>
    <cellStyle name="Normal 2 3 3 2" xfId="4461"/>
    <cellStyle name="Normal 2 3 3 2 2" xfId="4941"/>
    <cellStyle name="Normal 2 3 3 2 2 2" xfId="8684"/>
    <cellStyle name="Normal 2 3 3 2 2 2 2" xfId="15232"/>
    <cellStyle name="Normal 2 3 3 2 2 3" xfId="6965"/>
    <cellStyle name="Normal 2 3 3 2 2 3 2" xfId="13651"/>
    <cellStyle name="Normal 2 3 3 2 2 4" xfId="11866"/>
    <cellStyle name="Normal 2 3 3 2 3" xfId="5289"/>
    <cellStyle name="Normal 2 3 3 2 3 2" xfId="9032"/>
    <cellStyle name="Normal 2 3 3 2 3 2 2" xfId="15576"/>
    <cellStyle name="Normal 2 3 3 2 3 3" xfId="7313"/>
    <cellStyle name="Normal 2 3 3 2 3 3 2" xfId="13995"/>
    <cellStyle name="Normal 2 3 3 2 3 4" xfId="12210"/>
    <cellStyle name="Normal 2 3 3 2 4" xfId="5727"/>
    <cellStyle name="Normal 2 3 3 2 4 2" xfId="9468"/>
    <cellStyle name="Normal 2 3 3 2 4 2 2" xfId="15970"/>
    <cellStyle name="Normal 2 3 3 2 4 3" xfId="7749"/>
    <cellStyle name="Normal 2 3 3 2 4 3 2" xfId="14389"/>
    <cellStyle name="Normal 2 3 3 2 4 4" xfId="12620"/>
    <cellStyle name="Normal 2 3 3 2 5" xfId="9937"/>
    <cellStyle name="Normal 2 3 3 2 5 2" xfId="16418"/>
    <cellStyle name="Normal 2 3 3 2 6" xfId="8226"/>
    <cellStyle name="Normal 2 3 3 2 6 2" xfId="14783"/>
    <cellStyle name="Normal 2 3 3 2 7" xfId="6507"/>
    <cellStyle name="Normal 2 3 3 2 7 2" xfId="13197"/>
    <cellStyle name="Normal 2 3 3 2 8" xfId="11406"/>
    <cellStyle name="Normal 2 3 3 3" xfId="4772"/>
    <cellStyle name="Normal 2 3 3 3 2" xfId="8515"/>
    <cellStyle name="Normal 2 3 3 3 2 2" xfId="15067"/>
    <cellStyle name="Normal 2 3 3 3 3" xfId="6796"/>
    <cellStyle name="Normal 2 3 3 3 3 2" xfId="13486"/>
    <cellStyle name="Normal 2 3 3 3 4" xfId="11701"/>
    <cellStyle name="Normal 2 3 3 4" xfId="5088"/>
    <cellStyle name="Normal 2 3 3 4 2" xfId="8831"/>
    <cellStyle name="Normal 2 3 3 4 2 2" xfId="15379"/>
    <cellStyle name="Normal 2 3 3 4 3" xfId="7112"/>
    <cellStyle name="Normal 2 3 3 4 3 2" xfId="13798"/>
    <cellStyle name="Normal 2 3 3 4 4" xfId="12013"/>
    <cellStyle name="Normal 2 3 3 5" xfId="5525"/>
    <cellStyle name="Normal 2 3 3 5 2" xfId="9266"/>
    <cellStyle name="Normal 2 3 3 5 2 2" xfId="15773"/>
    <cellStyle name="Normal 2 3 3 5 3" xfId="7547"/>
    <cellStyle name="Normal 2 3 3 5 3 2" xfId="14192"/>
    <cellStyle name="Normal 2 3 3 5 4" xfId="12418"/>
    <cellStyle name="Normal 2 3 3 6" xfId="9762"/>
    <cellStyle name="Normal 2 3 3 6 2" xfId="16253"/>
    <cellStyle name="Normal 2 3 3 7" xfId="7946"/>
    <cellStyle name="Normal 2 3 3 7 2" xfId="14586"/>
    <cellStyle name="Normal 2 3 3 8" xfId="5925"/>
    <cellStyle name="Normal 2 3 3 8 2" xfId="12818"/>
    <cellStyle name="Normal 2 3 3 9" xfId="10260"/>
    <cellStyle name="Normal 2 3 4" xfId="4114"/>
    <cellStyle name="Normal 2 3 4 2" xfId="4526"/>
    <cellStyle name="Normal 2 3 4 2 2" xfId="4942"/>
    <cellStyle name="Normal 2 3 4 2 2 2" xfId="8685"/>
    <cellStyle name="Normal 2 3 4 2 2 2 2" xfId="15233"/>
    <cellStyle name="Normal 2 3 4 2 2 3" xfId="6966"/>
    <cellStyle name="Normal 2 3 4 2 2 3 2" xfId="13652"/>
    <cellStyle name="Normal 2 3 4 2 2 4" xfId="11867"/>
    <cellStyle name="Normal 2 3 4 2 3" xfId="5353"/>
    <cellStyle name="Normal 2 3 4 2 3 2" xfId="9096"/>
    <cellStyle name="Normal 2 3 4 2 3 2 2" xfId="15640"/>
    <cellStyle name="Normal 2 3 4 2 3 3" xfId="7377"/>
    <cellStyle name="Normal 2 3 4 2 3 3 2" xfId="14059"/>
    <cellStyle name="Normal 2 3 4 2 3 4" xfId="12274"/>
    <cellStyle name="Normal 2 3 4 2 4" xfId="5791"/>
    <cellStyle name="Normal 2 3 4 2 4 2" xfId="9532"/>
    <cellStyle name="Normal 2 3 4 2 4 2 2" xfId="16034"/>
    <cellStyle name="Normal 2 3 4 2 4 3" xfId="7813"/>
    <cellStyle name="Normal 2 3 4 2 4 3 2" xfId="14453"/>
    <cellStyle name="Normal 2 3 4 2 4 4" xfId="12684"/>
    <cellStyle name="Normal 2 3 4 2 5" xfId="9938"/>
    <cellStyle name="Normal 2 3 4 2 5 2" xfId="16419"/>
    <cellStyle name="Normal 2 3 4 2 6" xfId="8290"/>
    <cellStyle name="Normal 2 3 4 2 6 2" xfId="14847"/>
    <cellStyle name="Normal 2 3 4 2 7" xfId="6571"/>
    <cellStyle name="Normal 2 3 4 2 7 2" xfId="13261"/>
    <cellStyle name="Normal 2 3 4 2 8" xfId="11471"/>
    <cellStyle name="Normal 2 3 4 3" xfId="4826"/>
    <cellStyle name="Normal 2 3 4 3 2" xfId="8569"/>
    <cellStyle name="Normal 2 3 4 3 2 2" xfId="15117"/>
    <cellStyle name="Normal 2 3 4 3 3" xfId="6850"/>
    <cellStyle name="Normal 2 3 4 3 3 2" xfId="13536"/>
    <cellStyle name="Normal 2 3 4 3 4" xfId="11751"/>
    <cellStyle name="Normal 2 3 4 4" xfId="5156"/>
    <cellStyle name="Normal 2 3 4 4 2" xfId="8899"/>
    <cellStyle name="Normal 2 3 4 4 2 2" xfId="15443"/>
    <cellStyle name="Normal 2 3 4 4 3" xfId="7180"/>
    <cellStyle name="Normal 2 3 4 4 3 2" xfId="13862"/>
    <cellStyle name="Normal 2 3 4 4 4" xfId="12077"/>
    <cellStyle name="Normal 2 3 4 5" xfId="5589"/>
    <cellStyle name="Normal 2 3 4 5 2" xfId="9330"/>
    <cellStyle name="Normal 2 3 4 5 2 2" xfId="15837"/>
    <cellStyle name="Normal 2 3 4 5 3" xfId="7611"/>
    <cellStyle name="Normal 2 3 4 5 3 2" xfId="14256"/>
    <cellStyle name="Normal 2 3 4 5 4" xfId="12482"/>
    <cellStyle name="Normal 2 3 4 6" xfId="9817"/>
    <cellStyle name="Normal 2 3 4 6 2" xfId="16303"/>
    <cellStyle name="Normal 2 3 4 7" xfId="8050"/>
    <cellStyle name="Normal 2 3 4 7 2" xfId="14650"/>
    <cellStyle name="Normal 2 3 4 8" xfId="6323"/>
    <cellStyle name="Normal 2 3 4 8 2" xfId="13046"/>
    <cellStyle name="Normal 2 3 4 9" xfId="11265"/>
    <cellStyle name="Normal 2 3 5" xfId="4681"/>
    <cellStyle name="Normal 2 3 5 2" xfId="8427"/>
    <cellStyle name="Normal 2 3 5 2 2" xfId="14979"/>
    <cellStyle name="Normal 2 3 5 3" xfId="6708"/>
    <cellStyle name="Normal 2 3 5 3 2" xfId="13398"/>
    <cellStyle name="Normal 2 3 5 4" xfId="11612"/>
    <cellStyle name="Normal 2 3 6" xfId="9661"/>
    <cellStyle name="Normal 2 3 6 2" xfId="16163"/>
    <cellStyle name="Normal 2 4" xfId="32"/>
    <cellStyle name="Normal 2 4 10" xfId="5931"/>
    <cellStyle name="Normal 2 4 10 2" xfId="12824"/>
    <cellStyle name="Normal 2 4 11" xfId="10266"/>
    <cellStyle name="Normal 2 4 2" xfId="4115"/>
    <cellStyle name="Normal 2 4 2 2" xfId="4527"/>
    <cellStyle name="Normal 2 4 2 2 2" xfId="4943"/>
    <cellStyle name="Normal 2 4 2 2 2 2" xfId="8686"/>
    <cellStyle name="Normal 2 4 2 2 2 2 2" xfId="15234"/>
    <cellStyle name="Normal 2 4 2 2 2 3" xfId="6967"/>
    <cellStyle name="Normal 2 4 2 2 2 3 2" xfId="13653"/>
    <cellStyle name="Normal 2 4 2 2 2 4" xfId="11868"/>
    <cellStyle name="Normal 2 4 2 2 3" xfId="5354"/>
    <cellStyle name="Normal 2 4 2 2 3 2" xfId="9097"/>
    <cellStyle name="Normal 2 4 2 2 3 2 2" xfId="15641"/>
    <cellStyle name="Normal 2 4 2 2 3 3" xfId="7378"/>
    <cellStyle name="Normal 2 4 2 2 3 3 2" xfId="14060"/>
    <cellStyle name="Normal 2 4 2 2 3 4" xfId="12275"/>
    <cellStyle name="Normal 2 4 2 2 4" xfId="5792"/>
    <cellStyle name="Normal 2 4 2 2 4 2" xfId="9533"/>
    <cellStyle name="Normal 2 4 2 2 4 2 2" xfId="16035"/>
    <cellStyle name="Normal 2 4 2 2 4 3" xfId="7814"/>
    <cellStyle name="Normal 2 4 2 2 4 3 2" xfId="14454"/>
    <cellStyle name="Normal 2 4 2 2 4 4" xfId="12685"/>
    <cellStyle name="Normal 2 4 2 2 5" xfId="9939"/>
    <cellStyle name="Normal 2 4 2 2 5 2" xfId="16420"/>
    <cellStyle name="Normal 2 4 2 2 6" xfId="8291"/>
    <cellStyle name="Normal 2 4 2 2 6 2" xfId="14848"/>
    <cellStyle name="Normal 2 4 2 2 7" xfId="6572"/>
    <cellStyle name="Normal 2 4 2 2 7 2" xfId="13262"/>
    <cellStyle name="Normal 2 4 2 2 8" xfId="11472"/>
    <cellStyle name="Normal 2 4 2 3" xfId="4773"/>
    <cellStyle name="Normal 2 4 2 3 2" xfId="8516"/>
    <cellStyle name="Normal 2 4 2 3 2 2" xfId="15068"/>
    <cellStyle name="Normal 2 4 2 3 3" xfId="6797"/>
    <cellStyle name="Normal 2 4 2 3 3 2" xfId="13487"/>
    <cellStyle name="Normal 2 4 2 3 4" xfId="11702"/>
    <cellStyle name="Normal 2 4 2 4" xfId="5157"/>
    <cellStyle name="Normal 2 4 2 4 2" xfId="8900"/>
    <cellStyle name="Normal 2 4 2 4 2 2" xfId="15444"/>
    <cellStyle name="Normal 2 4 2 4 3" xfId="7181"/>
    <cellStyle name="Normal 2 4 2 4 3 2" xfId="13863"/>
    <cellStyle name="Normal 2 4 2 4 4" xfId="12078"/>
    <cellStyle name="Normal 2 4 2 5" xfId="5590"/>
    <cellStyle name="Normal 2 4 2 5 2" xfId="9331"/>
    <cellStyle name="Normal 2 4 2 5 2 2" xfId="15838"/>
    <cellStyle name="Normal 2 4 2 5 3" xfId="7612"/>
    <cellStyle name="Normal 2 4 2 5 3 2" xfId="14257"/>
    <cellStyle name="Normal 2 4 2 5 4" xfId="12483"/>
    <cellStyle name="Normal 2 4 2 6" xfId="9763"/>
    <cellStyle name="Normal 2 4 2 6 2" xfId="16254"/>
    <cellStyle name="Normal 2 4 2 7" xfId="8051"/>
    <cellStyle name="Normal 2 4 2 7 2" xfId="14651"/>
    <cellStyle name="Normal 2 4 2 8" xfId="6324"/>
    <cellStyle name="Normal 2 4 2 8 2" xfId="13047"/>
    <cellStyle name="Normal 2 4 2 9" xfId="11266"/>
    <cellStyle name="Normal 2 4 3" xfId="4116"/>
    <cellStyle name="Normal 2 4 3 2" xfId="4528"/>
    <cellStyle name="Normal 2 4 3 2 2" xfId="4944"/>
    <cellStyle name="Normal 2 4 3 2 2 2" xfId="8687"/>
    <cellStyle name="Normal 2 4 3 2 2 2 2" xfId="15235"/>
    <cellStyle name="Normal 2 4 3 2 2 3" xfId="6968"/>
    <cellStyle name="Normal 2 4 3 2 2 3 2" xfId="13654"/>
    <cellStyle name="Normal 2 4 3 2 2 4" xfId="11869"/>
    <cellStyle name="Normal 2 4 3 2 3" xfId="5355"/>
    <cellStyle name="Normal 2 4 3 2 3 2" xfId="9098"/>
    <cellStyle name="Normal 2 4 3 2 3 2 2" xfId="15642"/>
    <cellStyle name="Normal 2 4 3 2 3 3" xfId="7379"/>
    <cellStyle name="Normal 2 4 3 2 3 3 2" xfId="14061"/>
    <cellStyle name="Normal 2 4 3 2 3 4" xfId="12276"/>
    <cellStyle name="Normal 2 4 3 2 4" xfId="5793"/>
    <cellStyle name="Normal 2 4 3 2 4 2" xfId="9534"/>
    <cellStyle name="Normal 2 4 3 2 4 2 2" xfId="16036"/>
    <cellStyle name="Normal 2 4 3 2 4 3" xfId="7815"/>
    <cellStyle name="Normal 2 4 3 2 4 3 2" xfId="14455"/>
    <cellStyle name="Normal 2 4 3 2 4 4" xfId="12686"/>
    <cellStyle name="Normal 2 4 3 2 5" xfId="9940"/>
    <cellStyle name="Normal 2 4 3 2 5 2" xfId="16421"/>
    <cellStyle name="Normal 2 4 3 2 6" xfId="8292"/>
    <cellStyle name="Normal 2 4 3 2 6 2" xfId="14849"/>
    <cellStyle name="Normal 2 4 3 2 7" xfId="6573"/>
    <cellStyle name="Normal 2 4 3 2 7 2" xfId="13263"/>
    <cellStyle name="Normal 2 4 3 2 8" xfId="11473"/>
    <cellStyle name="Normal 2 4 3 3" xfId="4832"/>
    <cellStyle name="Normal 2 4 3 3 2" xfId="8575"/>
    <cellStyle name="Normal 2 4 3 3 2 2" xfId="15123"/>
    <cellStyle name="Normal 2 4 3 3 3" xfId="6856"/>
    <cellStyle name="Normal 2 4 3 3 3 2" xfId="13542"/>
    <cellStyle name="Normal 2 4 3 3 4" xfId="11757"/>
    <cellStyle name="Normal 2 4 3 4" xfId="5158"/>
    <cellStyle name="Normal 2 4 3 4 2" xfId="8901"/>
    <cellStyle name="Normal 2 4 3 4 2 2" xfId="15445"/>
    <cellStyle name="Normal 2 4 3 4 3" xfId="7182"/>
    <cellStyle name="Normal 2 4 3 4 3 2" xfId="13864"/>
    <cellStyle name="Normal 2 4 3 4 4" xfId="12079"/>
    <cellStyle name="Normal 2 4 3 5" xfId="5591"/>
    <cellStyle name="Normal 2 4 3 5 2" xfId="9332"/>
    <cellStyle name="Normal 2 4 3 5 2 2" xfId="15839"/>
    <cellStyle name="Normal 2 4 3 5 3" xfId="7613"/>
    <cellStyle name="Normal 2 4 3 5 3 2" xfId="14258"/>
    <cellStyle name="Normal 2 4 3 5 4" xfId="12484"/>
    <cellStyle name="Normal 2 4 3 6" xfId="9823"/>
    <cellStyle name="Normal 2 4 3 6 2" xfId="16309"/>
    <cellStyle name="Normal 2 4 3 7" xfId="8052"/>
    <cellStyle name="Normal 2 4 3 7 2" xfId="14652"/>
    <cellStyle name="Normal 2 4 3 8" xfId="6325"/>
    <cellStyle name="Normal 2 4 3 8 2" xfId="13048"/>
    <cellStyle name="Normal 2 4 3 9" xfId="11267"/>
    <cellStyle name="Normal 2 4 4" xfId="4467"/>
    <cellStyle name="Normal 2 4 4 2" xfId="4945"/>
    <cellStyle name="Normal 2 4 4 2 2" xfId="8688"/>
    <cellStyle name="Normal 2 4 4 2 2 2" xfId="15236"/>
    <cellStyle name="Normal 2 4 4 2 3" xfId="6969"/>
    <cellStyle name="Normal 2 4 4 2 3 2" xfId="13655"/>
    <cellStyle name="Normal 2 4 4 2 4" xfId="11870"/>
    <cellStyle name="Normal 2 4 4 3" xfId="5295"/>
    <cellStyle name="Normal 2 4 4 3 2" xfId="9038"/>
    <cellStyle name="Normal 2 4 4 3 2 2" xfId="15582"/>
    <cellStyle name="Normal 2 4 4 3 3" xfId="7319"/>
    <cellStyle name="Normal 2 4 4 3 3 2" xfId="14001"/>
    <cellStyle name="Normal 2 4 4 3 4" xfId="12216"/>
    <cellStyle name="Normal 2 4 4 4" xfId="5733"/>
    <cellStyle name="Normal 2 4 4 4 2" xfId="9474"/>
    <cellStyle name="Normal 2 4 4 4 2 2" xfId="15976"/>
    <cellStyle name="Normal 2 4 4 4 3" xfId="7755"/>
    <cellStyle name="Normal 2 4 4 4 3 2" xfId="14395"/>
    <cellStyle name="Normal 2 4 4 4 4" xfId="12626"/>
    <cellStyle name="Normal 2 4 4 5" xfId="9941"/>
    <cellStyle name="Normal 2 4 4 5 2" xfId="16422"/>
    <cellStyle name="Normal 2 4 4 6" xfId="8232"/>
    <cellStyle name="Normal 2 4 4 6 2" xfId="14789"/>
    <cellStyle name="Normal 2 4 4 7" xfId="6513"/>
    <cellStyle name="Normal 2 4 4 7 2" xfId="13203"/>
    <cellStyle name="Normal 2 4 4 8" xfId="11412"/>
    <cellStyle name="Normal 2 4 5" xfId="4682"/>
    <cellStyle name="Normal 2 4 5 2" xfId="8428"/>
    <cellStyle name="Normal 2 4 5 2 2" xfId="14980"/>
    <cellStyle name="Normal 2 4 5 3" xfId="6709"/>
    <cellStyle name="Normal 2 4 5 3 2" xfId="13399"/>
    <cellStyle name="Normal 2 4 5 4" xfId="11613"/>
    <cellStyle name="Normal 2 4 6" xfId="5094"/>
    <cellStyle name="Normal 2 4 6 2" xfId="8837"/>
    <cellStyle name="Normal 2 4 6 2 2" xfId="15385"/>
    <cellStyle name="Normal 2 4 6 3" xfId="7118"/>
    <cellStyle name="Normal 2 4 6 3 2" xfId="13804"/>
    <cellStyle name="Normal 2 4 6 4" xfId="12019"/>
    <cellStyle name="Normal 2 4 7" xfId="5531"/>
    <cellStyle name="Normal 2 4 7 2" xfId="9272"/>
    <cellStyle name="Normal 2 4 7 2 2" xfId="15779"/>
    <cellStyle name="Normal 2 4 7 3" xfId="7553"/>
    <cellStyle name="Normal 2 4 7 3 2" xfId="14198"/>
    <cellStyle name="Normal 2 4 7 4" xfId="12424"/>
    <cellStyle name="Normal 2 4 8" xfId="9662"/>
    <cellStyle name="Normal 2 4 8 2" xfId="16164"/>
    <cellStyle name="Normal 2 4 9" xfId="7952"/>
    <cellStyle name="Normal 2 4 9 2" xfId="14592"/>
    <cellStyle name="Normal 2 5" xfId="4404"/>
    <cellStyle name="Normal 2 5 2" xfId="4618"/>
    <cellStyle name="Normal 2 5 2 2" xfId="4947"/>
    <cellStyle name="Normal 2 5 2 2 2" xfId="8690"/>
    <cellStyle name="Normal 2 5 2 2 2 2" xfId="15238"/>
    <cellStyle name="Normal 2 5 2 2 3" xfId="6971"/>
    <cellStyle name="Normal 2 5 2 2 3 2" xfId="13657"/>
    <cellStyle name="Normal 2 5 2 2 4" xfId="11872"/>
    <cellStyle name="Normal 2 5 2 3" xfId="5445"/>
    <cellStyle name="Normal 2 5 2 3 2" xfId="9188"/>
    <cellStyle name="Normal 2 5 2 3 2 2" xfId="15732"/>
    <cellStyle name="Normal 2 5 2 3 3" xfId="7469"/>
    <cellStyle name="Normal 2 5 2 3 3 2" xfId="14151"/>
    <cellStyle name="Normal 2 5 2 3 4" xfId="12366"/>
    <cellStyle name="Normal 2 5 2 4" xfId="5883"/>
    <cellStyle name="Normal 2 5 2 4 15 2 4" xfId="4117"/>
    <cellStyle name="Normal 2 5 2 4 2" xfId="9624"/>
    <cellStyle name="Normal 2 5 2 4 2 2" xfId="16126"/>
    <cellStyle name="Normal 2 5 2 4 3" xfId="7905"/>
    <cellStyle name="Normal 2 5 2 4 3 2" xfId="14545"/>
    <cellStyle name="Normal 2 5 2 4 4" xfId="12776"/>
    <cellStyle name="Normal 2 5 2 5" xfId="9943"/>
    <cellStyle name="Normal 2 5 2 5 2" xfId="16424"/>
    <cellStyle name="Normal 2 5 2 6" xfId="8382"/>
    <cellStyle name="Normal 2 5 2 6 2" xfId="14939"/>
    <cellStyle name="Normal 2 5 2 7" xfId="6663"/>
    <cellStyle name="Normal 2 5 2 7 2" xfId="13353"/>
    <cellStyle name="Normal 2 5 2 8" xfId="11563"/>
    <cellStyle name="Normal 2 5 3" xfId="4946"/>
    <cellStyle name="Normal 2 5 3 2" xfId="8689"/>
    <cellStyle name="Normal 2 5 3 2 2" xfId="15237"/>
    <cellStyle name="Normal 2 5 3 3" xfId="6970"/>
    <cellStyle name="Normal 2 5 3 3 2" xfId="13656"/>
    <cellStyle name="Normal 2 5 3 4" xfId="11871"/>
    <cellStyle name="Normal 2 5 4" xfId="5248"/>
    <cellStyle name="Normal 2 5 4 2" xfId="8991"/>
    <cellStyle name="Normal 2 5 4 2 2" xfId="15535"/>
    <cellStyle name="Normal 2 5 4 3" xfId="7272"/>
    <cellStyle name="Normal 2 5 4 3 2" xfId="13954"/>
    <cellStyle name="Normal 2 5 4 4" xfId="12169"/>
    <cellStyle name="Normal 2 5 5" xfId="5686"/>
    <cellStyle name="Normal 2 5 5 2" xfId="9427"/>
    <cellStyle name="Normal 2 5 5 2 2" xfId="15929"/>
    <cellStyle name="Normal 2 5 5 3" xfId="7708"/>
    <cellStyle name="Normal 2 5 5 3 2" xfId="14348"/>
    <cellStyle name="Normal 2 5 5 4" xfId="12579"/>
    <cellStyle name="Normal 2 5 6" xfId="9942"/>
    <cellStyle name="Normal 2 5 6 2" xfId="16423"/>
    <cellStyle name="Normal 2 5 7" xfId="8185"/>
    <cellStyle name="Normal 2 5 7 2" xfId="14742"/>
    <cellStyle name="Normal 2 5 8" xfId="6466"/>
    <cellStyle name="Normal 2 5 8 2" xfId="13156"/>
    <cellStyle name="Normal 2 5 9" xfId="11362"/>
    <cellStyle name="Normal 2 6" xfId="4421"/>
    <cellStyle name="Normal 2 6 2" xfId="4630"/>
    <cellStyle name="Normal 2 6 2 2" xfId="4949"/>
    <cellStyle name="Normal 2 6 2 2 2" xfId="8692"/>
    <cellStyle name="Normal 2 6 2 2 2 2" xfId="15240"/>
    <cellStyle name="Normal 2 6 2 2 3" xfId="6973"/>
    <cellStyle name="Normal 2 6 2 2 3 2" xfId="13659"/>
    <cellStyle name="Normal 2 6 2 2 4" xfId="11874"/>
    <cellStyle name="Normal 2 6 2 3" xfId="5457"/>
    <cellStyle name="Normal 2 6 2 3 2" xfId="9200"/>
    <cellStyle name="Normal 2 6 2 3 2 2" xfId="15744"/>
    <cellStyle name="Normal 2 6 2 3 3" xfId="7481"/>
    <cellStyle name="Normal 2 6 2 3 3 2" xfId="14163"/>
    <cellStyle name="Normal 2 6 2 3 4" xfId="12378"/>
    <cellStyle name="Normal 2 6 2 4" xfId="5895"/>
    <cellStyle name="Normal 2 6 2 4 2" xfId="9636"/>
    <cellStyle name="Normal 2 6 2 4 2 2" xfId="16138"/>
    <cellStyle name="Normal 2 6 2 4 3" xfId="7917"/>
    <cellStyle name="Normal 2 6 2 4 3 2" xfId="14557"/>
    <cellStyle name="Normal 2 6 2 4 4" xfId="12788"/>
    <cellStyle name="Normal 2 6 2 5" xfId="9945"/>
    <cellStyle name="Normal 2 6 2 5 2" xfId="16426"/>
    <cellStyle name="Normal 2 6 2 6" xfId="8394"/>
    <cellStyle name="Normal 2 6 2 6 2" xfId="14951"/>
    <cellStyle name="Normal 2 6 2 7" xfId="6675"/>
    <cellStyle name="Normal 2 6 2 7 2" xfId="13365"/>
    <cellStyle name="Normal 2 6 2 8" xfId="11575"/>
    <cellStyle name="Normal 2 6 3" xfId="4948"/>
    <cellStyle name="Normal 2 6 3 2" xfId="8691"/>
    <cellStyle name="Normal 2 6 3 2 2" xfId="15239"/>
    <cellStyle name="Normal 2 6 3 3" xfId="6972"/>
    <cellStyle name="Normal 2 6 3 3 2" xfId="13658"/>
    <cellStyle name="Normal 2 6 3 4" xfId="11873"/>
    <cellStyle name="Normal 2 6 4" xfId="5260"/>
    <cellStyle name="Normal 2 6 4 2" xfId="9003"/>
    <cellStyle name="Normal 2 6 4 2 2" xfId="15547"/>
    <cellStyle name="Normal 2 6 4 3" xfId="7284"/>
    <cellStyle name="Normal 2 6 4 3 2" xfId="13966"/>
    <cellStyle name="Normal 2 6 4 4" xfId="12181"/>
    <cellStyle name="Normal 2 6 5" xfId="5698"/>
    <cellStyle name="Normal 2 6 5 2" xfId="9439"/>
    <cellStyle name="Normal 2 6 5 2 2" xfId="15941"/>
    <cellStyle name="Normal 2 6 5 3" xfId="7720"/>
    <cellStyle name="Normal 2 6 5 3 2" xfId="14360"/>
    <cellStyle name="Normal 2 6 5 4" xfId="12591"/>
    <cellStyle name="Normal 2 6 6" xfId="9944"/>
    <cellStyle name="Normal 2 6 6 2" xfId="16425"/>
    <cellStyle name="Normal 2 6 7" xfId="8197"/>
    <cellStyle name="Normal 2 6 7 2" xfId="14754"/>
    <cellStyle name="Normal 2 6 8" xfId="6478"/>
    <cellStyle name="Normal 2 6 8 2" xfId="13168"/>
    <cellStyle name="Normal 2 6 9" xfId="11376"/>
    <cellStyle name="Normal 2 7" xfId="4448"/>
    <cellStyle name="Normal 2 7 2" xfId="4950"/>
    <cellStyle name="Normal 2 7 2 2" xfId="8693"/>
    <cellStyle name="Normal 2 7 2 2 2" xfId="15241"/>
    <cellStyle name="Normal 2 7 2 3" xfId="6974"/>
    <cellStyle name="Normal 2 7 2 3 2" xfId="13660"/>
    <cellStyle name="Normal 2 7 2 4" xfId="11875"/>
    <cellStyle name="Normal 2 7 3" xfId="5276"/>
    <cellStyle name="Normal 2 7 3 2" xfId="9019"/>
    <cellStyle name="Normal 2 7 3 2 2" xfId="15563"/>
    <cellStyle name="Normal 2 7 3 3" xfId="7300"/>
    <cellStyle name="Normal 2 7 3 3 2" xfId="13982"/>
    <cellStyle name="Normal 2 7 3 4" xfId="12197"/>
    <cellStyle name="Normal 2 7 4" xfId="5714"/>
    <cellStyle name="Normal 2 7 4 2" xfId="9455"/>
    <cellStyle name="Normal 2 7 4 2 2" xfId="15957"/>
    <cellStyle name="Normal 2 7 4 3" xfId="7736"/>
    <cellStyle name="Normal 2 7 4 3 2" xfId="14376"/>
    <cellStyle name="Normal 2 7 4 4" xfId="12607"/>
    <cellStyle name="Normal 2 7 5" xfId="9946"/>
    <cellStyle name="Normal 2 7 5 2" xfId="16427"/>
    <cellStyle name="Normal 2 7 6" xfId="8213"/>
    <cellStyle name="Normal 2 7 6 2" xfId="14770"/>
    <cellStyle name="Normal 2 7 7" xfId="6494"/>
    <cellStyle name="Normal 2 7 7 2" xfId="13184"/>
    <cellStyle name="Normal 2 7 8" xfId="11393"/>
    <cellStyle name="Normal 2 8" xfId="5075"/>
    <cellStyle name="Normal 2 8 2" xfId="8818"/>
    <cellStyle name="Normal 2 8 2 2" xfId="15366"/>
    <cellStyle name="Normal 2 8 3" xfId="7099"/>
    <cellStyle name="Normal 2 8 3 2" xfId="13785"/>
    <cellStyle name="Normal 2 8 4" xfId="12000"/>
    <cellStyle name="Normal 2 9" xfId="5512"/>
    <cellStyle name="Normal 2 9 2" xfId="9253"/>
    <cellStyle name="Normal 2 9 2 2" xfId="15760"/>
    <cellStyle name="Normal 2 9 3" xfId="7534"/>
    <cellStyle name="Normal 2 9 3 2" xfId="14179"/>
    <cellStyle name="Normal 2 9 4" xfId="12405"/>
    <cellStyle name="Normal 20" xfId="4118"/>
    <cellStyle name="Normal 20 10" xfId="6326"/>
    <cellStyle name="Normal 20 10 2" xfId="13049"/>
    <cellStyle name="Normal 20 11" xfId="11268"/>
    <cellStyle name="Normal 20 2" xfId="4119"/>
    <cellStyle name="Normal 20 2 2" xfId="4530"/>
    <cellStyle name="Normal 20 2 2 2" xfId="4951"/>
    <cellStyle name="Normal 20 2 2 2 2" xfId="8694"/>
    <cellStyle name="Normal 20 2 2 2 2 2" xfId="15242"/>
    <cellStyle name="Normal 20 2 2 2 3" xfId="6975"/>
    <cellStyle name="Normal 20 2 2 2 3 2" xfId="13661"/>
    <cellStyle name="Normal 20 2 2 2 4" xfId="11876"/>
    <cellStyle name="Normal 20 2 2 3" xfId="5357"/>
    <cellStyle name="Normal 20 2 2 3 2" xfId="9100"/>
    <cellStyle name="Normal 20 2 2 3 2 2" xfId="15644"/>
    <cellStyle name="Normal 20 2 2 3 3" xfId="7381"/>
    <cellStyle name="Normal 20 2 2 3 3 2" xfId="14063"/>
    <cellStyle name="Normal 20 2 2 3 4" xfId="12278"/>
    <cellStyle name="Normal 20 2 2 4" xfId="5795"/>
    <cellStyle name="Normal 20 2 2 4 2" xfId="9536"/>
    <cellStyle name="Normal 20 2 2 4 2 2" xfId="16038"/>
    <cellStyle name="Normal 20 2 2 4 3" xfId="7817"/>
    <cellStyle name="Normal 20 2 2 4 3 2" xfId="14457"/>
    <cellStyle name="Normal 20 2 2 4 4" xfId="12688"/>
    <cellStyle name="Normal 20 2 2 5" xfId="9947"/>
    <cellStyle name="Normal 20 2 2 5 2" xfId="16428"/>
    <cellStyle name="Normal 20 2 2 6" xfId="8294"/>
    <cellStyle name="Normal 20 2 2 6 2" xfId="14851"/>
    <cellStyle name="Normal 20 2 2 7" xfId="6575"/>
    <cellStyle name="Normal 20 2 2 7 2" xfId="13265"/>
    <cellStyle name="Normal 20 2 2 8" xfId="11475"/>
    <cellStyle name="Normal 20 2 3" xfId="4802"/>
    <cellStyle name="Normal 20 2 3 2" xfId="8545"/>
    <cellStyle name="Normal 20 2 3 2 2" xfId="15097"/>
    <cellStyle name="Normal 20 2 3 3" xfId="6826"/>
    <cellStyle name="Normal 20 2 3 3 2" xfId="13516"/>
    <cellStyle name="Normal 20 2 3 4" xfId="11731"/>
    <cellStyle name="Normal 20 2 4" xfId="5160"/>
    <cellStyle name="Normal 20 2 4 2" xfId="8903"/>
    <cellStyle name="Normal 20 2 4 2 2" xfId="15447"/>
    <cellStyle name="Normal 20 2 4 3" xfId="7184"/>
    <cellStyle name="Normal 20 2 4 3 2" xfId="13866"/>
    <cellStyle name="Normal 20 2 4 4" xfId="12081"/>
    <cellStyle name="Normal 20 2 5" xfId="5593"/>
    <cellStyle name="Normal 20 2 5 2" xfId="9334"/>
    <cellStyle name="Normal 20 2 5 2 2" xfId="15841"/>
    <cellStyle name="Normal 20 2 5 3" xfId="7615"/>
    <cellStyle name="Normal 20 2 5 3 2" xfId="14260"/>
    <cellStyle name="Normal 20 2 5 4" xfId="12486"/>
    <cellStyle name="Normal 20 2 6" xfId="9792"/>
    <cellStyle name="Normal 20 2 6 2" xfId="16283"/>
    <cellStyle name="Normal 20 2 7" xfId="8054"/>
    <cellStyle name="Normal 20 2 7 2" xfId="14654"/>
    <cellStyle name="Normal 20 2 8" xfId="6327"/>
    <cellStyle name="Normal 20 2 8 2" xfId="13050"/>
    <cellStyle name="Normal 20 2 9" xfId="11269"/>
    <cellStyle name="Normal 20 3" xfId="4120"/>
    <cellStyle name="Normal 20 4" xfId="4529"/>
    <cellStyle name="Normal 20 4 2" xfId="4952"/>
    <cellStyle name="Normal 20 4 2 2" xfId="8695"/>
    <cellStyle name="Normal 20 4 2 2 2" xfId="15243"/>
    <cellStyle name="Normal 20 4 2 3" xfId="6976"/>
    <cellStyle name="Normal 20 4 2 3 2" xfId="13662"/>
    <cellStyle name="Normal 20 4 2 4" xfId="11877"/>
    <cellStyle name="Normal 20 4 3" xfId="5356"/>
    <cellStyle name="Normal 20 4 3 2" xfId="9099"/>
    <cellStyle name="Normal 20 4 3 2 2" xfId="15643"/>
    <cellStyle name="Normal 20 4 3 3" xfId="7380"/>
    <cellStyle name="Normal 20 4 3 3 2" xfId="14062"/>
    <cellStyle name="Normal 20 4 3 4" xfId="12277"/>
    <cellStyle name="Normal 20 4 4" xfId="5794"/>
    <cellStyle name="Normal 20 4 4 2" xfId="9535"/>
    <cellStyle name="Normal 20 4 4 2 2" xfId="16037"/>
    <cellStyle name="Normal 20 4 4 3" xfId="7816"/>
    <cellStyle name="Normal 20 4 4 3 2" xfId="14456"/>
    <cellStyle name="Normal 20 4 4 4" xfId="12687"/>
    <cellStyle name="Normal 20 4 5" xfId="9948"/>
    <cellStyle name="Normal 20 4 5 2" xfId="16429"/>
    <cellStyle name="Normal 20 4 6" xfId="8293"/>
    <cellStyle name="Normal 20 4 6 2" xfId="14850"/>
    <cellStyle name="Normal 20 4 7" xfId="6574"/>
    <cellStyle name="Normal 20 4 7 2" xfId="13264"/>
    <cellStyle name="Normal 20 4 8" xfId="11474"/>
    <cellStyle name="Normal 20 5" xfId="4720"/>
    <cellStyle name="Normal 20 5 2" xfId="8464"/>
    <cellStyle name="Normal 20 5 2 2" xfId="15016"/>
    <cellStyle name="Normal 20 5 3" xfId="6745"/>
    <cellStyle name="Normal 20 5 3 2" xfId="13435"/>
    <cellStyle name="Normal 20 5 4" xfId="11649"/>
    <cellStyle name="Normal 20 6" xfId="5159"/>
    <cellStyle name="Normal 20 6 2" xfId="8902"/>
    <cellStyle name="Normal 20 6 2 2" xfId="15446"/>
    <cellStyle name="Normal 20 6 3" xfId="7183"/>
    <cellStyle name="Normal 20 6 3 2" xfId="13865"/>
    <cellStyle name="Normal 20 6 4" xfId="12080"/>
    <cellStyle name="Normal 20 7" xfId="5592"/>
    <cellStyle name="Normal 20 7 2" xfId="9333"/>
    <cellStyle name="Normal 20 7 2 2" xfId="15840"/>
    <cellStyle name="Normal 20 7 3" xfId="7614"/>
    <cellStyle name="Normal 20 7 3 2" xfId="14259"/>
    <cellStyle name="Normal 20 7 4" xfId="12485"/>
    <cellStyle name="Normal 20 8" xfId="9708"/>
    <cellStyle name="Normal 20 8 2" xfId="16201"/>
    <cellStyle name="Normal 20 9" xfId="8053"/>
    <cellStyle name="Normal 20 9 2" xfId="14653"/>
    <cellStyle name="Normal 21" xfId="4121"/>
    <cellStyle name="Normal 21 10" xfId="11270"/>
    <cellStyle name="Normal 21 2" xfId="4122"/>
    <cellStyle name="Normal 21 2 2" xfId="4532"/>
    <cellStyle name="Normal 21 2 2 2" xfId="4953"/>
    <cellStyle name="Normal 21 2 2 2 2" xfId="8696"/>
    <cellStyle name="Normal 21 2 2 2 2 2" xfId="15244"/>
    <cellStyle name="Normal 21 2 2 2 3" xfId="6977"/>
    <cellStyle name="Normal 21 2 2 2 3 2" xfId="13663"/>
    <cellStyle name="Normal 21 2 2 2 4" xfId="11878"/>
    <cellStyle name="Normal 21 2 2 3" xfId="5359"/>
    <cellStyle name="Normal 21 2 2 3 2" xfId="9102"/>
    <cellStyle name="Normal 21 2 2 3 2 2" xfId="15646"/>
    <cellStyle name="Normal 21 2 2 3 3" xfId="7383"/>
    <cellStyle name="Normal 21 2 2 3 3 2" xfId="14065"/>
    <cellStyle name="Normal 21 2 2 3 4" xfId="12280"/>
    <cellStyle name="Normal 21 2 2 4" xfId="5797"/>
    <cellStyle name="Normal 21 2 2 4 2" xfId="9538"/>
    <cellStyle name="Normal 21 2 2 4 2 2" xfId="16040"/>
    <cellStyle name="Normal 21 2 2 4 3" xfId="7819"/>
    <cellStyle name="Normal 21 2 2 4 3 2" xfId="14459"/>
    <cellStyle name="Normal 21 2 2 4 4" xfId="12690"/>
    <cellStyle name="Normal 21 2 2 5" xfId="9949"/>
    <cellStyle name="Normal 21 2 2 5 2" xfId="16430"/>
    <cellStyle name="Normal 21 2 2 6" xfId="8296"/>
    <cellStyle name="Normal 21 2 2 6 2" xfId="14853"/>
    <cellStyle name="Normal 21 2 2 7" xfId="6577"/>
    <cellStyle name="Normal 21 2 2 7 2" xfId="13267"/>
    <cellStyle name="Normal 21 2 2 8" xfId="11477"/>
    <cellStyle name="Normal 21 2 3" xfId="4804"/>
    <cellStyle name="Normal 21 2 3 2" xfId="8547"/>
    <cellStyle name="Normal 21 2 3 2 2" xfId="15099"/>
    <cellStyle name="Normal 21 2 3 3" xfId="6828"/>
    <cellStyle name="Normal 21 2 3 3 2" xfId="13518"/>
    <cellStyle name="Normal 21 2 3 4" xfId="11733"/>
    <cellStyle name="Normal 21 2 4" xfId="5162"/>
    <cellStyle name="Normal 21 2 4 2" xfId="8905"/>
    <cellStyle name="Normal 21 2 4 2 2" xfId="15449"/>
    <cellStyle name="Normal 21 2 4 3" xfId="7186"/>
    <cellStyle name="Normal 21 2 4 3 2" xfId="13868"/>
    <cellStyle name="Normal 21 2 4 4" xfId="12083"/>
    <cellStyle name="Normal 21 2 5" xfId="5595"/>
    <cellStyle name="Normal 21 2 5 2" xfId="9336"/>
    <cellStyle name="Normal 21 2 5 2 2" xfId="15843"/>
    <cellStyle name="Normal 21 2 5 3" xfId="7617"/>
    <cellStyle name="Normal 21 2 5 3 2" xfId="14262"/>
    <cellStyle name="Normal 21 2 5 4" xfId="12488"/>
    <cellStyle name="Normal 21 2 6" xfId="9794"/>
    <cellStyle name="Normal 21 2 6 2" xfId="16285"/>
    <cellStyle name="Normal 21 2 7" xfId="8056"/>
    <cellStyle name="Normal 21 2 7 2" xfId="14656"/>
    <cellStyle name="Normal 21 2 8" xfId="6329"/>
    <cellStyle name="Normal 21 2 8 2" xfId="13052"/>
    <cellStyle name="Normal 21 2 9" xfId="11271"/>
    <cellStyle name="Normal 21 3" xfId="4531"/>
    <cellStyle name="Normal 21 3 2" xfId="4954"/>
    <cellStyle name="Normal 21 3 2 2" xfId="8697"/>
    <cellStyle name="Normal 21 3 2 2 2" xfId="15245"/>
    <cellStyle name="Normal 21 3 2 3" xfId="6978"/>
    <cellStyle name="Normal 21 3 2 3 2" xfId="13664"/>
    <cellStyle name="Normal 21 3 2 4" xfId="11879"/>
    <cellStyle name="Normal 21 3 3" xfId="5358"/>
    <cellStyle name="Normal 21 3 3 2" xfId="9101"/>
    <cellStyle name="Normal 21 3 3 2 2" xfId="15645"/>
    <cellStyle name="Normal 21 3 3 3" xfId="7382"/>
    <cellStyle name="Normal 21 3 3 3 2" xfId="14064"/>
    <cellStyle name="Normal 21 3 3 4" xfId="12279"/>
    <cellStyle name="Normal 21 3 4" xfId="5796"/>
    <cellStyle name="Normal 21 3 4 2" xfId="9537"/>
    <cellStyle name="Normal 21 3 4 2 2" xfId="16039"/>
    <cellStyle name="Normal 21 3 4 3" xfId="7818"/>
    <cellStyle name="Normal 21 3 4 3 2" xfId="14458"/>
    <cellStyle name="Normal 21 3 4 4" xfId="12689"/>
    <cellStyle name="Normal 21 3 5" xfId="9950"/>
    <cellStyle name="Normal 21 3 5 2" xfId="16431"/>
    <cellStyle name="Normal 21 3 6" xfId="8295"/>
    <cellStyle name="Normal 21 3 6 2" xfId="14852"/>
    <cellStyle name="Normal 21 3 7" xfId="6576"/>
    <cellStyle name="Normal 21 3 7 2" xfId="13266"/>
    <cellStyle name="Normal 21 3 8" xfId="11476"/>
    <cellStyle name="Normal 21 4" xfId="4722"/>
    <cellStyle name="Normal 21 4 2" xfId="8466"/>
    <cellStyle name="Normal 21 4 2 2" xfId="15018"/>
    <cellStyle name="Normal 21 4 3" xfId="6747"/>
    <cellStyle name="Normal 21 4 3 2" xfId="13437"/>
    <cellStyle name="Normal 21 4 4" xfId="11651"/>
    <cellStyle name="Normal 21 5" xfId="5161"/>
    <cellStyle name="Normal 21 5 2" xfId="8904"/>
    <cellStyle name="Normal 21 5 2 2" xfId="15448"/>
    <cellStyle name="Normal 21 5 3" xfId="7185"/>
    <cellStyle name="Normal 21 5 3 2" xfId="13867"/>
    <cellStyle name="Normal 21 5 4" xfId="12082"/>
    <cellStyle name="Normal 21 6" xfId="5594"/>
    <cellStyle name="Normal 21 6 2" xfId="9335"/>
    <cellStyle name="Normal 21 6 2 2" xfId="15842"/>
    <cellStyle name="Normal 21 6 3" xfId="7616"/>
    <cellStyle name="Normal 21 6 3 2" xfId="14261"/>
    <cellStyle name="Normal 21 6 4" xfId="12487"/>
    <cellStyle name="Normal 21 7" xfId="9710"/>
    <cellStyle name="Normal 21 7 2" xfId="16203"/>
    <cellStyle name="Normal 21 8" xfId="8055"/>
    <cellStyle name="Normal 21 8 2" xfId="14655"/>
    <cellStyle name="Normal 21 9" xfId="6328"/>
    <cellStyle name="Normal 21 9 2" xfId="13051"/>
    <cellStyle name="Normal 22" xfId="4123"/>
    <cellStyle name="Normal 22 10" xfId="11272"/>
    <cellStyle name="Normal 22 2" xfId="4124"/>
    <cellStyle name="Normal 22 2 2" xfId="4534"/>
    <cellStyle name="Normal 22 2 2 2" xfId="4955"/>
    <cellStyle name="Normal 22 2 2 2 2" xfId="8698"/>
    <cellStyle name="Normal 22 2 2 2 2 2" xfId="15246"/>
    <cellStyle name="Normal 22 2 2 2 3" xfId="6979"/>
    <cellStyle name="Normal 22 2 2 2 3 2" xfId="13665"/>
    <cellStyle name="Normal 22 2 2 2 4" xfId="11880"/>
    <cellStyle name="Normal 22 2 2 3" xfId="5361"/>
    <cellStyle name="Normal 22 2 2 3 2" xfId="9104"/>
    <cellStyle name="Normal 22 2 2 3 2 2" xfId="15648"/>
    <cellStyle name="Normal 22 2 2 3 3" xfId="7385"/>
    <cellStyle name="Normal 22 2 2 3 3 2" xfId="14067"/>
    <cellStyle name="Normal 22 2 2 3 4" xfId="12282"/>
    <cellStyle name="Normal 22 2 2 4" xfId="5799"/>
    <cellStyle name="Normal 22 2 2 4 2" xfId="9540"/>
    <cellStyle name="Normal 22 2 2 4 2 2" xfId="16042"/>
    <cellStyle name="Normal 22 2 2 4 3" xfId="7821"/>
    <cellStyle name="Normal 22 2 2 4 3 2" xfId="14461"/>
    <cellStyle name="Normal 22 2 2 4 4" xfId="12692"/>
    <cellStyle name="Normal 22 2 2 5" xfId="9951"/>
    <cellStyle name="Normal 22 2 2 5 2" xfId="16432"/>
    <cellStyle name="Normal 22 2 2 6" xfId="8298"/>
    <cellStyle name="Normal 22 2 2 6 2" xfId="14855"/>
    <cellStyle name="Normal 22 2 2 7" xfId="6579"/>
    <cellStyle name="Normal 22 2 2 7 2" xfId="13269"/>
    <cellStyle name="Normal 22 2 2 8" xfId="11479"/>
    <cellStyle name="Normal 22 2 3" xfId="4805"/>
    <cellStyle name="Normal 22 2 3 2" xfId="8548"/>
    <cellStyle name="Normal 22 2 3 2 2" xfId="15100"/>
    <cellStyle name="Normal 22 2 3 3" xfId="6829"/>
    <cellStyle name="Normal 22 2 3 3 2" xfId="13519"/>
    <cellStyle name="Normal 22 2 3 4" xfId="11734"/>
    <cellStyle name="Normal 22 2 4" xfId="5164"/>
    <cellStyle name="Normal 22 2 4 2" xfId="8907"/>
    <cellStyle name="Normal 22 2 4 2 2" xfId="15451"/>
    <cellStyle name="Normal 22 2 4 3" xfId="7188"/>
    <cellStyle name="Normal 22 2 4 3 2" xfId="13870"/>
    <cellStyle name="Normal 22 2 4 4" xfId="12085"/>
    <cellStyle name="Normal 22 2 5" xfId="5597"/>
    <cellStyle name="Normal 22 2 5 2" xfId="9338"/>
    <cellStyle name="Normal 22 2 5 2 2" xfId="15845"/>
    <cellStyle name="Normal 22 2 5 3" xfId="7619"/>
    <cellStyle name="Normal 22 2 5 3 2" xfId="14264"/>
    <cellStyle name="Normal 22 2 5 4" xfId="12490"/>
    <cellStyle name="Normal 22 2 6" xfId="9795"/>
    <cellStyle name="Normal 22 2 6 2" xfId="16286"/>
    <cellStyle name="Normal 22 2 7" xfId="8058"/>
    <cellStyle name="Normal 22 2 7 2" xfId="14658"/>
    <cellStyle name="Normal 22 2 8" xfId="6331"/>
    <cellStyle name="Normal 22 2 8 2" xfId="13054"/>
    <cellStyle name="Normal 22 2 9" xfId="11273"/>
    <cellStyle name="Normal 22 3" xfId="4533"/>
    <cellStyle name="Normal 22 3 2" xfId="4956"/>
    <cellStyle name="Normal 22 3 2 2" xfId="8699"/>
    <cellStyle name="Normal 22 3 2 2 2" xfId="15247"/>
    <cellStyle name="Normal 22 3 2 3" xfId="6980"/>
    <cellStyle name="Normal 22 3 2 3 2" xfId="13666"/>
    <cellStyle name="Normal 22 3 2 4" xfId="11881"/>
    <cellStyle name="Normal 22 3 3" xfId="5360"/>
    <cellStyle name="Normal 22 3 3 2" xfId="9103"/>
    <cellStyle name="Normal 22 3 3 2 2" xfId="15647"/>
    <cellStyle name="Normal 22 3 3 3" xfId="7384"/>
    <cellStyle name="Normal 22 3 3 3 2" xfId="14066"/>
    <cellStyle name="Normal 22 3 3 4" xfId="12281"/>
    <cellStyle name="Normal 22 3 4" xfId="5798"/>
    <cellStyle name="Normal 22 3 4 2" xfId="9539"/>
    <cellStyle name="Normal 22 3 4 2 2" xfId="16041"/>
    <cellStyle name="Normal 22 3 4 3" xfId="7820"/>
    <cellStyle name="Normal 22 3 4 3 2" xfId="14460"/>
    <cellStyle name="Normal 22 3 4 4" xfId="12691"/>
    <cellStyle name="Normal 22 3 5" xfId="9952"/>
    <cellStyle name="Normal 22 3 5 2" xfId="16433"/>
    <cellStyle name="Normal 22 3 6" xfId="8297"/>
    <cellStyle name="Normal 22 3 6 2" xfId="14854"/>
    <cellStyle name="Normal 22 3 7" xfId="6578"/>
    <cellStyle name="Normal 22 3 7 2" xfId="13268"/>
    <cellStyle name="Normal 22 3 8" xfId="11478"/>
    <cellStyle name="Normal 22 4" xfId="4723"/>
    <cellStyle name="Normal 22 4 2" xfId="8467"/>
    <cellStyle name="Normal 22 4 2 2" xfId="15019"/>
    <cellStyle name="Normal 22 4 3" xfId="6748"/>
    <cellStyle name="Normal 22 4 3 2" xfId="13438"/>
    <cellStyle name="Normal 22 4 4" xfId="11652"/>
    <cellStyle name="Normal 22 5" xfId="5163"/>
    <cellStyle name="Normal 22 5 2" xfId="8906"/>
    <cellStyle name="Normal 22 5 2 2" xfId="15450"/>
    <cellStyle name="Normal 22 5 3" xfId="7187"/>
    <cellStyle name="Normal 22 5 3 2" xfId="13869"/>
    <cellStyle name="Normal 22 5 4" xfId="12084"/>
    <cellStyle name="Normal 22 6" xfId="5596"/>
    <cellStyle name="Normal 22 6 2" xfId="9337"/>
    <cellStyle name="Normal 22 6 2 2" xfId="15844"/>
    <cellStyle name="Normal 22 6 3" xfId="7618"/>
    <cellStyle name="Normal 22 6 3 2" xfId="14263"/>
    <cellStyle name="Normal 22 6 4" xfId="12489"/>
    <cellStyle name="Normal 22 7" xfId="9711"/>
    <cellStyle name="Normal 22 7 2" xfId="16204"/>
    <cellStyle name="Normal 22 8" xfId="8057"/>
    <cellStyle name="Normal 22 8 2" xfId="14657"/>
    <cellStyle name="Normal 22 9" xfId="6330"/>
    <cellStyle name="Normal 22 9 2" xfId="13053"/>
    <cellStyle name="Normal 23" xfId="4125"/>
    <cellStyle name="Normal 23 10" xfId="11274"/>
    <cellStyle name="Normal 23 2" xfId="4126"/>
    <cellStyle name="Normal 23 2 2" xfId="4536"/>
    <cellStyle name="Normal 23 2 2 2" xfId="4957"/>
    <cellStyle name="Normal 23 2 2 2 2" xfId="8700"/>
    <cellStyle name="Normal 23 2 2 2 2 2" xfId="15248"/>
    <cellStyle name="Normal 23 2 2 2 3" xfId="6981"/>
    <cellStyle name="Normal 23 2 2 2 3 2" xfId="13667"/>
    <cellStyle name="Normal 23 2 2 2 4" xfId="11882"/>
    <cellStyle name="Normal 23 2 2 3" xfId="5363"/>
    <cellStyle name="Normal 23 2 2 3 2" xfId="9106"/>
    <cellStyle name="Normal 23 2 2 3 2 2" xfId="15650"/>
    <cellStyle name="Normal 23 2 2 3 3" xfId="7387"/>
    <cellStyle name="Normal 23 2 2 3 3 2" xfId="14069"/>
    <cellStyle name="Normal 23 2 2 3 4" xfId="12284"/>
    <cellStyle name="Normal 23 2 2 4" xfId="5801"/>
    <cellStyle name="Normal 23 2 2 4 2" xfId="9542"/>
    <cellStyle name="Normal 23 2 2 4 2 2" xfId="16044"/>
    <cellStyle name="Normal 23 2 2 4 3" xfId="7823"/>
    <cellStyle name="Normal 23 2 2 4 3 2" xfId="14463"/>
    <cellStyle name="Normal 23 2 2 4 4" xfId="12694"/>
    <cellStyle name="Normal 23 2 2 5" xfId="9953"/>
    <cellStyle name="Normal 23 2 2 5 2" xfId="16434"/>
    <cellStyle name="Normal 23 2 2 6" xfId="8300"/>
    <cellStyle name="Normal 23 2 2 6 2" xfId="14857"/>
    <cellStyle name="Normal 23 2 2 7" xfId="6581"/>
    <cellStyle name="Normal 23 2 2 7 2" xfId="13271"/>
    <cellStyle name="Normal 23 2 2 8" xfId="11481"/>
    <cellStyle name="Normal 23 2 3" xfId="4808"/>
    <cellStyle name="Normal 23 2 3 2" xfId="8551"/>
    <cellStyle name="Normal 23 2 3 2 2" xfId="15103"/>
    <cellStyle name="Normal 23 2 3 3" xfId="6832"/>
    <cellStyle name="Normal 23 2 3 3 2" xfId="13522"/>
    <cellStyle name="Normal 23 2 3 4" xfId="11737"/>
    <cellStyle name="Normal 23 2 4" xfId="5166"/>
    <cellStyle name="Normal 23 2 4 2" xfId="8909"/>
    <cellStyle name="Normal 23 2 4 2 2" xfId="15453"/>
    <cellStyle name="Normal 23 2 4 3" xfId="7190"/>
    <cellStyle name="Normal 23 2 4 3 2" xfId="13872"/>
    <cellStyle name="Normal 23 2 4 4" xfId="12087"/>
    <cellStyle name="Normal 23 2 5" xfId="5599"/>
    <cellStyle name="Normal 23 2 5 2" xfId="9340"/>
    <cellStyle name="Normal 23 2 5 2 2" xfId="15847"/>
    <cellStyle name="Normal 23 2 5 3" xfId="7621"/>
    <cellStyle name="Normal 23 2 5 3 2" xfId="14266"/>
    <cellStyle name="Normal 23 2 5 4" xfId="12492"/>
    <cellStyle name="Normal 23 2 6" xfId="9798"/>
    <cellStyle name="Normal 23 2 6 2" xfId="16289"/>
    <cellStyle name="Normal 23 2 7" xfId="8060"/>
    <cellStyle name="Normal 23 2 7 2" xfId="14660"/>
    <cellStyle name="Normal 23 2 8" xfId="6333"/>
    <cellStyle name="Normal 23 2 8 2" xfId="13056"/>
    <cellStyle name="Normal 23 2 9" xfId="11275"/>
    <cellStyle name="Normal 23 3" xfId="4535"/>
    <cellStyle name="Normal 23 3 2" xfId="4958"/>
    <cellStyle name="Normal 23 3 2 2" xfId="8701"/>
    <cellStyle name="Normal 23 3 2 2 2" xfId="15249"/>
    <cellStyle name="Normal 23 3 2 3" xfId="6982"/>
    <cellStyle name="Normal 23 3 2 3 2" xfId="13668"/>
    <cellStyle name="Normal 23 3 2 4" xfId="11883"/>
    <cellStyle name="Normal 23 3 3" xfId="5362"/>
    <cellStyle name="Normal 23 3 3 2" xfId="9105"/>
    <cellStyle name="Normal 23 3 3 2 2" xfId="15649"/>
    <cellStyle name="Normal 23 3 3 3" xfId="7386"/>
    <cellStyle name="Normal 23 3 3 3 2" xfId="14068"/>
    <cellStyle name="Normal 23 3 3 4" xfId="12283"/>
    <cellStyle name="Normal 23 3 4" xfId="5800"/>
    <cellStyle name="Normal 23 3 4 2" xfId="9541"/>
    <cellStyle name="Normal 23 3 4 2 2" xfId="16043"/>
    <cellStyle name="Normal 23 3 4 3" xfId="7822"/>
    <cellStyle name="Normal 23 3 4 3 2" xfId="14462"/>
    <cellStyle name="Normal 23 3 4 4" xfId="12693"/>
    <cellStyle name="Normal 23 3 5" xfId="9954"/>
    <cellStyle name="Normal 23 3 5 2" xfId="16435"/>
    <cellStyle name="Normal 23 3 6" xfId="8299"/>
    <cellStyle name="Normal 23 3 6 2" xfId="14856"/>
    <cellStyle name="Normal 23 3 7" xfId="6580"/>
    <cellStyle name="Normal 23 3 7 2" xfId="13270"/>
    <cellStyle name="Normal 23 3 8" xfId="11480"/>
    <cellStyle name="Normal 23 4" xfId="4726"/>
    <cellStyle name="Normal 23 4 2" xfId="8470"/>
    <cellStyle name="Normal 23 4 2 2" xfId="15022"/>
    <cellStyle name="Normal 23 4 3" xfId="6751"/>
    <cellStyle name="Normal 23 4 3 2" xfId="13441"/>
    <cellStyle name="Normal 23 4 4" xfId="11655"/>
    <cellStyle name="Normal 23 5" xfId="5165"/>
    <cellStyle name="Normal 23 5 2" xfId="8908"/>
    <cellStyle name="Normal 23 5 2 2" xfId="15452"/>
    <cellStyle name="Normal 23 5 3" xfId="7189"/>
    <cellStyle name="Normal 23 5 3 2" xfId="13871"/>
    <cellStyle name="Normal 23 5 4" xfId="12086"/>
    <cellStyle name="Normal 23 6" xfId="5598"/>
    <cellStyle name="Normal 23 6 2" xfId="9339"/>
    <cellStyle name="Normal 23 6 2 2" xfId="15846"/>
    <cellStyle name="Normal 23 6 3" xfId="7620"/>
    <cellStyle name="Normal 23 6 3 2" xfId="14265"/>
    <cellStyle name="Normal 23 6 4" xfId="12491"/>
    <cellStyle name="Normal 23 7" xfId="9714"/>
    <cellStyle name="Normal 23 7 2" xfId="16207"/>
    <cellStyle name="Normal 23 8" xfId="8059"/>
    <cellStyle name="Normal 23 8 2" xfId="14659"/>
    <cellStyle name="Normal 23 9" xfId="6332"/>
    <cellStyle name="Normal 23 9 2" xfId="13055"/>
    <cellStyle name="Normal 24" xfId="4127"/>
    <cellStyle name="Normal 24 10" xfId="11276"/>
    <cellStyle name="Normal 24 2" xfId="4128"/>
    <cellStyle name="Normal 24 2 2" xfId="4538"/>
    <cellStyle name="Normal 24 2 2 2" xfId="4959"/>
    <cellStyle name="Normal 24 2 2 2 2" xfId="8702"/>
    <cellStyle name="Normal 24 2 2 2 2 2" xfId="15250"/>
    <cellStyle name="Normal 24 2 2 2 3" xfId="6983"/>
    <cellStyle name="Normal 24 2 2 2 3 2" xfId="13669"/>
    <cellStyle name="Normal 24 2 2 2 4" xfId="11884"/>
    <cellStyle name="Normal 24 2 2 3" xfId="5365"/>
    <cellStyle name="Normal 24 2 2 3 2" xfId="9108"/>
    <cellStyle name="Normal 24 2 2 3 2 2" xfId="15652"/>
    <cellStyle name="Normal 24 2 2 3 3" xfId="7389"/>
    <cellStyle name="Normal 24 2 2 3 3 2" xfId="14071"/>
    <cellStyle name="Normal 24 2 2 3 4" xfId="12286"/>
    <cellStyle name="Normal 24 2 2 4" xfId="5803"/>
    <cellStyle name="Normal 24 2 2 4 2" xfId="9544"/>
    <cellStyle name="Normal 24 2 2 4 2 2" xfId="16046"/>
    <cellStyle name="Normal 24 2 2 4 3" xfId="7825"/>
    <cellStyle name="Normal 24 2 2 4 3 2" xfId="14465"/>
    <cellStyle name="Normal 24 2 2 4 4" xfId="12696"/>
    <cellStyle name="Normal 24 2 2 5" xfId="9955"/>
    <cellStyle name="Normal 24 2 2 5 2" xfId="16436"/>
    <cellStyle name="Normal 24 2 2 6" xfId="8302"/>
    <cellStyle name="Normal 24 2 2 6 2" xfId="14859"/>
    <cellStyle name="Normal 24 2 2 7" xfId="6583"/>
    <cellStyle name="Normal 24 2 2 7 2" xfId="13273"/>
    <cellStyle name="Normal 24 2 2 8" xfId="11483"/>
    <cellStyle name="Normal 24 2 3" xfId="4809"/>
    <cellStyle name="Normal 24 2 3 2" xfId="8552"/>
    <cellStyle name="Normal 24 2 3 2 2" xfId="15104"/>
    <cellStyle name="Normal 24 2 3 3" xfId="6833"/>
    <cellStyle name="Normal 24 2 3 3 2" xfId="13523"/>
    <cellStyle name="Normal 24 2 3 4" xfId="11738"/>
    <cellStyle name="Normal 24 2 4" xfId="5168"/>
    <cellStyle name="Normal 24 2 4 2" xfId="8911"/>
    <cellStyle name="Normal 24 2 4 2 2" xfId="15455"/>
    <cellStyle name="Normal 24 2 4 3" xfId="7192"/>
    <cellStyle name="Normal 24 2 4 3 2" xfId="13874"/>
    <cellStyle name="Normal 24 2 4 4" xfId="12089"/>
    <cellStyle name="Normal 24 2 5" xfId="5601"/>
    <cellStyle name="Normal 24 2 5 2" xfId="9342"/>
    <cellStyle name="Normal 24 2 5 2 2" xfId="15849"/>
    <cellStyle name="Normal 24 2 5 3" xfId="7623"/>
    <cellStyle name="Normal 24 2 5 3 2" xfId="14268"/>
    <cellStyle name="Normal 24 2 5 4" xfId="12494"/>
    <cellStyle name="Normal 24 2 6" xfId="9799"/>
    <cellStyle name="Normal 24 2 6 2" xfId="16290"/>
    <cellStyle name="Normal 24 2 7" xfId="8062"/>
    <cellStyle name="Normal 24 2 7 2" xfId="14662"/>
    <cellStyle name="Normal 24 2 8" xfId="6335"/>
    <cellStyle name="Normal 24 2 8 2" xfId="13058"/>
    <cellStyle name="Normal 24 2 9" xfId="11277"/>
    <cellStyle name="Normal 24 3" xfId="4537"/>
    <cellStyle name="Normal 24 3 2" xfId="4960"/>
    <cellStyle name="Normal 24 3 2 2" xfId="8703"/>
    <cellStyle name="Normal 24 3 2 2 2" xfId="15251"/>
    <cellStyle name="Normal 24 3 2 3" xfId="6984"/>
    <cellStyle name="Normal 24 3 2 3 2" xfId="13670"/>
    <cellStyle name="Normal 24 3 2 4" xfId="11885"/>
    <cellStyle name="Normal 24 3 3" xfId="5364"/>
    <cellStyle name="Normal 24 3 3 2" xfId="9107"/>
    <cellStyle name="Normal 24 3 3 2 2" xfId="15651"/>
    <cellStyle name="Normal 24 3 3 3" xfId="7388"/>
    <cellStyle name="Normal 24 3 3 3 2" xfId="14070"/>
    <cellStyle name="Normal 24 3 3 4" xfId="12285"/>
    <cellStyle name="Normal 24 3 4" xfId="5802"/>
    <cellStyle name="Normal 24 3 4 2" xfId="9543"/>
    <cellStyle name="Normal 24 3 4 2 2" xfId="16045"/>
    <cellStyle name="Normal 24 3 4 3" xfId="7824"/>
    <cellStyle name="Normal 24 3 4 3 2" xfId="14464"/>
    <cellStyle name="Normal 24 3 4 4" xfId="12695"/>
    <cellStyle name="Normal 24 3 5" xfId="9956"/>
    <cellStyle name="Normal 24 3 5 2" xfId="16437"/>
    <cellStyle name="Normal 24 3 6" xfId="8301"/>
    <cellStyle name="Normal 24 3 6 2" xfId="14858"/>
    <cellStyle name="Normal 24 3 7" xfId="6582"/>
    <cellStyle name="Normal 24 3 7 2" xfId="13272"/>
    <cellStyle name="Normal 24 3 8" xfId="11482"/>
    <cellStyle name="Normal 24 4" xfId="4727"/>
    <cellStyle name="Normal 24 4 2" xfId="8471"/>
    <cellStyle name="Normal 24 4 2 2" xfId="15023"/>
    <cellStyle name="Normal 24 4 3" xfId="6752"/>
    <cellStyle name="Normal 24 4 3 2" xfId="13442"/>
    <cellStyle name="Normal 24 4 4" xfId="11656"/>
    <cellStyle name="Normal 24 5" xfId="5167"/>
    <cellStyle name="Normal 24 5 2" xfId="8910"/>
    <cellStyle name="Normal 24 5 2 2" xfId="15454"/>
    <cellStyle name="Normal 24 5 3" xfId="7191"/>
    <cellStyle name="Normal 24 5 3 2" xfId="13873"/>
    <cellStyle name="Normal 24 5 4" xfId="12088"/>
    <cellStyle name="Normal 24 6" xfId="5600"/>
    <cellStyle name="Normal 24 6 2" xfId="9341"/>
    <cellStyle name="Normal 24 6 2 2" xfId="15848"/>
    <cellStyle name="Normal 24 6 3" xfId="7622"/>
    <cellStyle name="Normal 24 6 3 2" xfId="14267"/>
    <cellStyle name="Normal 24 6 4" xfId="12493"/>
    <cellStyle name="Normal 24 7" xfId="9715"/>
    <cellStyle name="Normal 24 7 2" xfId="16208"/>
    <cellStyle name="Normal 24 8" xfId="8061"/>
    <cellStyle name="Normal 24 8 2" xfId="14661"/>
    <cellStyle name="Normal 24 9" xfId="6334"/>
    <cellStyle name="Normal 24 9 2" xfId="13057"/>
    <cellStyle name="Normal 25" xfId="4129"/>
    <cellStyle name="Normal 25 10" xfId="11278"/>
    <cellStyle name="Normal 25 2" xfId="4130"/>
    <cellStyle name="Normal 25 3" xfId="4539"/>
    <cellStyle name="Normal 25 3 2" xfId="4961"/>
    <cellStyle name="Normal 25 3 2 2" xfId="8704"/>
    <cellStyle name="Normal 25 3 2 2 2" xfId="15252"/>
    <cellStyle name="Normal 25 3 2 3" xfId="6985"/>
    <cellStyle name="Normal 25 3 2 3 2" xfId="13671"/>
    <cellStyle name="Normal 25 3 2 4" xfId="11886"/>
    <cellStyle name="Normal 25 3 3" xfId="5366"/>
    <cellStyle name="Normal 25 3 3 2" xfId="9109"/>
    <cellStyle name="Normal 25 3 3 2 2" xfId="15653"/>
    <cellStyle name="Normal 25 3 3 3" xfId="7390"/>
    <cellStyle name="Normal 25 3 3 3 2" xfId="14072"/>
    <cellStyle name="Normal 25 3 3 4" xfId="12287"/>
    <cellStyle name="Normal 25 3 4" xfId="5804"/>
    <cellStyle name="Normal 25 3 4 2" xfId="9545"/>
    <cellStyle name="Normal 25 3 4 2 2" xfId="16047"/>
    <cellStyle name="Normal 25 3 4 3" xfId="7826"/>
    <cellStyle name="Normal 25 3 4 3 2" xfId="14466"/>
    <cellStyle name="Normal 25 3 4 4" xfId="12697"/>
    <cellStyle name="Normal 25 3 5" xfId="9957"/>
    <cellStyle name="Normal 25 3 5 2" xfId="16438"/>
    <cellStyle name="Normal 25 3 6" xfId="8303"/>
    <cellStyle name="Normal 25 3 6 2" xfId="14860"/>
    <cellStyle name="Normal 25 3 7" xfId="6584"/>
    <cellStyle name="Normal 25 3 7 2" xfId="13274"/>
    <cellStyle name="Normal 25 3 8" xfId="11484"/>
    <cellStyle name="Normal 25 4" xfId="4734"/>
    <cellStyle name="Normal 25 4 2" xfId="8477"/>
    <cellStyle name="Normal 25 4 2 2" xfId="15029"/>
    <cellStyle name="Normal 25 4 3" xfId="6758"/>
    <cellStyle name="Normal 25 4 3 2" xfId="13448"/>
    <cellStyle name="Normal 25 4 4" xfId="11663"/>
    <cellStyle name="Normal 25 5" xfId="5169"/>
    <cellStyle name="Normal 25 5 2" xfId="8912"/>
    <cellStyle name="Normal 25 5 2 2" xfId="15456"/>
    <cellStyle name="Normal 25 5 3" xfId="7193"/>
    <cellStyle name="Normal 25 5 3 2" xfId="13875"/>
    <cellStyle name="Normal 25 5 4" xfId="12090"/>
    <cellStyle name="Normal 25 6" xfId="5602"/>
    <cellStyle name="Normal 25 6 2" xfId="9343"/>
    <cellStyle name="Normal 25 6 2 2" xfId="15850"/>
    <cellStyle name="Normal 25 6 3" xfId="7624"/>
    <cellStyle name="Normal 25 6 3 2" xfId="14269"/>
    <cellStyle name="Normal 25 6 4" xfId="12495"/>
    <cellStyle name="Normal 25 7" xfId="9722"/>
    <cellStyle name="Normal 25 7 2" xfId="16215"/>
    <cellStyle name="Normal 25 8" xfId="8063"/>
    <cellStyle name="Normal 25 8 2" xfId="14663"/>
    <cellStyle name="Normal 25 9" xfId="6336"/>
    <cellStyle name="Normal 25 9 2" xfId="13059"/>
    <cellStyle name="Normal 26" xfId="4131"/>
    <cellStyle name="Normal 26 2" xfId="4540"/>
    <cellStyle name="Normal 26 2 2" xfId="4962"/>
    <cellStyle name="Normal 26 2 2 2" xfId="8705"/>
    <cellStyle name="Normal 26 2 2 2 2" xfId="15253"/>
    <cellStyle name="Normal 26 2 2 3" xfId="6986"/>
    <cellStyle name="Normal 26 2 2 3 2" xfId="13672"/>
    <cellStyle name="Normal 26 2 2 4" xfId="11887"/>
    <cellStyle name="Normal 26 2 3" xfId="5367"/>
    <cellStyle name="Normal 26 2 3 2" xfId="9110"/>
    <cellStyle name="Normal 26 2 3 2 2" xfId="15654"/>
    <cellStyle name="Normal 26 2 3 3" xfId="7391"/>
    <cellStyle name="Normal 26 2 3 3 2" xfId="14073"/>
    <cellStyle name="Normal 26 2 3 4" xfId="12288"/>
    <cellStyle name="Normal 26 2 4" xfId="5805"/>
    <cellStyle name="Normal 26 2 4 2" xfId="9546"/>
    <cellStyle name="Normal 26 2 4 2 2" xfId="16048"/>
    <cellStyle name="Normal 26 2 4 3" xfId="7827"/>
    <cellStyle name="Normal 26 2 4 3 2" xfId="14467"/>
    <cellStyle name="Normal 26 2 4 4" xfId="12698"/>
    <cellStyle name="Normal 26 2 5" xfId="9958"/>
    <cellStyle name="Normal 26 2 5 2" xfId="16439"/>
    <cellStyle name="Normal 26 2 6" xfId="8304"/>
    <cellStyle name="Normal 26 2 6 2" xfId="14861"/>
    <cellStyle name="Normal 26 2 7" xfId="6585"/>
    <cellStyle name="Normal 26 2 7 2" xfId="13275"/>
    <cellStyle name="Normal 26 2 8" xfId="11485"/>
    <cellStyle name="Normal 26 3" xfId="4737"/>
    <cellStyle name="Normal 26 3 2" xfId="8480"/>
    <cellStyle name="Normal 26 3 2 2" xfId="15032"/>
    <cellStyle name="Normal 26 3 3" xfId="6761"/>
    <cellStyle name="Normal 26 3 3 2" xfId="13451"/>
    <cellStyle name="Normal 26 3 4" xfId="11666"/>
    <cellStyle name="Normal 26 4" xfId="5170"/>
    <cellStyle name="Normal 26 4 2" xfId="8913"/>
    <cellStyle name="Normal 26 4 2 2" xfId="15457"/>
    <cellStyle name="Normal 26 4 3" xfId="7194"/>
    <cellStyle name="Normal 26 4 3 2" xfId="13876"/>
    <cellStyle name="Normal 26 4 4" xfId="12091"/>
    <cellStyle name="Normal 26 5" xfId="5603"/>
    <cellStyle name="Normal 26 5 2" xfId="9344"/>
    <cellStyle name="Normal 26 5 2 2" xfId="15851"/>
    <cellStyle name="Normal 26 5 3" xfId="7625"/>
    <cellStyle name="Normal 26 5 3 2" xfId="14270"/>
    <cellStyle name="Normal 26 5 4" xfId="12496"/>
    <cellStyle name="Normal 26 6" xfId="9725"/>
    <cellStyle name="Normal 26 6 2" xfId="16218"/>
    <cellStyle name="Normal 26 7" xfId="8064"/>
    <cellStyle name="Normal 26 7 2" xfId="14664"/>
    <cellStyle name="Normal 26 8" xfId="6337"/>
    <cellStyle name="Normal 26 8 2" xfId="13060"/>
    <cellStyle name="Normal 26 9" xfId="11279"/>
    <cellStyle name="Normal 27" xfId="4132"/>
    <cellStyle name="Normal 27 2" xfId="4541"/>
    <cellStyle name="Normal 27 2 2" xfId="4963"/>
    <cellStyle name="Normal 27 2 2 2" xfId="8706"/>
    <cellStyle name="Normal 27 2 2 2 2" xfId="15254"/>
    <cellStyle name="Normal 27 2 2 3" xfId="6987"/>
    <cellStyle name="Normal 27 2 2 3 2" xfId="13673"/>
    <cellStyle name="Normal 27 2 2 4" xfId="11888"/>
    <cellStyle name="Normal 27 2 3" xfId="5368"/>
    <cellStyle name="Normal 27 2 3 2" xfId="9111"/>
    <cellStyle name="Normal 27 2 3 2 2" xfId="15655"/>
    <cellStyle name="Normal 27 2 3 3" xfId="7392"/>
    <cellStyle name="Normal 27 2 3 3 2" xfId="14074"/>
    <cellStyle name="Normal 27 2 3 4" xfId="12289"/>
    <cellStyle name="Normal 27 2 4" xfId="5806"/>
    <cellStyle name="Normal 27 2 4 2" xfId="9547"/>
    <cellStyle name="Normal 27 2 4 2 2" xfId="16049"/>
    <cellStyle name="Normal 27 2 4 3" xfId="7828"/>
    <cellStyle name="Normal 27 2 4 3 2" xfId="14468"/>
    <cellStyle name="Normal 27 2 4 4" xfId="12699"/>
    <cellStyle name="Normal 27 2 5" xfId="9959"/>
    <cellStyle name="Normal 27 2 5 2" xfId="16440"/>
    <cellStyle name="Normal 27 2 6" xfId="8305"/>
    <cellStyle name="Normal 27 2 6 2" xfId="14862"/>
    <cellStyle name="Normal 27 2 7" xfId="6586"/>
    <cellStyle name="Normal 27 2 7 2" xfId="13276"/>
    <cellStyle name="Normal 27 2 8" xfId="11486"/>
    <cellStyle name="Normal 27 3" xfId="4739"/>
    <cellStyle name="Normal 27 3 2" xfId="8482"/>
    <cellStyle name="Normal 27 3 2 2" xfId="15034"/>
    <cellStyle name="Normal 27 3 3" xfId="6763"/>
    <cellStyle name="Normal 27 3 3 2" xfId="13453"/>
    <cellStyle name="Normal 27 3 4" xfId="11668"/>
    <cellStyle name="Normal 27 4" xfId="5171"/>
    <cellStyle name="Normal 27 4 2" xfId="8914"/>
    <cellStyle name="Normal 27 4 2 2" xfId="15458"/>
    <cellStyle name="Normal 27 4 3" xfId="7195"/>
    <cellStyle name="Normal 27 4 3 2" xfId="13877"/>
    <cellStyle name="Normal 27 4 4" xfId="12092"/>
    <cellStyle name="Normal 27 5" xfId="5604"/>
    <cellStyle name="Normal 27 5 2" xfId="9345"/>
    <cellStyle name="Normal 27 5 2 2" xfId="15852"/>
    <cellStyle name="Normal 27 5 3" xfId="7626"/>
    <cellStyle name="Normal 27 5 3 2" xfId="14271"/>
    <cellStyle name="Normal 27 5 4" xfId="12497"/>
    <cellStyle name="Normal 27 6" xfId="9727"/>
    <cellStyle name="Normal 27 6 2" xfId="16220"/>
    <cellStyle name="Normal 27 7" xfId="8065"/>
    <cellStyle name="Normal 27 7 2" xfId="14665"/>
    <cellStyle name="Normal 27 8" xfId="6338"/>
    <cellStyle name="Normal 27 8 2" xfId="13061"/>
    <cellStyle name="Normal 27 9" xfId="11280"/>
    <cellStyle name="Normal 28" xfId="4133"/>
    <cellStyle name="Normal 28 2" xfId="4542"/>
    <cellStyle name="Normal 28 2 2" xfId="4964"/>
    <cellStyle name="Normal 28 2 2 2" xfId="8707"/>
    <cellStyle name="Normal 28 2 2 2 2" xfId="15255"/>
    <cellStyle name="Normal 28 2 2 3" xfId="6988"/>
    <cellStyle name="Normal 28 2 2 3 2" xfId="13674"/>
    <cellStyle name="Normal 28 2 2 4" xfId="11889"/>
    <cellStyle name="Normal 28 2 3" xfId="5369"/>
    <cellStyle name="Normal 28 2 3 2" xfId="9112"/>
    <cellStyle name="Normal 28 2 3 2 2" xfId="15656"/>
    <cellStyle name="Normal 28 2 3 3" xfId="7393"/>
    <cellStyle name="Normal 28 2 3 3 2" xfId="14075"/>
    <cellStyle name="Normal 28 2 3 4" xfId="12290"/>
    <cellStyle name="Normal 28 2 4" xfId="5807"/>
    <cellStyle name="Normal 28 2 4 2" xfId="9548"/>
    <cellStyle name="Normal 28 2 4 2 2" xfId="16050"/>
    <cellStyle name="Normal 28 2 4 3" xfId="7829"/>
    <cellStyle name="Normal 28 2 4 3 2" xfId="14469"/>
    <cellStyle name="Normal 28 2 4 4" xfId="12700"/>
    <cellStyle name="Normal 28 2 5" xfId="9960"/>
    <cellStyle name="Normal 28 2 5 2" xfId="16441"/>
    <cellStyle name="Normal 28 2 6" xfId="8306"/>
    <cellStyle name="Normal 28 2 6 2" xfId="14863"/>
    <cellStyle name="Normal 28 2 7" xfId="6587"/>
    <cellStyle name="Normal 28 2 7 2" xfId="13277"/>
    <cellStyle name="Normal 28 2 8" xfId="11487"/>
    <cellStyle name="Normal 28 3" xfId="4741"/>
    <cellStyle name="Normal 28 3 2" xfId="8484"/>
    <cellStyle name="Normal 28 3 2 2" xfId="15036"/>
    <cellStyle name="Normal 28 3 3" xfId="6765"/>
    <cellStyle name="Normal 28 3 3 2" xfId="13455"/>
    <cellStyle name="Normal 28 3 4" xfId="11670"/>
    <cellStyle name="Normal 28 4" xfId="5172"/>
    <cellStyle name="Normal 28 4 2" xfId="8915"/>
    <cellStyle name="Normal 28 4 2 2" xfId="15459"/>
    <cellStyle name="Normal 28 4 3" xfId="7196"/>
    <cellStyle name="Normal 28 4 3 2" xfId="13878"/>
    <cellStyle name="Normal 28 4 4" xfId="12093"/>
    <cellStyle name="Normal 28 5" xfId="5605"/>
    <cellStyle name="Normal 28 5 2" xfId="9346"/>
    <cellStyle name="Normal 28 5 2 2" xfId="15853"/>
    <cellStyle name="Normal 28 5 3" xfId="7627"/>
    <cellStyle name="Normal 28 5 3 2" xfId="14272"/>
    <cellStyle name="Normal 28 5 4" xfId="12498"/>
    <cellStyle name="Normal 28 6" xfId="9729"/>
    <cellStyle name="Normal 28 6 2" xfId="16222"/>
    <cellStyle name="Normal 28 7" xfId="8066"/>
    <cellStyle name="Normal 28 7 2" xfId="14666"/>
    <cellStyle name="Normal 28 8" xfId="6339"/>
    <cellStyle name="Normal 28 8 2" xfId="13062"/>
    <cellStyle name="Normal 28 9" xfId="11281"/>
    <cellStyle name="Normal 29" xfId="4134"/>
    <cellStyle name="Normal 29 2" xfId="4543"/>
    <cellStyle name="Normal 29 2 2" xfId="4965"/>
    <cellStyle name="Normal 29 2 2 2" xfId="8708"/>
    <cellStyle name="Normal 29 2 2 2 2" xfId="15256"/>
    <cellStyle name="Normal 29 2 2 3" xfId="6989"/>
    <cellStyle name="Normal 29 2 2 3 2" xfId="13675"/>
    <cellStyle name="Normal 29 2 2 4" xfId="11890"/>
    <cellStyle name="Normal 29 2 3" xfId="5370"/>
    <cellStyle name="Normal 29 2 3 2" xfId="9113"/>
    <cellStyle name="Normal 29 2 3 2 2" xfId="15657"/>
    <cellStyle name="Normal 29 2 3 3" xfId="7394"/>
    <cellStyle name="Normal 29 2 3 3 2" xfId="14076"/>
    <cellStyle name="Normal 29 2 3 4" xfId="12291"/>
    <cellStyle name="Normal 29 2 4" xfId="5808"/>
    <cellStyle name="Normal 29 2 4 2" xfId="9549"/>
    <cellStyle name="Normal 29 2 4 2 2" xfId="16051"/>
    <cellStyle name="Normal 29 2 4 3" xfId="7830"/>
    <cellStyle name="Normal 29 2 4 3 2" xfId="14470"/>
    <cellStyle name="Normal 29 2 4 4" xfId="12701"/>
    <cellStyle name="Normal 29 2 5" xfId="9961"/>
    <cellStyle name="Normal 29 2 5 2" xfId="16442"/>
    <cellStyle name="Normal 29 2 6" xfId="8307"/>
    <cellStyle name="Normal 29 2 6 2" xfId="14864"/>
    <cellStyle name="Normal 29 2 7" xfId="6588"/>
    <cellStyle name="Normal 29 2 7 2" xfId="13278"/>
    <cellStyle name="Normal 29 2 8" xfId="11488"/>
    <cellStyle name="Normal 29 3" xfId="4743"/>
    <cellStyle name="Normal 29 3 2" xfId="8486"/>
    <cellStyle name="Normal 29 3 2 2" xfId="15038"/>
    <cellStyle name="Normal 29 3 3" xfId="6767"/>
    <cellStyle name="Normal 29 3 3 2" xfId="13457"/>
    <cellStyle name="Normal 29 3 4" xfId="11672"/>
    <cellStyle name="Normal 29 4" xfId="5173"/>
    <cellStyle name="Normal 29 4 2" xfId="8916"/>
    <cellStyle name="Normal 29 4 2 2" xfId="15460"/>
    <cellStyle name="Normal 29 4 3" xfId="7197"/>
    <cellStyle name="Normal 29 4 3 2" xfId="13879"/>
    <cellStyle name="Normal 29 4 4" xfId="12094"/>
    <cellStyle name="Normal 29 5" xfId="5606"/>
    <cellStyle name="Normal 29 5 2" xfId="9347"/>
    <cellStyle name="Normal 29 5 2 2" xfId="15854"/>
    <cellStyle name="Normal 29 5 3" xfId="7628"/>
    <cellStyle name="Normal 29 5 3 2" xfId="14273"/>
    <cellStyle name="Normal 29 5 4" xfId="12499"/>
    <cellStyle name="Normal 29 6" xfId="9731"/>
    <cellStyle name="Normal 29 6 2" xfId="16224"/>
    <cellStyle name="Normal 29 7" xfId="8067"/>
    <cellStyle name="Normal 29 7 2" xfId="14667"/>
    <cellStyle name="Normal 29 8" xfId="6340"/>
    <cellStyle name="Normal 29 8 2" xfId="13063"/>
    <cellStyle name="Normal 29 9" xfId="11282"/>
    <cellStyle name="Normal 3" xfId="3"/>
    <cellStyle name="Normal 3 2" xfId="23"/>
    <cellStyle name="Normal 3 3" xfId="4135"/>
    <cellStyle name="Normal 3 3 2 5 15 2 4" xfId="4136"/>
    <cellStyle name="Normal 3 5" xfId="4137"/>
    <cellStyle name="Normal 30" xfId="4138"/>
    <cellStyle name="Normal 30 2" xfId="4544"/>
    <cellStyle name="Normal 30 2 2" xfId="4966"/>
    <cellStyle name="Normal 30 2 2 2" xfId="8709"/>
    <cellStyle name="Normal 30 2 2 2 2" xfId="15257"/>
    <cellStyle name="Normal 30 2 2 3" xfId="6990"/>
    <cellStyle name="Normal 30 2 2 3 2" xfId="13676"/>
    <cellStyle name="Normal 30 2 2 4" xfId="11891"/>
    <cellStyle name="Normal 30 2 3" xfId="5371"/>
    <cellStyle name="Normal 30 2 3 2" xfId="9114"/>
    <cellStyle name="Normal 30 2 3 2 2" xfId="15658"/>
    <cellStyle name="Normal 30 2 3 3" xfId="7395"/>
    <cellStyle name="Normal 30 2 3 3 2" xfId="14077"/>
    <cellStyle name="Normal 30 2 3 4" xfId="12292"/>
    <cellStyle name="Normal 30 2 4" xfId="5809"/>
    <cellStyle name="Normal 30 2 4 2" xfId="9550"/>
    <cellStyle name="Normal 30 2 4 2 2" xfId="16052"/>
    <cellStyle name="Normal 30 2 4 3" xfId="7831"/>
    <cellStyle name="Normal 30 2 4 3 2" xfId="14471"/>
    <cellStyle name="Normal 30 2 4 4" xfId="12702"/>
    <cellStyle name="Normal 30 2 5" xfId="9962"/>
    <cellStyle name="Normal 30 2 5 2" xfId="16443"/>
    <cellStyle name="Normal 30 2 6" xfId="8308"/>
    <cellStyle name="Normal 30 2 6 2" xfId="14865"/>
    <cellStyle name="Normal 30 2 7" xfId="6589"/>
    <cellStyle name="Normal 30 2 7 2" xfId="13279"/>
    <cellStyle name="Normal 30 2 8" xfId="11489"/>
    <cellStyle name="Normal 30 3" xfId="4745"/>
    <cellStyle name="Normal 30 3 2" xfId="8488"/>
    <cellStyle name="Normal 30 3 2 2" xfId="15040"/>
    <cellStyle name="Normal 30 3 3" xfId="6769"/>
    <cellStyle name="Normal 30 3 3 2" xfId="13459"/>
    <cellStyle name="Normal 30 3 4" xfId="11674"/>
    <cellStyle name="Normal 30 4" xfId="5174"/>
    <cellStyle name="Normal 30 4 2" xfId="8917"/>
    <cellStyle name="Normal 30 4 2 2" xfId="15461"/>
    <cellStyle name="Normal 30 4 3" xfId="7198"/>
    <cellStyle name="Normal 30 4 3 2" xfId="13880"/>
    <cellStyle name="Normal 30 4 4" xfId="12095"/>
    <cellStyle name="Normal 30 5" xfId="5607"/>
    <cellStyle name="Normal 30 5 2" xfId="9348"/>
    <cellStyle name="Normal 30 5 2 2" xfId="15855"/>
    <cellStyle name="Normal 30 5 3" xfId="7629"/>
    <cellStyle name="Normal 30 5 3 2" xfId="14274"/>
    <cellStyle name="Normal 30 5 4" xfId="12500"/>
    <cellStyle name="Normal 30 6" xfId="9733"/>
    <cellStyle name="Normal 30 6 2" xfId="16226"/>
    <cellStyle name="Normal 30 7" xfId="8068"/>
    <cellStyle name="Normal 30 7 2" xfId="14668"/>
    <cellStyle name="Normal 30 8" xfId="6341"/>
    <cellStyle name="Normal 30 8 2" xfId="13064"/>
    <cellStyle name="Normal 30 9" xfId="11283"/>
    <cellStyle name="Normal 31" xfId="4139"/>
    <cellStyle name="Normal 31 2" xfId="4545"/>
    <cellStyle name="Normal 31 2 2" xfId="4967"/>
    <cellStyle name="Normal 31 2 2 2" xfId="8710"/>
    <cellStyle name="Normal 31 2 2 2 2" xfId="15258"/>
    <cellStyle name="Normal 31 2 2 3" xfId="6991"/>
    <cellStyle name="Normal 31 2 2 3 2" xfId="13677"/>
    <cellStyle name="Normal 31 2 2 4" xfId="11892"/>
    <cellStyle name="Normal 31 2 3" xfId="5372"/>
    <cellStyle name="Normal 31 2 3 2" xfId="9115"/>
    <cellStyle name="Normal 31 2 3 2 2" xfId="15659"/>
    <cellStyle name="Normal 31 2 3 3" xfId="7396"/>
    <cellStyle name="Normal 31 2 3 3 2" xfId="14078"/>
    <cellStyle name="Normal 31 2 3 4" xfId="12293"/>
    <cellStyle name="Normal 31 2 4" xfId="5810"/>
    <cellStyle name="Normal 31 2 4 2" xfId="9551"/>
    <cellStyle name="Normal 31 2 4 2 2" xfId="16053"/>
    <cellStyle name="Normal 31 2 4 3" xfId="7832"/>
    <cellStyle name="Normal 31 2 4 3 2" xfId="14472"/>
    <cellStyle name="Normal 31 2 4 4" xfId="12703"/>
    <cellStyle name="Normal 31 2 5" xfId="9963"/>
    <cellStyle name="Normal 31 2 5 2" xfId="16444"/>
    <cellStyle name="Normal 31 2 6" xfId="8309"/>
    <cellStyle name="Normal 31 2 6 2" xfId="14866"/>
    <cellStyle name="Normal 31 2 7" xfId="6590"/>
    <cellStyle name="Normal 31 2 7 2" xfId="13280"/>
    <cellStyle name="Normal 31 2 8" xfId="11490"/>
    <cellStyle name="Normal 31 3" xfId="4747"/>
    <cellStyle name="Normal 31 3 2" xfId="8490"/>
    <cellStyle name="Normal 31 3 2 2" xfId="15042"/>
    <cellStyle name="Normal 31 3 3" xfId="6771"/>
    <cellStyle name="Normal 31 3 3 2" xfId="13461"/>
    <cellStyle name="Normal 31 3 4" xfId="11676"/>
    <cellStyle name="Normal 31 4" xfId="5175"/>
    <cellStyle name="Normal 31 4 2" xfId="8918"/>
    <cellStyle name="Normal 31 4 2 2" xfId="15462"/>
    <cellStyle name="Normal 31 4 3" xfId="7199"/>
    <cellStyle name="Normal 31 4 3 2" xfId="13881"/>
    <cellStyle name="Normal 31 4 4" xfId="12096"/>
    <cellStyle name="Normal 31 5" xfId="5608"/>
    <cellStyle name="Normal 31 5 2" xfId="9349"/>
    <cellStyle name="Normal 31 5 2 2" xfId="15856"/>
    <cellStyle name="Normal 31 5 3" xfId="7630"/>
    <cellStyle name="Normal 31 5 3 2" xfId="14275"/>
    <cellStyle name="Normal 31 5 4" xfId="12501"/>
    <cellStyle name="Normal 31 6" xfId="9735"/>
    <cellStyle name="Normal 31 6 2" xfId="16228"/>
    <cellStyle name="Normal 31 7" xfId="8069"/>
    <cellStyle name="Normal 31 7 2" xfId="14669"/>
    <cellStyle name="Normal 31 8" xfId="6342"/>
    <cellStyle name="Normal 31 8 2" xfId="13065"/>
    <cellStyle name="Normal 31 9" xfId="11284"/>
    <cellStyle name="Normal 32" xfId="4140"/>
    <cellStyle name="Normal 32 2" xfId="4546"/>
    <cellStyle name="Normal 32 2 2" xfId="4968"/>
    <cellStyle name="Normal 32 2 2 2" xfId="8711"/>
    <cellStyle name="Normal 32 2 2 2 2" xfId="15259"/>
    <cellStyle name="Normal 32 2 2 3" xfId="6992"/>
    <cellStyle name="Normal 32 2 2 3 2" xfId="13678"/>
    <cellStyle name="Normal 32 2 2 4" xfId="11893"/>
    <cellStyle name="Normal 32 2 3" xfId="5373"/>
    <cellStyle name="Normal 32 2 3 2" xfId="9116"/>
    <cellStyle name="Normal 32 2 3 2 2" xfId="15660"/>
    <cellStyle name="Normal 32 2 3 3" xfId="7397"/>
    <cellStyle name="Normal 32 2 3 3 2" xfId="14079"/>
    <cellStyle name="Normal 32 2 3 4" xfId="12294"/>
    <cellStyle name="Normal 32 2 4" xfId="5811"/>
    <cellStyle name="Normal 32 2 4 2" xfId="9552"/>
    <cellStyle name="Normal 32 2 4 2 2" xfId="16054"/>
    <cellStyle name="Normal 32 2 4 3" xfId="7833"/>
    <cellStyle name="Normal 32 2 4 3 2" xfId="14473"/>
    <cellStyle name="Normal 32 2 4 4" xfId="12704"/>
    <cellStyle name="Normal 32 2 5" xfId="9964"/>
    <cellStyle name="Normal 32 2 5 2" xfId="16445"/>
    <cellStyle name="Normal 32 2 6" xfId="8310"/>
    <cellStyle name="Normal 32 2 6 2" xfId="14867"/>
    <cellStyle name="Normal 32 2 7" xfId="6591"/>
    <cellStyle name="Normal 32 2 7 2" xfId="13281"/>
    <cellStyle name="Normal 32 2 8" xfId="11491"/>
    <cellStyle name="Normal 32 3" xfId="4749"/>
    <cellStyle name="Normal 32 3 2" xfId="8492"/>
    <cellStyle name="Normal 32 3 2 2" xfId="15044"/>
    <cellStyle name="Normal 32 3 3" xfId="6773"/>
    <cellStyle name="Normal 32 3 3 2" xfId="13463"/>
    <cellStyle name="Normal 32 3 4" xfId="11678"/>
    <cellStyle name="Normal 32 4" xfId="5176"/>
    <cellStyle name="Normal 32 4 2" xfId="8919"/>
    <cellStyle name="Normal 32 4 2 2" xfId="15463"/>
    <cellStyle name="Normal 32 4 3" xfId="7200"/>
    <cellStyle name="Normal 32 4 3 2" xfId="13882"/>
    <cellStyle name="Normal 32 4 4" xfId="12097"/>
    <cellStyle name="Normal 32 5" xfId="5609"/>
    <cellStyle name="Normal 32 5 2" xfId="9350"/>
    <cellStyle name="Normal 32 5 2 2" xfId="15857"/>
    <cellStyle name="Normal 32 5 3" xfId="7631"/>
    <cellStyle name="Normal 32 5 3 2" xfId="14276"/>
    <cellStyle name="Normal 32 5 4" xfId="12502"/>
    <cellStyle name="Normal 32 6" xfId="9737"/>
    <cellStyle name="Normal 32 6 2" xfId="16230"/>
    <cellStyle name="Normal 32 7" xfId="8070"/>
    <cellStyle name="Normal 32 7 2" xfId="14670"/>
    <cellStyle name="Normal 32 8" xfId="6343"/>
    <cellStyle name="Normal 32 8 2" xfId="13066"/>
    <cellStyle name="Normal 32 9" xfId="11285"/>
    <cellStyle name="Normal 33" xfId="4141"/>
    <cellStyle name="Normal 33 2" xfId="4547"/>
    <cellStyle name="Normal 33 2 2" xfId="4969"/>
    <cellStyle name="Normal 33 2 2 2" xfId="8712"/>
    <cellStyle name="Normal 33 2 2 2 2" xfId="15260"/>
    <cellStyle name="Normal 33 2 2 3" xfId="6993"/>
    <cellStyle name="Normal 33 2 2 3 2" xfId="13679"/>
    <cellStyle name="Normal 33 2 2 4" xfId="11894"/>
    <cellStyle name="Normal 33 2 3" xfId="5374"/>
    <cellStyle name="Normal 33 2 3 2" xfId="9117"/>
    <cellStyle name="Normal 33 2 3 2 2" xfId="15661"/>
    <cellStyle name="Normal 33 2 3 3" xfId="7398"/>
    <cellStyle name="Normal 33 2 3 3 2" xfId="14080"/>
    <cellStyle name="Normal 33 2 3 4" xfId="12295"/>
    <cellStyle name="Normal 33 2 4" xfId="5812"/>
    <cellStyle name="Normal 33 2 4 2" xfId="9553"/>
    <cellStyle name="Normal 33 2 4 2 2" xfId="16055"/>
    <cellStyle name="Normal 33 2 4 3" xfId="7834"/>
    <cellStyle name="Normal 33 2 4 3 2" xfId="14474"/>
    <cellStyle name="Normal 33 2 4 4" xfId="12705"/>
    <cellStyle name="Normal 33 2 5" xfId="9965"/>
    <cellStyle name="Normal 33 2 5 2" xfId="16446"/>
    <cellStyle name="Normal 33 2 6" xfId="8311"/>
    <cellStyle name="Normal 33 2 6 2" xfId="14868"/>
    <cellStyle name="Normal 33 2 7" xfId="6592"/>
    <cellStyle name="Normal 33 2 7 2" xfId="13282"/>
    <cellStyle name="Normal 33 2 8" xfId="11492"/>
    <cellStyle name="Normal 33 3" xfId="4750"/>
    <cellStyle name="Normal 33 3 2" xfId="8493"/>
    <cellStyle name="Normal 33 3 2 2" xfId="15045"/>
    <cellStyle name="Normal 33 3 3" xfId="6774"/>
    <cellStyle name="Normal 33 3 3 2" xfId="13464"/>
    <cellStyle name="Normal 33 3 4" xfId="11679"/>
    <cellStyle name="Normal 33 4" xfId="5177"/>
    <cellStyle name="Normal 33 4 2" xfId="8920"/>
    <cellStyle name="Normal 33 4 2 2" xfId="15464"/>
    <cellStyle name="Normal 33 4 3" xfId="7201"/>
    <cellStyle name="Normal 33 4 3 2" xfId="13883"/>
    <cellStyle name="Normal 33 4 4" xfId="12098"/>
    <cellStyle name="Normal 33 5" xfId="5610"/>
    <cellStyle name="Normal 33 5 2" xfId="9351"/>
    <cellStyle name="Normal 33 5 2 2" xfId="15858"/>
    <cellStyle name="Normal 33 5 3" xfId="7632"/>
    <cellStyle name="Normal 33 5 3 2" xfId="14277"/>
    <cellStyle name="Normal 33 5 4" xfId="12503"/>
    <cellStyle name="Normal 33 6" xfId="9738"/>
    <cellStyle name="Normal 33 6 2" xfId="16231"/>
    <cellStyle name="Normal 33 7" xfId="8071"/>
    <cellStyle name="Normal 33 7 2" xfId="14671"/>
    <cellStyle name="Normal 33 8" xfId="6344"/>
    <cellStyle name="Normal 33 8 2" xfId="13067"/>
    <cellStyle name="Normal 33 9" xfId="11286"/>
    <cellStyle name="Normal 34" xfId="4142"/>
    <cellStyle name="Normal 34 2" xfId="4548"/>
    <cellStyle name="Normal 34 2 2" xfId="4970"/>
    <cellStyle name="Normal 34 2 2 2" xfId="8713"/>
    <cellStyle name="Normal 34 2 2 2 2" xfId="15261"/>
    <cellStyle name="Normal 34 2 2 3" xfId="6994"/>
    <cellStyle name="Normal 34 2 2 3 2" xfId="13680"/>
    <cellStyle name="Normal 34 2 2 4" xfId="11895"/>
    <cellStyle name="Normal 34 2 3" xfId="5375"/>
    <cellStyle name="Normal 34 2 3 2" xfId="9118"/>
    <cellStyle name="Normal 34 2 3 2 2" xfId="15662"/>
    <cellStyle name="Normal 34 2 3 3" xfId="7399"/>
    <cellStyle name="Normal 34 2 3 3 2" xfId="14081"/>
    <cellStyle name="Normal 34 2 3 4" xfId="12296"/>
    <cellStyle name="Normal 34 2 4" xfId="5813"/>
    <cellStyle name="Normal 34 2 4 2" xfId="9554"/>
    <cellStyle name="Normal 34 2 4 2 2" xfId="16056"/>
    <cellStyle name="Normal 34 2 4 3" xfId="7835"/>
    <cellStyle name="Normal 34 2 4 3 2" xfId="14475"/>
    <cellStyle name="Normal 34 2 4 4" xfId="12706"/>
    <cellStyle name="Normal 34 2 5" xfId="9966"/>
    <cellStyle name="Normal 34 2 5 2" xfId="16447"/>
    <cellStyle name="Normal 34 2 6" xfId="8312"/>
    <cellStyle name="Normal 34 2 6 2" xfId="14869"/>
    <cellStyle name="Normal 34 2 7" xfId="6593"/>
    <cellStyle name="Normal 34 2 7 2" xfId="13283"/>
    <cellStyle name="Normal 34 2 8" xfId="11493"/>
    <cellStyle name="Normal 34 3" xfId="4762"/>
    <cellStyle name="Normal 34 3 2" xfId="8505"/>
    <cellStyle name="Normal 34 3 2 2" xfId="15057"/>
    <cellStyle name="Normal 34 3 3" xfId="6786"/>
    <cellStyle name="Normal 34 3 3 2" xfId="13476"/>
    <cellStyle name="Normal 34 3 4" xfId="11691"/>
    <cellStyle name="Normal 34 4" xfId="5178"/>
    <cellStyle name="Normal 34 4 2" xfId="8921"/>
    <cellStyle name="Normal 34 4 2 2" xfId="15465"/>
    <cellStyle name="Normal 34 4 3" xfId="7202"/>
    <cellStyle name="Normal 34 4 3 2" xfId="13884"/>
    <cellStyle name="Normal 34 4 4" xfId="12099"/>
    <cellStyle name="Normal 34 5" xfId="5611"/>
    <cellStyle name="Normal 34 5 2" xfId="9352"/>
    <cellStyle name="Normal 34 5 2 2" xfId="15859"/>
    <cellStyle name="Normal 34 5 3" xfId="7633"/>
    <cellStyle name="Normal 34 5 3 2" xfId="14278"/>
    <cellStyle name="Normal 34 5 4" xfId="12504"/>
    <cellStyle name="Normal 34 6" xfId="9752"/>
    <cellStyle name="Normal 34 6 2" xfId="16243"/>
    <cellStyle name="Normal 34 7" xfId="8072"/>
    <cellStyle name="Normal 34 7 2" xfId="14672"/>
    <cellStyle name="Normal 34 8" xfId="6345"/>
    <cellStyle name="Normal 34 8 2" xfId="13068"/>
    <cellStyle name="Normal 34 9" xfId="11287"/>
    <cellStyle name="Normal 35" xfId="4143"/>
    <cellStyle name="Normal 36" xfId="4144"/>
    <cellStyle name="Normal 37" xfId="4145"/>
    <cellStyle name="Normal 37 2" xfId="4549"/>
    <cellStyle name="Normal 37 2 2" xfId="4971"/>
    <cellStyle name="Normal 37 2 2 2" xfId="8714"/>
    <cellStyle name="Normal 37 2 2 2 2" xfId="15262"/>
    <cellStyle name="Normal 37 2 2 3" xfId="6995"/>
    <cellStyle name="Normal 37 2 2 3 2" xfId="13681"/>
    <cellStyle name="Normal 37 2 2 4" xfId="11896"/>
    <cellStyle name="Normal 37 2 3" xfId="5376"/>
    <cellStyle name="Normal 37 2 3 2" xfId="9119"/>
    <cellStyle name="Normal 37 2 3 2 2" xfId="15663"/>
    <cellStyle name="Normal 37 2 3 3" xfId="7400"/>
    <cellStyle name="Normal 37 2 3 3 2" xfId="14082"/>
    <cellStyle name="Normal 37 2 3 4" xfId="12297"/>
    <cellStyle name="Normal 37 2 4" xfId="5814"/>
    <cellStyle name="Normal 37 2 4 2" xfId="9555"/>
    <cellStyle name="Normal 37 2 4 2 2" xfId="16057"/>
    <cellStyle name="Normal 37 2 4 3" xfId="7836"/>
    <cellStyle name="Normal 37 2 4 3 2" xfId="14476"/>
    <cellStyle name="Normal 37 2 4 4" xfId="12707"/>
    <cellStyle name="Normal 37 2 5" xfId="9967"/>
    <cellStyle name="Normal 37 2 5 2" xfId="16448"/>
    <cellStyle name="Normal 37 2 6" xfId="8313"/>
    <cellStyle name="Normal 37 2 6 2" xfId="14870"/>
    <cellStyle name="Normal 37 2 7" xfId="6594"/>
    <cellStyle name="Normal 37 2 7 2" xfId="13284"/>
    <cellStyle name="Normal 37 2 8" xfId="11494"/>
    <cellStyle name="Normal 37 3" xfId="4754"/>
    <cellStyle name="Normal 37 3 2" xfId="8497"/>
    <cellStyle name="Normal 37 3 2 2" xfId="15049"/>
    <cellStyle name="Normal 37 3 3" xfId="6778"/>
    <cellStyle name="Normal 37 3 3 2" xfId="13468"/>
    <cellStyle name="Normal 37 3 4" xfId="11683"/>
    <cellStyle name="Normal 37 4" xfId="5179"/>
    <cellStyle name="Normal 37 4 2" xfId="8922"/>
    <cellStyle name="Normal 37 4 2 2" xfId="15466"/>
    <cellStyle name="Normal 37 4 3" xfId="7203"/>
    <cellStyle name="Normal 37 4 3 2" xfId="13885"/>
    <cellStyle name="Normal 37 4 4" xfId="12100"/>
    <cellStyle name="Normal 37 5" xfId="5612"/>
    <cellStyle name="Normal 37 5 2" xfId="9353"/>
    <cellStyle name="Normal 37 5 2 2" xfId="15860"/>
    <cellStyle name="Normal 37 5 3" xfId="7634"/>
    <cellStyle name="Normal 37 5 3 2" xfId="14279"/>
    <cellStyle name="Normal 37 5 4" xfId="12505"/>
    <cellStyle name="Normal 37 6" xfId="9742"/>
    <cellStyle name="Normal 37 6 2" xfId="16235"/>
    <cellStyle name="Normal 37 7" xfId="8073"/>
    <cellStyle name="Normal 37 7 2" xfId="14673"/>
    <cellStyle name="Normal 37 8" xfId="6346"/>
    <cellStyle name="Normal 37 8 2" xfId="13069"/>
    <cellStyle name="Normal 37 9" xfId="11288"/>
    <cellStyle name="Normal 38" xfId="4146"/>
    <cellStyle name="Normal 38 2" xfId="4550"/>
    <cellStyle name="Normal 38 2 2" xfId="4972"/>
    <cellStyle name="Normal 38 2 2 2" xfId="8715"/>
    <cellStyle name="Normal 38 2 2 2 2" xfId="15263"/>
    <cellStyle name="Normal 38 2 2 3" xfId="6996"/>
    <cellStyle name="Normal 38 2 2 3 2" xfId="13682"/>
    <cellStyle name="Normal 38 2 2 4" xfId="11897"/>
    <cellStyle name="Normal 38 2 3" xfId="5377"/>
    <cellStyle name="Normal 38 2 3 2" xfId="9120"/>
    <cellStyle name="Normal 38 2 3 2 2" xfId="15664"/>
    <cellStyle name="Normal 38 2 3 3" xfId="7401"/>
    <cellStyle name="Normal 38 2 3 3 2" xfId="14083"/>
    <cellStyle name="Normal 38 2 3 4" xfId="12298"/>
    <cellStyle name="Normal 38 2 4" xfId="5815"/>
    <cellStyle name="Normal 38 2 4 2" xfId="9556"/>
    <cellStyle name="Normal 38 2 4 2 2" xfId="16058"/>
    <cellStyle name="Normal 38 2 4 3" xfId="7837"/>
    <cellStyle name="Normal 38 2 4 3 2" xfId="14477"/>
    <cellStyle name="Normal 38 2 4 4" xfId="12708"/>
    <cellStyle name="Normal 38 2 5" xfId="9968"/>
    <cellStyle name="Normal 38 2 5 2" xfId="16449"/>
    <cellStyle name="Normal 38 2 6" xfId="8314"/>
    <cellStyle name="Normal 38 2 6 2" xfId="14871"/>
    <cellStyle name="Normal 38 2 7" xfId="6595"/>
    <cellStyle name="Normal 38 2 7 2" xfId="13285"/>
    <cellStyle name="Normal 38 2 8" xfId="11495"/>
    <cellStyle name="Normal 38 3" xfId="4821"/>
    <cellStyle name="Normal 38 3 2" xfId="8564"/>
    <cellStyle name="Normal 38 3 2 2" xfId="15112"/>
    <cellStyle name="Normal 38 3 3" xfId="6845"/>
    <cellStyle name="Normal 38 3 3 2" xfId="13531"/>
    <cellStyle name="Normal 38 3 4" xfId="11746"/>
    <cellStyle name="Normal 38 4" xfId="5180"/>
    <cellStyle name="Normal 38 4 2" xfId="8923"/>
    <cellStyle name="Normal 38 4 2 2" xfId="15467"/>
    <cellStyle name="Normal 38 4 3" xfId="7204"/>
    <cellStyle name="Normal 38 4 3 2" xfId="13886"/>
    <cellStyle name="Normal 38 4 4" xfId="12101"/>
    <cellStyle name="Normal 38 5" xfId="5613"/>
    <cellStyle name="Normal 38 5 2" xfId="9354"/>
    <cellStyle name="Normal 38 5 2 2" xfId="15861"/>
    <cellStyle name="Normal 38 5 3" xfId="7635"/>
    <cellStyle name="Normal 38 5 3 2" xfId="14280"/>
    <cellStyle name="Normal 38 5 4" xfId="12506"/>
    <cellStyle name="Normal 38 6" xfId="9812"/>
    <cellStyle name="Normal 38 6 2" xfId="16298"/>
    <cellStyle name="Normal 38 7" xfId="8074"/>
    <cellStyle name="Normal 38 7 2" xfId="14674"/>
    <cellStyle name="Normal 38 8" xfId="6347"/>
    <cellStyle name="Normal 38 8 2" xfId="13070"/>
    <cellStyle name="Normal 38 9" xfId="11289"/>
    <cellStyle name="Normal 39" xfId="4147"/>
    <cellStyle name="Normal 39 2" xfId="4551"/>
    <cellStyle name="Normal 39 2 2" xfId="4973"/>
    <cellStyle name="Normal 39 2 2 2" xfId="8716"/>
    <cellStyle name="Normal 39 2 2 2 2" xfId="15264"/>
    <cellStyle name="Normal 39 2 2 3" xfId="6997"/>
    <cellStyle name="Normal 39 2 2 3 2" xfId="13683"/>
    <cellStyle name="Normal 39 2 2 4" xfId="11898"/>
    <cellStyle name="Normal 39 2 3" xfId="5378"/>
    <cellStyle name="Normal 39 2 3 2" xfId="9121"/>
    <cellStyle name="Normal 39 2 3 2 2" xfId="15665"/>
    <cellStyle name="Normal 39 2 3 3" xfId="7402"/>
    <cellStyle name="Normal 39 2 3 3 2" xfId="14084"/>
    <cellStyle name="Normal 39 2 3 4" xfId="12299"/>
    <cellStyle name="Normal 39 2 4" xfId="5816"/>
    <cellStyle name="Normal 39 2 4 2" xfId="9557"/>
    <cellStyle name="Normal 39 2 4 2 2" xfId="16059"/>
    <cellStyle name="Normal 39 2 4 3" xfId="7838"/>
    <cellStyle name="Normal 39 2 4 3 2" xfId="14478"/>
    <cellStyle name="Normal 39 2 4 4" xfId="12709"/>
    <cellStyle name="Normal 39 2 5" xfId="9969"/>
    <cellStyle name="Normal 39 2 5 2" xfId="16450"/>
    <cellStyle name="Normal 39 2 6" xfId="8315"/>
    <cellStyle name="Normal 39 2 6 2" xfId="14872"/>
    <cellStyle name="Normal 39 2 7" xfId="6596"/>
    <cellStyle name="Normal 39 2 7 2" xfId="13286"/>
    <cellStyle name="Normal 39 2 8" xfId="11496"/>
    <cellStyle name="Normal 39 3" xfId="4819"/>
    <cellStyle name="Normal 39 3 2" xfId="8562"/>
    <cellStyle name="Normal 39 3 2 2" xfId="15110"/>
    <cellStyle name="Normal 39 3 3" xfId="6843"/>
    <cellStyle name="Normal 39 3 3 2" xfId="13529"/>
    <cellStyle name="Normal 39 3 4" xfId="11744"/>
    <cellStyle name="Normal 39 4" xfId="5181"/>
    <cellStyle name="Normal 39 4 2" xfId="8924"/>
    <cellStyle name="Normal 39 4 2 2" xfId="15468"/>
    <cellStyle name="Normal 39 4 3" xfId="7205"/>
    <cellStyle name="Normal 39 4 3 2" xfId="13887"/>
    <cellStyle name="Normal 39 4 4" xfId="12102"/>
    <cellStyle name="Normal 39 5" xfId="5614"/>
    <cellStyle name="Normal 39 5 2" xfId="9355"/>
    <cellStyle name="Normal 39 5 2 2" xfId="15862"/>
    <cellStyle name="Normal 39 5 3" xfId="7636"/>
    <cellStyle name="Normal 39 5 3 2" xfId="14281"/>
    <cellStyle name="Normal 39 5 4" xfId="12507"/>
    <cellStyle name="Normal 39 6" xfId="9810"/>
    <cellStyle name="Normal 39 6 2" xfId="16296"/>
    <cellStyle name="Normal 39 7" xfId="8075"/>
    <cellStyle name="Normal 39 7 2" xfId="14675"/>
    <cellStyle name="Normal 39 8" xfId="6348"/>
    <cellStyle name="Normal 39 8 2" xfId="13071"/>
    <cellStyle name="Normal 39 9" xfId="11290"/>
    <cellStyle name="Normal 4" xfId="8"/>
    <cellStyle name="Normal 4 10" xfId="5078"/>
    <cellStyle name="Normal 4 10 2" xfId="8821"/>
    <cellStyle name="Normal 4 10 2 2" xfId="15369"/>
    <cellStyle name="Normal 4 10 3" xfId="7102"/>
    <cellStyle name="Normal 4 10 3 2" xfId="13788"/>
    <cellStyle name="Normal 4 10 4" xfId="12003"/>
    <cellStyle name="Normal 4 11" xfId="5515"/>
    <cellStyle name="Normal 4 11 2" xfId="9256"/>
    <cellStyle name="Normal 4 11 2 2" xfId="15763"/>
    <cellStyle name="Normal 4 11 3" xfId="7537"/>
    <cellStyle name="Normal 4 11 3 2" xfId="14182"/>
    <cellStyle name="Normal 4 11 4" xfId="12408"/>
    <cellStyle name="Normal 4 12" xfId="9663"/>
    <cellStyle name="Normal 4 12 2" xfId="16165"/>
    <cellStyle name="Normal 4 13" xfId="7936"/>
    <cellStyle name="Normal 4 13 2" xfId="14576"/>
    <cellStyle name="Normal 4 14" xfId="5915"/>
    <cellStyle name="Normal 4 14 2" xfId="12808"/>
    <cellStyle name="Normal 4 15" xfId="10247"/>
    <cellStyle name="Normal 4 2" xfId="18"/>
    <cellStyle name="Normal 4 2 10" xfId="7940"/>
    <cellStyle name="Normal 4 2 10 2" xfId="14580"/>
    <cellStyle name="Normal 4 2 11" xfId="5919"/>
    <cellStyle name="Normal 4 2 11 2" xfId="12812"/>
    <cellStyle name="Normal 4 2 12" xfId="10254"/>
    <cellStyle name="Normal 4 2 2" xfId="40"/>
    <cellStyle name="Normal 4 2 2 10" xfId="5938"/>
    <cellStyle name="Normal 4 2 2 10 2" xfId="12831"/>
    <cellStyle name="Normal 4 2 2 11" xfId="10273"/>
    <cellStyle name="Normal 4 2 2 2" xfId="4148"/>
    <cellStyle name="Normal 4 2 2 2 2" xfId="4552"/>
    <cellStyle name="Normal 4 2 2 2 2 2" xfId="4974"/>
    <cellStyle name="Normal 4 2 2 2 2 2 2" xfId="8717"/>
    <cellStyle name="Normal 4 2 2 2 2 2 2 2" xfId="15265"/>
    <cellStyle name="Normal 4 2 2 2 2 2 3" xfId="6998"/>
    <cellStyle name="Normal 4 2 2 2 2 2 3 2" xfId="13684"/>
    <cellStyle name="Normal 4 2 2 2 2 2 4" xfId="11899"/>
    <cellStyle name="Normal 4 2 2 2 2 3" xfId="5379"/>
    <cellStyle name="Normal 4 2 2 2 2 3 2" xfId="9122"/>
    <cellStyle name="Normal 4 2 2 2 2 3 2 2" xfId="15666"/>
    <cellStyle name="Normal 4 2 2 2 2 3 3" xfId="7403"/>
    <cellStyle name="Normal 4 2 2 2 2 3 3 2" xfId="14085"/>
    <cellStyle name="Normal 4 2 2 2 2 3 4" xfId="12300"/>
    <cellStyle name="Normal 4 2 2 2 2 4" xfId="5817"/>
    <cellStyle name="Normal 4 2 2 2 2 4 2" xfId="9558"/>
    <cellStyle name="Normal 4 2 2 2 2 4 2 2" xfId="16060"/>
    <cellStyle name="Normal 4 2 2 2 2 4 3" xfId="7839"/>
    <cellStyle name="Normal 4 2 2 2 2 4 3 2" xfId="14479"/>
    <cellStyle name="Normal 4 2 2 2 2 4 4" xfId="12710"/>
    <cellStyle name="Normal 4 2 2 2 2 5" xfId="9970"/>
    <cellStyle name="Normal 4 2 2 2 2 5 2" xfId="16451"/>
    <cellStyle name="Normal 4 2 2 2 2 6" xfId="8316"/>
    <cellStyle name="Normal 4 2 2 2 2 6 2" xfId="14873"/>
    <cellStyle name="Normal 4 2 2 2 2 7" xfId="6597"/>
    <cellStyle name="Normal 4 2 2 2 2 7 2" xfId="13287"/>
    <cellStyle name="Normal 4 2 2 2 2 8" xfId="11497"/>
    <cellStyle name="Normal 4 2 2 2 3" xfId="4776"/>
    <cellStyle name="Normal 4 2 2 2 3 2" xfId="8519"/>
    <cellStyle name="Normal 4 2 2 2 3 2 2" xfId="15071"/>
    <cellStyle name="Normal 4 2 2 2 3 3" xfId="6800"/>
    <cellStyle name="Normal 4 2 2 2 3 3 2" xfId="13490"/>
    <cellStyle name="Normal 4 2 2 2 3 4" xfId="11705"/>
    <cellStyle name="Normal 4 2 2 2 4" xfId="5182"/>
    <cellStyle name="Normal 4 2 2 2 4 2" xfId="8925"/>
    <cellStyle name="Normal 4 2 2 2 4 2 2" xfId="15469"/>
    <cellStyle name="Normal 4 2 2 2 4 3" xfId="7206"/>
    <cellStyle name="Normal 4 2 2 2 4 3 2" xfId="13888"/>
    <cellStyle name="Normal 4 2 2 2 4 4" xfId="12103"/>
    <cellStyle name="Normal 4 2 2 2 5" xfId="5615"/>
    <cellStyle name="Normal 4 2 2 2 5 2" xfId="9356"/>
    <cellStyle name="Normal 4 2 2 2 5 2 2" xfId="15863"/>
    <cellStyle name="Normal 4 2 2 2 5 3" xfId="7637"/>
    <cellStyle name="Normal 4 2 2 2 5 3 2" xfId="14282"/>
    <cellStyle name="Normal 4 2 2 2 5 4" xfId="12508"/>
    <cellStyle name="Normal 4 2 2 2 6" xfId="9766"/>
    <cellStyle name="Normal 4 2 2 2 6 2" xfId="16257"/>
    <cellStyle name="Normal 4 2 2 2 7" xfId="8076"/>
    <cellStyle name="Normal 4 2 2 2 7 2" xfId="14676"/>
    <cellStyle name="Normal 4 2 2 2 8" xfId="6349"/>
    <cellStyle name="Normal 4 2 2 2 8 2" xfId="13072"/>
    <cellStyle name="Normal 4 2 2 2 9" xfId="11291"/>
    <cellStyle name="Normal 4 2 2 3" xfId="4149"/>
    <cellStyle name="Normal 4 2 2 3 2" xfId="4553"/>
    <cellStyle name="Normal 4 2 2 3 2 2" xfId="4975"/>
    <cellStyle name="Normal 4 2 2 3 2 2 2" xfId="8718"/>
    <cellStyle name="Normal 4 2 2 3 2 2 2 2" xfId="15266"/>
    <cellStyle name="Normal 4 2 2 3 2 2 3" xfId="6999"/>
    <cellStyle name="Normal 4 2 2 3 2 2 3 2" xfId="13685"/>
    <cellStyle name="Normal 4 2 2 3 2 2 4" xfId="11900"/>
    <cellStyle name="Normal 4 2 2 3 2 3" xfId="5380"/>
    <cellStyle name="Normal 4 2 2 3 2 3 2" xfId="9123"/>
    <cellStyle name="Normal 4 2 2 3 2 3 2 2" xfId="15667"/>
    <cellStyle name="Normal 4 2 2 3 2 3 3" xfId="7404"/>
    <cellStyle name="Normal 4 2 2 3 2 3 3 2" xfId="14086"/>
    <cellStyle name="Normal 4 2 2 3 2 3 4" xfId="12301"/>
    <cellStyle name="Normal 4 2 2 3 2 4" xfId="5818"/>
    <cellStyle name="Normal 4 2 2 3 2 4 2" xfId="9559"/>
    <cellStyle name="Normal 4 2 2 3 2 4 2 2" xfId="16061"/>
    <cellStyle name="Normal 4 2 2 3 2 4 3" xfId="7840"/>
    <cellStyle name="Normal 4 2 2 3 2 4 3 2" xfId="14480"/>
    <cellStyle name="Normal 4 2 2 3 2 4 4" xfId="12711"/>
    <cellStyle name="Normal 4 2 2 3 2 5" xfId="9971"/>
    <cellStyle name="Normal 4 2 2 3 2 5 2" xfId="16452"/>
    <cellStyle name="Normal 4 2 2 3 2 6" xfId="8317"/>
    <cellStyle name="Normal 4 2 2 3 2 6 2" xfId="14874"/>
    <cellStyle name="Normal 4 2 2 3 2 7" xfId="6598"/>
    <cellStyle name="Normal 4 2 2 3 2 7 2" xfId="13288"/>
    <cellStyle name="Normal 4 2 2 3 2 8" xfId="11498"/>
    <cellStyle name="Normal 4 2 2 3 3" xfId="4839"/>
    <cellStyle name="Normal 4 2 2 3 3 2" xfId="8582"/>
    <cellStyle name="Normal 4 2 2 3 3 2 2" xfId="15130"/>
    <cellStyle name="Normal 4 2 2 3 3 3" xfId="6863"/>
    <cellStyle name="Normal 4 2 2 3 3 3 2" xfId="13549"/>
    <cellStyle name="Normal 4 2 2 3 3 4" xfId="11764"/>
    <cellStyle name="Normal 4 2 2 3 4" xfId="5183"/>
    <cellStyle name="Normal 4 2 2 3 4 2" xfId="8926"/>
    <cellStyle name="Normal 4 2 2 3 4 2 2" xfId="15470"/>
    <cellStyle name="Normal 4 2 2 3 4 3" xfId="7207"/>
    <cellStyle name="Normal 4 2 2 3 4 3 2" xfId="13889"/>
    <cellStyle name="Normal 4 2 2 3 4 4" xfId="12104"/>
    <cellStyle name="Normal 4 2 2 3 5" xfId="5616"/>
    <cellStyle name="Normal 4 2 2 3 5 2" xfId="9357"/>
    <cellStyle name="Normal 4 2 2 3 5 2 2" xfId="15864"/>
    <cellStyle name="Normal 4 2 2 3 5 3" xfId="7638"/>
    <cellStyle name="Normal 4 2 2 3 5 3 2" xfId="14283"/>
    <cellStyle name="Normal 4 2 2 3 5 4" xfId="12509"/>
    <cellStyle name="Normal 4 2 2 3 6" xfId="9830"/>
    <cellStyle name="Normal 4 2 2 3 6 2" xfId="16316"/>
    <cellStyle name="Normal 4 2 2 3 7" xfId="8077"/>
    <cellStyle name="Normal 4 2 2 3 7 2" xfId="14677"/>
    <cellStyle name="Normal 4 2 2 3 8" xfId="6350"/>
    <cellStyle name="Normal 4 2 2 3 8 2" xfId="13073"/>
    <cellStyle name="Normal 4 2 2 3 9" xfId="11292"/>
    <cellStyle name="Normal 4 2 2 4" xfId="4474"/>
    <cellStyle name="Normal 4 2 2 4 2" xfId="4976"/>
    <cellStyle name="Normal 4 2 2 4 2 2" xfId="8719"/>
    <cellStyle name="Normal 4 2 2 4 2 2 2" xfId="15267"/>
    <cellStyle name="Normal 4 2 2 4 2 3" xfId="7000"/>
    <cellStyle name="Normal 4 2 2 4 2 3 2" xfId="13686"/>
    <cellStyle name="Normal 4 2 2 4 2 4" xfId="11901"/>
    <cellStyle name="Normal 4 2 2 4 3" xfId="5302"/>
    <cellStyle name="Normal 4 2 2 4 3 2" xfId="9045"/>
    <cellStyle name="Normal 4 2 2 4 3 2 2" xfId="15589"/>
    <cellStyle name="Normal 4 2 2 4 3 3" xfId="7326"/>
    <cellStyle name="Normal 4 2 2 4 3 3 2" xfId="14008"/>
    <cellStyle name="Normal 4 2 2 4 3 4" xfId="12223"/>
    <cellStyle name="Normal 4 2 2 4 4" xfId="5740"/>
    <cellStyle name="Normal 4 2 2 4 4 2" xfId="9481"/>
    <cellStyle name="Normal 4 2 2 4 4 2 2" xfId="15983"/>
    <cellStyle name="Normal 4 2 2 4 4 3" xfId="7762"/>
    <cellStyle name="Normal 4 2 2 4 4 3 2" xfId="14402"/>
    <cellStyle name="Normal 4 2 2 4 4 4" xfId="12633"/>
    <cellStyle name="Normal 4 2 2 4 5" xfId="9972"/>
    <cellStyle name="Normal 4 2 2 4 5 2" xfId="16453"/>
    <cellStyle name="Normal 4 2 2 4 6" xfId="8239"/>
    <cellStyle name="Normal 4 2 2 4 6 2" xfId="14796"/>
    <cellStyle name="Normal 4 2 2 4 7" xfId="6520"/>
    <cellStyle name="Normal 4 2 2 4 7 2" xfId="13210"/>
    <cellStyle name="Normal 4 2 2 4 8" xfId="11419"/>
    <cellStyle name="Normal 4 2 2 5" xfId="4685"/>
    <cellStyle name="Normal 4 2 2 5 2" xfId="8431"/>
    <cellStyle name="Normal 4 2 2 5 2 2" xfId="14983"/>
    <cellStyle name="Normal 4 2 2 5 3" xfId="6712"/>
    <cellStyle name="Normal 4 2 2 5 3 2" xfId="13402"/>
    <cellStyle name="Normal 4 2 2 5 4" xfId="11616"/>
    <cellStyle name="Normal 4 2 2 6" xfId="5101"/>
    <cellStyle name="Normal 4 2 2 6 2" xfId="8844"/>
    <cellStyle name="Normal 4 2 2 6 2 2" xfId="15392"/>
    <cellStyle name="Normal 4 2 2 6 3" xfId="7125"/>
    <cellStyle name="Normal 4 2 2 6 3 2" xfId="13811"/>
    <cellStyle name="Normal 4 2 2 6 4" xfId="12026"/>
    <cellStyle name="Normal 4 2 2 7" xfId="5538"/>
    <cellStyle name="Normal 4 2 2 7 2" xfId="9279"/>
    <cellStyle name="Normal 4 2 2 7 2 2" xfId="15786"/>
    <cellStyle name="Normal 4 2 2 7 3" xfId="7560"/>
    <cellStyle name="Normal 4 2 2 7 3 2" xfId="14205"/>
    <cellStyle name="Normal 4 2 2 7 4" xfId="12431"/>
    <cellStyle name="Normal 4 2 2 8" xfId="9665"/>
    <cellStyle name="Normal 4 2 2 8 2" xfId="16167"/>
    <cellStyle name="Normal 4 2 2 9" xfId="7959"/>
    <cellStyle name="Normal 4 2 2 9 2" xfId="14599"/>
    <cellStyle name="Normal 4 2 3" xfId="29"/>
    <cellStyle name="Normal 4 2 3 2" xfId="4464"/>
    <cellStyle name="Normal 4 2 3 2 2" xfId="4977"/>
    <cellStyle name="Normal 4 2 3 2 2 2" xfId="8720"/>
    <cellStyle name="Normal 4 2 3 2 2 2 2" xfId="15268"/>
    <cellStyle name="Normal 4 2 3 2 2 3" xfId="7001"/>
    <cellStyle name="Normal 4 2 3 2 2 3 2" xfId="13687"/>
    <cellStyle name="Normal 4 2 3 2 2 4" xfId="11902"/>
    <cellStyle name="Normal 4 2 3 2 3" xfId="5292"/>
    <cellStyle name="Normal 4 2 3 2 3 2" xfId="9035"/>
    <cellStyle name="Normal 4 2 3 2 3 2 2" xfId="15579"/>
    <cellStyle name="Normal 4 2 3 2 3 3" xfId="7316"/>
    <cellStyle name="Normal 4 2 3 2 3 3 2" xfId="13998"/>
    <cellStyle name="Normal 4 2 3 2 3 4" xfId="12213"/>
    <cellStyle name="Normal 4 2 3 2 4" xfId="5730"/>
    <cellStyle name="Normal 4 2 3 2 4 2" xfId="9471"/>
    <cellStyle name="Normal 4 2 3 2 4 2 2" xfId="15973"/>
    <cellStyle name="Normal 4 2 3 2 4 3" xfId="7752"/>
    <cellStyle name="Normal 4 2 3 2 4 3 2" xfId="14392"/>
    <cellStyle name="Normal 4 2 3 2 4 4" xfId="12623"/>
    <cellStyle name="Normal 4 2 3 2 5" xfId="9973"/>
    <cellStyle name="Normal 4 2 3 2 5 2" xfId="16454"/>
    <cellStyle name="Normal 4 2 3 2 6" xfId="8229"/>
    <cellStyle name="Normal 4 2 3 2 6 2" xfId="14786"/>
    <cellStyle name="Normal 4 2 3 2 7" xfId="6510"/>
    <cellStyle name="Normal 4 2 3 2 7 2" xfId="13200"/>
    <cellStyle name="Normal 4 2 3 2 8" xfId="11409"/>
    <cellStyle name="Normal 4 2 3 3" xfId="4775"/>
    <cellStyle name="Normal 4 2 3 3 2" xfId="8518"/>
    <cellStyle name="Normal 4 2 3 3 2 2" xfId="15070"/>
    <cellStyle name="Normal 4 2 3 3 3" xfId="6799"/>
    <cellStyle name="Normal 4 2 3 3 3 2" xfId="13489"/>
    <cellStyle name="Normal 4 2 3 3 4" xfId="11704"/>
    <cellStyle name="Normal 4 2 3 4" xfId="5091"/>
    <cellStyle name="Normal 4 2 3 4 2" xfId="8834"/>
    <cellStyle name="Normal 4 2 3 4 2 2" xfId="15382"/>
    <cellStyle name="Normal 4 2 3 4 3" xfId="7115"/>
    <cellStyle name="Normal 4 2 3 4 3 2" xfId="13801"/>
    <cellStyle name="Normal 4 2 3 4 4" xfId="12016"/>
    <cellStyle name="Normal 4 2 3 5" xfId="5528"/>
    <cellStyle name="Normal 4 2 3 5 2" xfId="9269"/>
    <cellStyle name="Normal 4 2 3 5 2 2" xfId="15776"/>
    <cellStyle name="Normal 4 2 3 5 3" xfId="7550"/>
    <cellStyle name="Normal 4 2 3 5 3 2" xfId="14195"/>
    <cellStyle name="Normal 4 2 3 5 4" xfId="12421"/>
    <cellStyle name="Normal 4 2 3 6" xfId="9765"/>
    <cellStyle name="Normal 4 2 3 6 2" xfId="16256"/>
    <cellStyle name="Normal 4 2 3 7" xfId="7949"/>
    <cellStyle name="Normal 4 2 3 7 2" xfId="14589"/>
    <cellStyle name="Normal 4 2 3 8" xfId="5928"/>
    <cellStyle name="Normal 4 2 3 8 2" xfId="12821"/>
    <cellStyle name="Normal 4 2 3 9" xfId="10263"/>
    <cellStyle name="Normal 4 2 4" xfId="4150"/>
    <cellStyle name="Normal 4 2 4 2" xfId="4554"/>
    <cellStyle name="Normal 4 2 4 2 2" xfId="4978"/>
    <cellStyle name="Normal 4 2 4 2 2 2" xfId="8721"/>
    <cellStyle name="Normal 4 2 4 2 2 2 2" xfId="15269"/>
    <cellStyle name="Normal 4 2 4 2 2 3" xfId="7002"/>
    <cellStyle name="Normal 4 2 4 2 2 3 2" xfId="13688"/>
    <cellStyle name="Normal 4 2 4 2 2 4" xfId="11903"/>
    <cellStyle name="Normal 4 2 4 2 3" xfId="5381"/>
    <cellStyle name="Normal 4 2 4 2 3 2" xfId="9124"/>
    <cellStyle name="Normal 4 2 4 2 3 2 2" xfId="15668"/>
    <cellStyle name="Normal 4 2 4 2 3 3" xfId="7405"/>
    <cellStyle name="Normal 4 2 4 2 3 3 2" xfId="14087"/>
    <cellStyle name="Normal 4 2 4 2 3 4" xfId="12302"/>
    <cellStyle name="Normal 4 2 4 2 4" xfId="5819"/>
    <cellStyle name="Normal 4 2 4 2 4 2" xfId="9560"/>
    <cellStyle name="Normal 4 2 4 2 4 2 2" xfId="16062"/>
    <cellStyle name="Normal 4 2 4 2 4 3" xfId="7841"/>
    <cellStyle name="Normal 4 2 4 2 4 3 2" xfId="14481"/>
    <cellStyle name="Normal 4 2 4 2 4 4" xfId="12712"/>
    <cellStyle name="Normal 4 2 4 2 5" xfId="9974"/>
    <cellStyle name="Normal 4 2 4 2 5 2" xfId="16455"/>
    <cellStyle name="Normal 4 2 4 2 6" xfId="8318"/>
    <cellStyle name="Normal 4 2 4 2 6 2" xfId="14875"/>
    <cellStyle name="Normal 4 2 4 2 7" xfId="6599"/>
    <cellStyle name="Normal 4 2 4 2 7 2" xfId="13289"/>
    <cellStyle name="Normal 4 2 4 2 8" xfId="11499"/>
    <cellStyle name="Normal 4 2 4 3" xfId="4829"/>
    <cellStyle name="Normal 4 2 4 3 2" xfId="8572"/>
    <cellStyle name="Normal 4 2 4 3 2 2" xfId="15120"/>
    <cellStyle name="Normal 4 2 4 3 3" xfId="6853"/>
    <cellStyle name="Normal 4 2 4 3 3 2" xfId="13539"/>
    <cellStyle name="Normal 4 2 4 3 4" xfId="11754"/>
    <cellStyle name="Normal 4 2 4 4" xfId="5184"/>
    <cellStyle name="Normal 4 2 4 4 2" xfId="8927"/>
    <cellStyle name="Normal 4 2 4 4 2 2" xfId="15471"/>
    <cellStyle name="Normal 4 2 4 4 3" xfId="7208"/>
    <cellStyle name="Normal 4 2 4 4 3 2" xfId="13890"/>
    <cellStyle name="Normal 4 2 4 4 4" xfId="12105"/>
    <cellStyle name="Normal 4 2 4 5" xfId="5617"/>
    <cellStyle name="Normal 4 2 4 5 2" xfId="9358"/>
    <cellStyle name="Normal 4 2 4 5 2 2" xfId="15865"/>
    <cellStyle name="Normal 4 2 4 5 3" xfId="7639"/>
    <cellStyle name="Normal 4 2 4 5 3 2" xfId="14284"/>
    <cellStyle name="Normal 4 2 4 5 4" xfId="12510"/>
    <cellStyle name="Normal 4 2 4 6" xfId="9820"/>
    <cellStyle name="Normal 4 2 4 6 2" xfId="16306"/>
    <cellStyle name="Normal 4 2 4 7" xfId="8078"/>
    <cellStyle name="Normal 4 2 4 7 2" xfId="14678"/>
    <cellStyle name="Normal 4 2 4 8" xfId="6351"/>
    <cellStyle name="Normal 4 2 4 8 2" xfId="13074"/>
    <cellStyle name="Normal 4 2 4 9" xfId="11293"/>
    <cellStyle name="Normal 4 2 5" xfId="4455"/>
    <cellStyle name="Normal 4 2 5 2" xfId="4979"/>
    <cellStyle name="Normal 4 2 5 2 2" xfId="8722"/>
    <cellStyle name="Normal 4 2 5 2 2 2" xfId="15270"/>
    <cellStyle name="Normal 4 2 5 2 3" xfId="7003"/>
    <cellStyle name="Normal 4 2 5 2 3 2" xfId="13689"/>
    <cellStyle name="Normal 4 2 5 2 4" xfId="11904"/>
    <cellStyle name="Normal 4 2 5 3" xfId="5283"/>
    <cellStyle name="Normal 4 2 5 3 2" xfId="9026"/>
    <cellStyle name="Normal 4 2 5 3 2 2" xfId="15570"/>
    <cellStyle name="Normal 4 2 5 3 3" xfId="7307"/>
    <cellStyle name="Normal 4 2 5 3 3 2" xfId="13989"/>
    <cellStyle name="Normal 4 2 5 3 4" xfId="12204"/>
    <cellStyle name="Normal 4 2 5 4" xfId="5721"/>
    <cellStyle name="Normal 4 2 5 4 2" xfId="9462"/>
    <cellStyle name="Normal 4 2 5 4 2 2" xfId="15964"/>
    <cellStyle name="Normal 4 2 5 4 3" xfId="7743"/>
    <cellStyle name="Normal 4 2 5 4 3 2" xfId="14383"/>
    <cellStyle name="Normal 4 2 5 4 4" xfId="12614"/>
    <cellStyle name="Normal 4 2 5 5" xfId="9975"/>
    <cellStyle name="Normal 4 2 5 5 2" xfId="16456"/>
    <cellStyle name="Normal 4 2 5 6" xfId="8220"/>
    <cellStyle name="Normal 4 2 5 6 2" xfId="14777"/>
    <cellStyle name="Normal 4 2 5 7" xfId="6501"/>
    <cellStyle name="Normal 4 2 5 7 2" xfId="13191"/>
    <cellStyle name="Normal 4 2 5 8" xfId="11400"/>
    <cellStyle name="Normal 4 2 6" xfId="4684"/>
    <cellStyle name="Normal 4 2 6 2" xfId="8430"/>
    <cellStyle name="Normal 4 2 6 2 2" xfId="14982"/>
    <cellStyle name="Normal 4 2 6 3" xfId="6711"/>
    <cellStyle name="Normal 4 2 6 3 2" xfId="13401"/>
    <cellStyle name="Normal 4 2 6 4" xfId="11615"/>
    <cellStyle name="Normal 4 2 7" xfId="5082"/>
    <cellStyle name="Normal 4 2 7 2" xfId="8825"/>
    <cellStyle name="Normal 4 2 7 2 2" xfId="15373"/>
    <cellStyle name="Normal 4 2 7 3" xfId="7106"/>
    <cellStyle name="Normal 4 2 7 3 2" xfId="13792"/>
    <cellStyle name="Normal 4 2 7 4" xfId="12007"/>
    <cellStyle name="Normal 4 2 8" xfId="5519"/>
    <cellStyle name="Normal 4 2 8 2" xfId="9260"/>
    <cellStyle name="Normal 4 2 8 2 2" xfId="15767"/>
    <cellStyle name="Normal 4 2 8 3" xfId="7541"/>
    <cellStyle name="Normal 4 2 8 3 2" xfId="14186"/>
    <cellStyle name="Normal 4 2 8 4" xfId="12412"/>
    <cellStyle name="Normal 4 2 9" xfId="9664"/>
    <cellStyle name="Normal 4 2 9 2" xfId="16166"/>
    <cellStyle name="Normal 4 3" xfId="35"/>
    <cellStyle name="Normal 4 3 10" xfId="5934"/>
    <cellStyle name="Normal 4 3 10 2" xfId="12827"/>
    <cellStyle name="Normal 4 3 11" xfId="10269"/>
    <cellStyle name="Normal 4 3 2" xfId="4151"/>
    <cellStyle name="Normal 4 3 2 2" xfId="4555"/>
    <cellStyle name="Normal 4 3 2 2 2" xfId="4980"/>
    <cellStyle name="Normal 4 3 2 2 2 2" xfId="8723"/>
    <cellStyle name="Normal 4 3 2 2 2 2 2" xfId="15271"/>
    <cellStyle name="Normal 4 3 2 2 2 3" xfId="7004"/>
    <cellStyle name="Normal 4 3 2 2 2 3 2" xfId="13690"/>
    <cellStyle name="Normal 4 3 2 2 2 4" xfId="11905"/>
    <cellStyle name="Normal 4 3 2 2 3" xfId="5382"/>
    <cellStyle name="Normal 4 3 2 2 3 2" xfId="9125"/>
    <cellStyle name="Normal 4 3 2 2 3 2 2" xfId="15669"/>
    <cellStyle name="Normal 4 3 2 2 3 3" xfId="7406"/>
    <cellStyle name="Normal 4 3 2 2 3 3 2" xfId="14088"/>
    <cellStyle name="Normal 4 3 2 2 3 4" xfId="12303"/>
    <cellStyle name="Normal 4 3 2 2 4" xfId="5820"/>
    <cellStyle name="Normal 4 3 2 2 4 2" xfId="9561"/>
    <cellStyle name="Normal 4 3 2 2 4 2 2" xfId="16063"/>
    <cellStyle name="Normal 4 3 2 2 4 3" xfId="7842"/>
    <cellStyle name="Normal 4 3 2 2 4 3 2" xfId="14482"/>
    <cellStyle name="Normal 4 3 2 2 4 4" xfId="12713"/>
    <cellStyle name="Normal 4 3 2 2 5" xfId="9976"/>
    <cellStyle name="Normal 4 3 2 2 5 2" xfId="16457"/>
    <cellStyle name="Normal 4 3 2 2 6" xfId="8319"/>
    <cellStyle name="Normal 4 3 2 2 6 2" xfId="14876"/>
    <cellStyle name="Normal 4 3 2 2 7" xfId="6600"/>
    <cellStyle name="Normal 4 3 2 2 7 2" xfId="13290"/>
    <cellStyle name="Normal 4 3 2 2 8" xfId="11500"/>
    <cellStyle name="Normal 4 3 2 3" xfId="4777"/>
    <cellStyle name="Normal 4 3 2 3 2" xfId="8520"/>
    <cellStyle name="Normal 4 3 2 3 2 2" xfId="15072"/>
    <cellStyle name="Normal 4 3 2 3 3" xfId="6801"/>
    <cellStyle name="Normal 4 3 2 3 3 2" xfId="13491"/>
    <cellStyle name="Normal 4 3 2 3 4" xfId="11706"/>
    <cellStyle name="Normal 4 3 2 4" xfId="5185"/>
    <cellStyle name="Normal 4 3 2 4 2" xfId="8928"/>
    <cellStyle name="Normal 4 3 2 4 2 2" xfId="15472"/>
    <cellStyle name="Normal 4 3 2 4 3" xfId="7209"/>
    <cellStyle name="Normal 4 3 2 4 3 2" xfId="13891"/>
    <cellStyle name="Normal 4 3 2 4 4" xfId="12106"/>
    <cellStyle name="Normal 4 3 2 5" xfId="5618"/>
    <cellStyle name="Normal 4 3 2 5 2" xfId="9359"/>
    <cellStyle name="Normal 4 3 2 5 2 2" xfId="15866"/>
    <cellStyle name="Normal 4 3 2 5 3" xfId="7640"/>
    <cellStyle name="Normal 4 3 2 5 3 2" xfId="14285"/>
    <cellStyle name="Normal 4 3 2 5 4" xfId="12511"/>
    <cellStyle name="Normal 4 3 2 6" xfId="9767"/>
    <cellStyle name="Normal 4 3 2 6 2" xfId="16258"/>
    <cellStyle name="Normal 4 3 2 7" xfId="8079"/>
    <cellStyle name="Normal 4 3 2 7 2" xfId="14679"/>
    <cellStyle name="Normal 4 3 2 8" xfId="6352"/>
    <cellStyle name="Normal 4 3 2 8 2" xfId="13075"/>
    <cellStyle name="Normal 4 3 2 9" xfId="11294"/>
    <cellStyle name="Normal 4 3 3" xfId="4152"/>
    <cellStyle name="Normal 4 3 3 2" xfId="4556"/>
    <cellStyle name="Normal 4 3 3 2 2" xfId="4981"/>
    <cellStyle name="Normal 4 3 3 2 2 2" xfId="8724"/>
    <cellStyle name="Normal 4 3 3 2 2 2 2" xfId="15272"/>
    <cellStyle name="Normal 4 3 3 2 2 3" xfId="7005"/>
    <cellStyle name="Normal 4 3 3 2 2 3 2" xfId="13691"/>
    <cellStyle name="Normal 4 3 3 2 2 4" xfId="11906"/>
    <cellStyle name="Normal 4 3 3 2 3" xfId="5383"/>
    <cellStyle name="Normal 4 3 3 2 3 2" xfId="9126"/>
    <cellStyle name="Normal 4 3 3 2 3 2 2" xfId="15670"/>
    <cellStyle name="Normal 4 3 3 2 3 3" xfId="7407"/>
    <cellStyle name="Normal 4 3 3 2 3 3 2" xfId="14089"/>
    <cellStyle name="Normal 4 3 3 2 3 4" xfId="12304"/>
    <cellStyle name="Normal 4 3 3 2 4" xfId="5821"/>
    <cellStyle name="Normal 4 3 3 2 4 2" xfId="9562"/>
    <cellStyle name="Normal 4 3 3 2 4 2 2" xfId="16064"/>
    <cellStyle name="Normal 4 3 3 2 4 3" xfId="7843"/>
    <cellStyle name="Normal 4 3 3 2 4 3 2" xfId="14483"/>
    <cellStyle name="Normal 4 3 3 2 4 4" xfId="12714"/>
    <cellStyle name="Normal 4 3 3 2 5" xfId="9977"/>
    <cellStyle name="Normal 4 3 3 2 5 2" xfId="16458"/>
    <cellStyle name="Normal 4 3 3 2 6" xfId="8320"/>
    <cellStyle name="Normal 4 3 3 2 6 2" xfId="14877"/>
    <cellStyle name="Normal 4 3 3 2 7" xfId="6601"/>
    <cellStyle name="Normal 4 3 3 2 7 2" xfId="13291"/>
    <cellStyle name="Normal 4 3 3 2 8" xfId="11501"/>
    <cellStyle name="Normal 4 3 3 3" xfId="4835"/>
    <cellStyle name="Normal 4 3 3 3 2" xfId="8578"/>
    <cellStyle name="Normal 4 3 3 3 2 2" xfId="15126"/>
    <cellStyle name="Normal 4 3 3 3 3" xfId="6859"/>
    <cellStyle name="Normal 4 3 3 3 3 2" xfId="13545"/>
    <cellStyle name="Normal 4 3 3 3 4" xfId="11760"/>
    <cellStyle name="Normal 4 3 3 4" xfId="5186"/>
    <cellStyle name="Normal 4 3 3 4 2" xfId="8929"/>
    <cellStyle name="Normal 4 3 3 4 2 2" xfId="15473"/>
    <cellStyle name="Normal 4 3 3 4 3" xfId="7210"/>
    <cellStyle name="Normal 4 3 3 4 3 2" xfId="13892"/>
    <cellStyle name="Normal 4 3 3 4 4" xfId="12107"/>
    <cellStyle name="Normal 4 3 3 5" xfId="5619"/>
    <cellStyle name="Normal 4 3 3 5 2" xfId="9360"/>
    <cellStyle name="Normal 4 3 3 5 2 2" xfId="15867"/>
    <cellStyle name="Normal 4 3 3 5 3" xfId="7641"/>
    <cellStyle name="Normal 4 3 3 5 3 2" xfId="14286"/>
    <cellStyle name="Normal 4 3 3 5 4" xfId="12512"/>
    <cellStyle name="Normal 4 3 3 6" xfId="9826"/>
    <cellStyle name="Normal 4 3 3 6 2" xfId="16312"/>
    <cellStyle name="Normal 4 3 3 7" xfId="8080"/>
    <cellStyle name="Normal 4 3 3 7 2" xfId="14680"/>
    <cellStyle name="Normal 4 3 3 8" xfId="6353"/>
    <cellStyle name="Normal 4 3 3 8 2" xfId="13076"/>
    <cellStyle name="Normal 4 3 3 9" xfId="11295"/>
    <cellStyle name="Normal 4 3 4" xfId="4470"/>
    <cellStyle name="Normal 4 3 4 2" xfId="4982"/>
    <cellStyle name="Normal 4 3 4 2 2" xfId="8725"/>
    <cellStyle name="Normal 4 3 4 2 2 2" xfId="15273"/>
    <cellStyle name="Normal 4 3 4 2 3" xfId="7006"/>
    <cellStyle name="Normal 4 3 4 2 3 2" xfId="13692"/>
    <cellStyle name="Normal 4 3 4 2 4" xfId="11907"/>
    <cellStyle name="Normal 4 3 4 3" xfId="5298"/>
    <cellStyle name="Normal 4 3 4 3 2" xfId="9041"/>
    <cellStyle name="Normal 4 3 4 3 2 2" xfId="15585"/>
    <cellStyle name="Normal 4 3 4 3 3" xfId="7322"/>
    <cellStyle name="Normal 4 3 4 3 3 2" xfId="14004"/>
    <cellStyle name="Normal 4 3 4 3 4" xfId="12219"/>
    <cellStyle name="Normal 4 3 4 4" xfId="5736"/>
    <cellStyle name="Normal 4 3 4 4 2" xfId="9477"/>
    <cellStyle name="Normal 4 3 4 4 2 2" xfId="15979"/>
    <cellStyle name="Normal 4 3 4 4 3" xfId="7758"/>
    <cellStyle name="Normal 4 3 4 4 3 2" xfId="14398"/>
    <cellStyle name="Normal 4 3 4 4 4" xfId="12629"/>
    <cellStyle name="Normal 4 3 4 5" xfId="9978"/>
    <cellStyle name="Normal 4 3 4 5 2" xfId="16459"/>
    <cellStyle name="Normal 4 3 4 6" xfId="8235"/>
    <cellStyle name="Normal 4 3 4 6 2" xfId="14792"/>
    <cellStyle name="Normal 4 3 4 7" xfId="6516"/>
    <cellStyle name="Normal 4 3 4 7 2" xfId="13206"/>
    <cellStyle name="Normal 4 3 4 8" xfId="11415"/>
    <cellStyle name="Normal 4 3 5" xfId="4686"/>
    <cellStyle name="Normal 4 3 5 2" xfId="8432"/>
    <cellStyle name="Normal 4 3 5 2 2" xfId="14984"/>
    <cellStyle name="Normal 4 3 5 3" xfId="6713"/>
    <cellStyle name="Normal 4 3 5 3 2" xfId="13403"/>
    <cellStyle name="Normal 4 3 5 4" xfId="11617"/>
    <cellStyle name="Normal 4 3 6" xfId="5097"/>
    <cellStyle name="Normal 4 3 6 2" xfId="8840"/>
    <cellStyle name="Normal 4 3 6 2 2" xfId="15388"/>
    <cellStyle name="Normal 4 3 6 3" xfId="7121"/>
    <cellStyle name="Normal 4 3 6 3 2" xfId="13807"/>
    <cellStyle name="Normal 4 3 6 4" xfId="12022"/>
    <cellStyle name="Normal 4 3 7" xfId="5534"/>
    <cellStyle name="Normal 4 3 7 2" xfId="9275"/>
    <cellStyle name="Normal 4 3 7 2 2" xfId="15782"/>
    <cellStyle name="Normal 4 3 7 3" xfId="7556"/>
    <cellStyle name="Normal 4 3 7 3 2" xfId="14201"/>
    <cellStyle name="Normal 4 3 7 4" xfId="12427"/>
    <cellStyle name="Normal 4 3 8" xfId="9666"/>
    <cellStyle name="Normal 4 3 8 2" xfId="16168"/>
    <cellStyle name="Normal 4 3 9" xfId="7955"/>
    <cellStyle name="Normal 4 3 9 2" xfId="14595"/>
    <cellStyle name="Normal 4 4" xfId="24"/>
    <cellStyle name="Normal 4 4 2" xfId="4459"/>
    <cellStyle name="Normal 4 4 2 2" xfId="4983"/>
    <cellStyle name="Normal 4 4 2 2 2" xfId="8726"/>
    <cellStyle name="Normal 4 4 2 2 2 2" xfId="15274"/>
    <cellStyle name="Normal 4 4 2 2 3" xfId="7007"/>
    <cellStyle name="Normal 4 4 2 2 3 2" xfId="13693"/>
    <cellStyle name="Normal 4 4 2 2 4" xfId="11908"/>
    <cellStyle name="Normal 4 4 2 3" xfId="5287"/>
    <cellStyle name="Normal 4 4 2 3 2" xfId="9030"/>
    <cellStyle name="Normal 4 4 2 3 2 2" xfId="15574"/>
    <cellStyle name="Normal 4 4 2 3 3" xfId="7311"/>
    <cellStyle name="Normal 4 4 2 3 3 2" xfId="13993"/>
    <cellStyle name="Normal 4 4 2 3 4" xfId="12208"/>
    <cellStyle name="Normal 4 4 2 4" xfId="5725"/>
    <cellStyle name="Normal 4 4 2 4 2" xfId="9466"/>
    <cellStyle name="Normal 4 4 2 4 2 2" xfId="15968"/>
    <cellStyle name="Normal 4 4 2 4 3" xfId="7747"/>
    <cellStyle name="Normal 4 4 2 4 3 2" xfId="14387"/>
    <cellStyle name="Normal 4 4 2 4 4" xfId="12618"/>
    <cellStyle name="Normal 4 4 2 5" xfId="9979"/>
    <cellStyle name="Normal 4 4 2 5 2" xfId="16460"/>
    <cellStyle name="Normal 4 4 2 6" xfId="8224"/>
    <cellStyle name="Normal 4 4 2 6 2" xfId="14781"/>
    <cellStyle name="Normal 4 4 2 7" xfId="6505"/>
    <cellStyle name="Normal 4 4 2 7 2" xfId="13195"/>
    <cellStyle name="Normal 4 4 2 8" xfId="11404"/>
    <cellStyle name="Normal 4 4 3" xfId="4774"/>
    <cellStyle name="Normal 4 4 3 2" xfId="8517"/>
    <cellStyle name="Normal 4 4 3 2 2" xfId="15069"/>
    <cellStyle name="Normal 4 4 3 3" xfId="6798"/>
    <cellStyle name="Normal 4 4 3 3 2" xfId="13488"/>
    <cellStyle name="Normal 4 4 3 4" xfId="11703"/>
    <cellStyle name="Normal 4 4 4" xfId="5086"/>
    <cellStyle name="Normal 4 4 4 2" xfId="8829"/>
    <cellStyle name="Normal 4 4 4 2 2" xfId="15377"/>
    <cellStyle name="Normal 4 4 4 3" xfId="7110"/>
    <cellStyle name="Normal 4 4 4 3 2" xfId="13796"/>
    <cellStyle name="Normal 4 4 4 4" xfId="12011"/>
    <cellStyle name="Normal 4 4 5" xfId="5523"/>
    <cellStyle name="Normal 4 4 5 2" xfId="9264"/>
    <cellStyle name="Normal 4 4 5 2 2" xfId="15771"/>
    <cellStyle name="Normal 4 4 5 3" xfId="7545"/>
    <cellStyle name="Normal 4 4 5 3 2" xfId="14190"/>
    <cellStyle name="Normal 4 4 5 4" xfId="12416"/>
    <cellStyle name="Normal 4 4 6" xfId="9764"/>
    <cellStyle name="Normal 4 4 6 2" xfId="16255"/>
    <cellStyle name="Normal 4 4 7" xfId="7944"/>
    <cellStyle name="Normal 4 4 7 2" xfId="14584"/>
    <cellStyle name="Normal 4 4 8" xfId="5923"/>
    <cellStyle name="Normal 4 4 8 2" xfId="12816"/>
    <cellStyle name="Normal 4 4 9" xfId="10258"/>
    <cellStyle name="Normal 4 5" xfId="4153"/>
    <cellStyle name="Normal 4 5 2" xfId="4557"/>
    <cellStyle name="Normal 4 5 2 2" xfId="4984"/>
    <cellStyle name="Normal 4 5 2 2 2" xfId="8727"/>
    <cellStyle name="Normal 4 5 2 2 2 2" xfId="15275"/>
    <cellStyle name="Normal 4 5 2 2 3" xfId="7008"/>
    <cellStyle name="Normal 4 5 2 2 3 2" xfId="13694"/>
    <cellStyle name="Normal 4 5 2 2 4" xfId="11909"/>
    <cellStyle name="Normal 4 5 2 3" xfId="5384"/>
    <cellStyle name="Normal 4 5 2 3 2" xfId="9127"/>
    <cellStyle name="Normal 4 5 2 3 2 2" xfId="15671"/>
    <cellStyle name="Normal 4 5 2 3 3" xfId="7408"/>
    <cellStyle name="Normal 4 5 2 3 3 2" xfId="14090"/>
    <cellStyle name="Normal 4 5 2 3 4" xfId="12305"/>
    <cellStyle name="Normal 4 5 2 4" xfId="5822"/>
    <cellStyle name="Normal 4 5 2 4 2" xfId="9563"/>
    <cellStyle name="Normal 4 5 2 4 2 2" xfId="16065"/>
    <cellStyle name="Normal 4 5 2 4 3" xfId="7844"/>
    <cellStyle name="Normal 4 5 2 4 3 2" xfId="14484"/>
    <cellStyle name="Normal 4 5 2 4 4" xfId="12715"/>
    <cellStyle name="Normal 4 5 2 5" xfId="9980"/>
    <cellStyle name="Normal 4 5 2 5 2" xfId="16461"/>
    <cellStyle name="Normal 4 5 2 6" xfId="8321"/>
    <cellStyle name="Normal 4 5 2 6 2" xfId="14878"/>
    <cellStyle name="Normal 4 5 2 7" xfId="6602"/>
    <cellStyle name="Normal 4 5 2 7 2" xfId="13292"/>
    <cellStyle name="Normal 4 5 2 8" xfId="11502"/>
    <cellStyle name="Normal 4 5 3" xfId="4824"/>
    <cellStyle name="Normal 4 5 3 2" xfId="8567"/>
    <cellStyle name="Normal 4 5 3 2 2" xfId="15115"/>
    <cellStyle name="Normal 4 5 3 3" xfId="6848"/>
    <cellStyle name="Normal 4 5 3 3 2" xfId="13534"/>
    <cellStyle name="Normal 4 5 3 4" xfId="11749"/>
    <cellStyle name="Normal 4 5 4" xfId="5187"/>
    <cellStyle name="Normal 4 5 4 2" xfId="8930"/>
    <cellStyle name="Normal 4 5 4 2 2" xfId="15474"/>
    <cellStyle name="Normal 4 5 4 3" xfId="7211"/>
    <cellStyle name="Normal 4 5 4 3 2" xfId="13893"/>
    <cellStyle name="Normal 4 5 4 4" xfId="12108"/>
    <cellStyle name="Normal 4 5 5" xfId="5620"/>
    <cellStyle name="Normal 4 5 5 2" xfId="9361"/>
    <cellStyle name="Normal 4 5 5 2 2" xfId="15868"/>
    <cellStyle name="Normal 4 5 5 3" xfId="7642"/>
    <cellStyle name="Normal 4 5 5 3 2" xfId="14287"/>
    <cellStyle name="Normal 4 5 5 4" xfId="12513"/>
    <cellStyle name="Normal 4 5 6" xfId="9815"/>
    <cellStyle name="Normal 4 5 6 2" xfId="16301"/>
    <cellStyle name="Normal 4 5 7" xfId="8081"/>
    <cellStyle name="Normal 4 5 7 2" xfId="14681"/>
    <cellStyle name="Normal 4 5 8" xfId="6354"/>
    <cellStyle name="Normal 4 5 8 2" xfId="13077"/>
    <cellStyle name="Normal 4 5 9" xfId="11296"/>
    <cellStyle name="Normal 4 6" xfId="4407"/>
    <cellStyle name="Normal 4 6 2" xfId="4621"/>
    <cellStyle name="Normal 4 6 2 2" xfId="4986"/>
    <cellStyle name="Normal 4 6 2 2 2" xfId="8729"/>
    <cellStyle name="Normal 4 6 2 2 2 2" xfId="15277"/>
    <cellStyle name="Normal 4 6 2 2 3" xfId="7010"/>
    <cellStyle name="Normal 4 6 2 2 3 2" xfId="13696"/>
    <cellStyle name="Normal 4 6 2 2 4" xfId="11911"/>
    <cellStyle name="Normal 4 6 2 3" xfId="5448"/>
    <cellStyle name="Normal 4 6 2 3 2" xfId="9191"/>
    <cellStyle name="Normal 4 6 2 3 2 2" xfId="15735"/>
    <cellStyle name="Normal 4 6 2 3 3" xfId="7472"/>
    <cellStyle name="Normal 4 6 2 3 3 2" xfId="14154"/>
    <cellStyle name="Normal 4 6 2 3 4" xfId="12369"/>
    <cellStyle name="Normal 4 6 2 4" xfId="5886"/>
    <cellStyle name="Normal 4 6 2 4 2" xfId="9627"/>
    <cellStyle name="Normal 4 6 2 4 2 2" xfId="16129"/>
    <cellStyle name="Normal 4 6 2 4 3" xfId="7908"/>
    <cellStyle name="Normal 4 6 2 4 3 2" xfId="14548"/>
    <cellStyle name="Normal 4 6 2 4 4" xfId="12779"/>
    <cellStyle name="Normal 4 6 2 5" xfId="9982"/>
    <cellStyle name="Normal 4 6 2 5 2" xfId="16463"/>
    <cellStyle name="Normal 4 6 2 6" xfId="8385"/>
    <cellStyle name="Normal 4 6 2 6 2" xfId="14942"/>
    <cellStyle name="Normal 4 6 2 7" xfId="6666"/>
    <cellStyle name="Normal 4 6 2 7 2" xfId="13356"/>
    <cellStyle name="Normal 4 6 2 8" xfId="11566"/>
    <cellStyle name="Normal 4 6 3" xfId="4985"/>
    <cellStyle name="Normal 4 6 3 2" xfId="8728"/>
    <cellStyle name="Normal 4 6 3 2 2" xfId="15276"/>
    <cellStyle name="Normal 4 6 3 3" xfId="7009"/>
    <cellStyle name="Normal 4 6 3 3 2" xfId="13695"/>
    <cellStyle name="Normal 4 6 3 4" xfId="11910"/>
    <cellStyle name="Normal 4 6 4" xfId="5251"/>
    <cellStyle name="Normal 4 6 4 2" xfId="8994"/>
    <cellStyle name="Normal 4 6 4 2 2" xfId="15538"/>
    <cellStyle name="Normal 4 6 4 3" xfId="7275"/>
    <cellStyle name="Normal 4 6 4 3 2" xfId="13957"/>
    <cellStyle name="Normal 4 6 4 4" xfId="12172"/>
    <cellStyle name="Normal 4 6 5" xfId="5689"/>
    <cellStyle name="Normal 4 6 5 2" xfId="9430"/>
    <cellStyle name="Normal 4 6 5 2 2" xfId="15932"/>
    <cellStyle name="Normal 4 6 5 3" xfId="7711"/>
    <cellStyle name="Normal 4 6 5 3 2" xfId="14351"/>
    <cellStyle name="Normal 4 6 5 4" xfId="12582"/>
    <cellStyle name="Normal 4 6 6" xfId="9981"/>
    <cellStyle name="Normal 4 6 6 2" xfId="16462"/>
    <cellStyle name="Normal 4 6 7" xfId="8188"/>
    <cellStyle name="Normal 4 6 7 2" xfId="14745"/>
    <cellStyle name="Normal 4 6 8" xfId="6469"/>
    <cellStyle name="Normal 4 6 8 2" xfId="13159"/>
    <cellStyle name="Normal 4 6 9" xfId="11365"/>
    <cellStyle name="Normal 4 7" xfId="4424"/>
    <cellStyle name="Normal 4 7 2" xfId="4633"/>
    <cellStyle name="Normal 4 7 2 2" xfId="4988"/>
    <cellStyle name="Normal 4 7 2 2 2" xfId="8731"/>
    <cellStyle name="Normal 4 7 2 2 2 2" xfId="15279"/>
    <cellStyle name="Normal 4 7 2 2 3" xfId="7012"/>
    <cellStyle name="Normal 4 7 2 2 3 2" xfId="13698"/>
    <cellStyle name="Normal 4 7 2 2 4" xfId="11913"/>
    <cellStyle name="Normal 4 7 2 3" xfId="5460"/>
    <cellStyle name="Normal 4 7 2 3 2" xfId="9203"/>
    <cellStyle name="Normal 4 7 2 3 2 2" xfId="15747"/>
    <cellStyle name="Normal 4 7 2 3 3" xfId="7484"/>
    <cellStyle name="Normal 4 7 2 3 3 2" xfId="14166"/>
    <cellStyle name="Normal 4 7 2 3 4" xfId="12381"/>
    <cellStyle name="Normal 4 7 2 4" xfId="5898"/>
    <cellStyle name="Normal 4 7 2 4 2" xfId="9639"/>
    <cellStyle name="Normal 4 7 2 4 2 2" xfId="16141"/>
    <cellStyle name="Normal 4 7 2 4 3" xfId="7920"/>
    <cellStyle name="Normal 4 7 2 4 3 2" xfId="14560"/>
    <cellStyle name="Normal 4 7 2 4 4" xfId="12791"/>
    <cellStyle name="Normal 4 7 2 5" xfId="9984"/>
    <cellStyle name="Normal 4 7 2 5 2" xfId="16465"/>
    <cellStyle name="Normal 4 7 2 6" xfId="8397"/>
    <cellStyle name="Normal 4 7 2 6 2" xfId="14954"/>
    <cellStyle name="Normal 4 7 2 7" xfId="6678"/>
    <cellStyle name="Normal 4 7 2 7 2" xfId="13368"/>
    <cellStyle name="Normal 4 7 2 8" xfId="11578"/>
    <cellStyle name="Normal 4 7 3" xfId="4987"/>
    <cellStyle name="Normal 4 7 3 2" xfId="8730"/>
    <cellStyle name="Normal 4 7 3 2 2" xfId="15278"/>
    <cellStyle name="Normal 4 7 3 3" xfId="7011"/>
    <cellStyle name="Normal 4 7 3 3 2" xfId="13697"/>
    <cellStyle name="Normal 4 7 3 4" xfId="11912"/>
    <cellStyle name="Normal 4 7 4" xfId="5263"/>
    <cellStyle name="Normal 4 7 4 2" xfId="9006"/>
    <cellStyle name="Normal 4 7 4 2 2" xfId="15550"/>
    <cellStyle name="Normal 4 7 4 3" xfId="7287"/>
    <cellStyle name="Normal 4 7 4 3 2" xfId="13969"/>
    <cellStyle name="Normal 4 7 4 4" xfId="12184"/>
    <cellStyle name="Normal 4 7 5" xfId="5701"/>
    <cellStyle name="Normal 4 7 5 2" xfId="9442"/>
    <cellStyle name="Normal 4 7 5 2 2" xfId="15944"/>
    <cellStyle name="Normal 4 7 5 3" xfId="7723"/>
    <cellStyle name="Normal 4 7 5 3 2" xfId="14363"/>
    <cellStyle name="Normal 4 7 5 4" xfId="12594"/>
    <cellStyle name="Normal 4 7 6" xfId="9983"/>
    <cellStyle name="Normal 4 7 6 2" xfId="16464"/>
    <cellStyle name="Normal 4 7 7" xfId="8200"/>
    <cellStyle name="Normal 4 7 7 2" xfId="14757"/>
    <cellStyle name="Normal 4 7 8" xfId="6481"/>
    <cellStyle name="Normal 4 7 8 2" xfId="13171"/>
    <cellStyle name="Normal 4 7 9" xfId="11379"/>
    <cellStyle name="Normal 4 8" xfId="4451"/>
    <cellStyle name="Normal 4 8 2" xfId="4989"/>
    <cellStyle name="Normal 4 8 2 2" xfId="8732"/>
    <cellStyle name="Normal 4 8 2 2 2" xfId="15280"/>
    <cellStyle name="Normal 4 8 2 3" xfId="7013"/>
    <cellStyle name="Normal 4 8 2 3 2" xfId="13699"/>
    <cellStyle name="Normal 4 8 2 4" xfId="11914"/>
    <cellStyle name="Normal 4 8 3" xfId="5279"/>
    <cellStyle name="Normal 4 8 3 2" xfId="9022"/>
    <cellStyle name="Normal 4 8 3 2 2" xfId="15566"/>
    <cellStyle name="Normal 4 8 3 3" xfId="7303"/>
    <cellStyle name="Normal 4 8 3 3 2" xfId="13985"/>
    <cellStyle name="Normal 4 8 3 4" xfId="12200"/>
    <cellStyle name="Normal 4 8 4" xfId="5717"/>
    <cellStyle name="Normal 4 8 4 2" xfId="9458"/>
    <cellStyle name="Normal 4 8 4 2 2" xfId="15960"/>
    <cellStyle name="Normal 4 8 4 3" xfId="7739"/>
    <cellStyle name="Normal 4 8 4 3 2" xfId="14379"/>
    <cellStyle name="Normal 4 8 4 4" xfId="12610"/>
    <cellStyle name="Normal 4 8 5" xfId="9985"/>
    <cellStyle name="Normal 4 8 5 2" xfId="16466"/>
    <cellStyle name="Normal 4 8 6" xfId="8216"/>
    <cellStyle name="Normal 4 8 6 2" xfId="14773"/>
    <cellStyle name="Normal 4 8 7" xfId="6497"/>
    <cellStyle name="Normal 4 8 7 2" xfId="13187"/>
    <cellStyle name="Normal 4 8 8" xfId="11396"/>
    <cellStyle name="Normal 4 9" xfId="4683"/>
    <cellStyle name="Normal 4 9 2" xfId="8429"/>
    <cellStyle name="Normal 4 9 2 2" xfId="14981"/>
    <cellStyle name="Normal 4 9 3" xfId="6710"/>
    <cellStyle name="Normal 4 9 3 2" xfId="13400"/>
    <cellStyle name="Normal 4 9 4" xfId="11614"/>
    <cellStyle name="Normal 40" xfId="4154"/>
    <cellStyle name="Normal 40 2" xfId="4558"/>
    <cellStyle name="Normal 40 2 2" xfId="4990"/>
    <cellStyle name="Normal 40 2 2 2" xfId="8733"/>
    <cellStyle name="Normal 40 2 2 2 2" xfId="15281"/>
    <cellStyle name="Normal 40 2 2 3" xfId="7014"/>
    <cellStyle name="Normal 40 2 2 3 2" xfId="13700"/>
    <cellStyle name="Normal 40 2 2 4" xfId="11915"/>
    <cellStyle name="Normal 40 2 3" xfId="5385"/>
    <cellStyle name="Normal 40 2 3 2" xfId="9128"/>
    <cellStyle name="Normal 40 2 3 2 2" xfId="15672"/>
    <cellStyle name="Normal 40 2 3 3" xfId="7409"/>
    <cellStyle name="Normal 40 2 3 3 2" xfId="14091"/>
    <cellStyle name="Normal 40 2 3 4" xfId="12306"/>
    <cellStyle name="Normal 40 2 4" xfId="5823"/>
    <cellStyle name="Normal 40 2 4 2" xfId="9564"/>
    <cellStyle name="Normal 40 2 4 2 2" xfId="16066"/>
    <cellStyle name="Normal 40 2 4 3" xfId="7845"/>
    <cellStyle name="Normal 40 2 4 3 2" xfId="14485"/>
    <cellStyle name="Normal 40 2 4 4" xfId="12716"/>
    <cellStyle name="Normal 40 2 5" xfId="9986"/>
    <cellStyle name="Normal 40 2 5 2" xfId="16467"/>
    <cellStyle name="Normal 40 2 6" xfId="8322"/>
    <cellStyle name="Normal 40 2 6 2" xfId="14879"/>
    <cellStyle name="Normal 40 2 7" xfId="6603"/>
    <cellStyle name="Normal 40 2 7 2" xfId="13293"/>
    <cellStyle name="Normal 40 2 8" xfId="11503"/>
    <cellStyle name="Normal 40 3" xfId="4753"/>
    <cellStyle name="Normal 40 3 2" xfId="8496"/>
    <cellStyle name="Normal 40 3 2 2" xfId="15048"/>
    <cellStyle name="Normal 40 3 3" xfId="6777"/>
    <cellStyle name="Normal 40 3 3 2" xfId="13467"/>
    <cellStyle name="Normal 40 3 4" xfId="11682"/>
    <cellStyle name="Normal 40 4" xfId="5188"/>
    <cellStyle name="Normal 40 4 2" xfId="8931"/>
    <cellStyle name="Normal 40 4 2 2" xfId="15475"/>
    <cellStyle name="Normal 40 4 3" xfId="7212"/>
    <cellStyle name="Normal 40 4 3 2" xfId="13894"/>
    <cellStyle name="Normal 40 4 4" xfId="12109"/>
    <cellStyle name="Normal 40 5" xfId="5621"/>
    <cellStyle name="Normal 40 5 2" xfId="9362"/>
    <cellStyle name="Normal 40 5 2 2" xfId="15869"/>
    <cellStyle name="Normal 40 5 3" xfId="7643"/>
    <cellStyle name="Normal 40 5 3 2" xfId="14288"/>
    <cellStyle name="Normal 40 5 4" xfId="12514"/>
    <cellStyle name="Normal 40 6" xfId="9741"/>
    <cellStyle name="Normal 40 6 2" xfId="16234"/>
    <cellStyle name="Normal 40 7" xfId="8082"/>
    <cellStyle name="Normal 40 7 2" xfId="14682"/>
    <cellStyle name="Normal 40 8" xfId="6355"/>
    <cellStyle name="Normal 40 8 2" xfId="13078"/>
    <cellStyle name="Normal 40 9" xfId="11297"/>
    <cellStyle name="Normal 41" xfId="4155"/>
    <cellStyle name="Normal 42" xfId="4156"/>
    <cellStyle name="Normal 42 2" xfId="4559"/>
    <cellStyle name="Normal 42 2 2" xfId="4991"/>
    <cellStyle name="Normal 42 2 2 2" xfId="8734"/>
    <cellStyle name="Normal 42 2 2 2 2" xfId="15282"/>
    <cellStyle name="Normal 42 2 2 3" xfId="7015"/>
    <cellStyle name="Normal 42 2 2 3 2" xfId="13701"/>
    <cellStyle name="Normal 42 2 2 4" xfId="11916"/>
    <cellStyle name="Normal 42 2 3" xfId="5386"/>
    <cellStyle name="Normal 42 2 3 2" xfId="9129"/>
    <cellStyle name="Normal 42 2 3 2 2" xfId="15673"/>
    <cellStyle name="Normal 42 2 3 3" xfId="7410"/>
    <cellStyle name="Normal 42 2 3 3 2" xfId="14092"/>
    <cellStyle name="Normal 42 2 3 4" xfId="12307"/>
    <cellStyle name="Normal 42 2 4" xfId="5824"/>
    <cellStyle name="Normal 42 2 4 2" xfId="9565"/>
    <cellStyle name="Normal 42 2 4 2 2" xfId="16067"/>
    <cellStyle name="Normal 42 2 4 3" xfId="7846"/>
    <cellStyle name="Normal 42 2 4 3 2" xfId="14486"/>
    <cellStyle name="Normal 42 2 4 4" xfId="12717"/>
    <cellStyle name="Normal 42 2 5" xfId="9987"/>
    <cellStyle name="Normal 42 2 5 2" xfId="16468"/>
    <cellStyle name="Normal 42 2 6" xfId="8323"/>
    <cellStyle name="Normal 42 2 6 2" xfId="14880"/>
    <cellStyle name="Normal 42 2 7" xfId="6604"/>
    <cellStyle name="Normal 42 2 7 2" xfId="13294"/>
    <cellStyle name="Normal 42 2 8" xfId="11504"/>
    <cellStyle name="Normal 42 3" xfId="4841"/>
    <cellStyle name="Normal 42 3 2" xfId="8584"/>
    <cellStyle name="Normal 42 3 2 2" xfId="15132"/>
    <cellStyle name="Normal 42 3 3" xfId="6865"/>
    <cellStyle name="Normal 42 3 3 2" xfId="13551"/>
    <cellStyle name="Normal 42 3 4" xfId="11766"/>
    <cellStyle name="Normal 42 4" xfId="5189"/>
    <cellStyle name="Normal 42 4 2" xfId="8932"/>
    <cellStyle name="Normal 42 4 2 2" xfId="15476"/>
    <cellStyle name="Normal 42 4 3" xfId="7213"/>
    <cellStyle name="Normal 42 4 3 2" xfId="13895"/>
    <cellStyle name="Normal 42 4 4" xfId="12110"/>
    <cellStyle name="Normal 42 5" xfId="5622"/>
    <cellStyle name="Normal 42 5 2" xfId="9363"/>
    <cellStyle name="Normal 42 5 2 2" xfId="15870"/>
    <cellStyle name="Normal 42 5 3" xfId="7644"/>
    <cellStyle name="Normal 42 5 3 2" xfId="14289"/>
    <cellStyle name="Normal 42 5 4" xfId="12515"/>
    <cellStyle name="Normal 42 6" xfId="9832"/>
    <cellStyle name="Normal 42 6 2" xfId="16318"/>
    <cellStyle name="Normal 42 7" xfId="8083"/>
    <cellStyle name="Normal 42 7 2" xfId="14683"/>
    <cellStyle name="Normal 42 8" xfId="6356"/>
    <cellStyle name="Normal 42 8 2" xfId="13079"/>
    <cellStyle name="Normal 42 9" xfId="11298"/>
    <cellStyle name="Normal 43" xfId="4402"/>
    <cellStyle name="Normal 43 2" xfId="4644"/>
    <cellStyle name="Normal 43 2 2" xfId="4848"/>
    <cellStyle name="Normal 43 2 2 2" xfId="8591"/>
    <cellStyle name="Normal 43 2 2 2 2" xfId="15139"/>
    <cellStyle name="Normal 43 2 2 3" xfId="6872"/>
    <cellStyle name="Normal 43 2 2 3 2" xfId="13558"/>
    <cellStyle name="Normal 43 2 2 4" xfId="11773"/>
    <cellStyle name="Normal 43 2 3" xfId="5471"/>
    <cellStyle name="Normal 43 2 3 2" xfId="9214"/>
    <cellStyle name="Normal 43 2 3 2 2" xfId="15758"/>
    <cellStyle name="Normal 43 2 3 3" xfId="7495"/>
    <cellStyle name="Normal 43 2 3 3 2" xfId="14177"/>
    <cellStyle name="Normal 43 2 3 4" xfId="12392"/>
    <cellStyle name="Normal 43 2 4" xfId="5909"/>
    <cellStyle name="Normal 43 2 4 2" xfId="9650"/>
    <cellStyle name="Normal 43 2 4 2 2" xfId="16152"/>
    <cellStyle name="Normal 43 2 4 3" xfId="7931"/>
    <cellStyle name="Normal 43 2 4 3 2" xfId="14571"/>
    <cellStyle name="Normal 43 2 4 4" xfId="12802"/>
    <cellStyle name="Normal 43 2 5" xfId="9839"/>
    <cellStyle name="Normal 43 2 5 2" xfId="16325"/>
    <cellStyle name="Normal 43 2 6" xfId="8408"/>
    <cellStyle name="Normal 43 2 6 2" xfId="14965"/>
    <cellStyle name="Normal 43 2 7" xfId="6689"/>
    <cellStyle name="Normal 43 2 7 2" xfId="13379"/>
    <cellStyle name="Normal 43 2 8" xfId="11589"/>
    <cellStyle name="Normal 43 3" xfId="4846"/>
    <cellStyle name="Normal 43 3 2" xfId="8589"/>
    <cellStyle name="Normal 43 3 2 2" xfId="15137"/>
    <cellStyle name="Normal 43 3 3" xfId="6870"/>
    <cellStyle name="Normal 43 3 3 2" xfId="13556"/>
    <cellStyle name="Normal 43 3 4" xfId="11771"/>
    <cellStyle name="Normal 43 4" xfId="9837"/>
    <cellStyle name="Normal 43 4 2" xfId="16323"/>
    <cellStyle name="Normal 44" xfId="4403"/>
    <cellStyle name="Normal 45" xfId="4409"/>
    <cellStyle name="Normal 46" xfId="4420"/>
    <cellStyle name="Normal 47" xfId="4410"/>
    <cellStyle name="Normal 48" xfId="4435"/>
    <cellStyle name="Normal 49" xfId="4438"/>
    <cellStyle name="Normal 5" xfId="4157"/>
    <cellStyle name="Normal 5 10" xfId="9679"/>
    <cellStyle name="Normal 5 10 2" xfId="16179"/>
    <cellStyle name="Normal 5 11" xfId="4158"/>
    <cellStyle name="Normal 5 12" xfId="8084"/>
    <cellStyle name="Normal 5 12 2" xfId="14684"/>
    <cellStyle name="Normal 5 13" xfId="6357"/>
    <cellStyle name="Normal 5 13 2" xfId="13080"/>
    <cellStyle name="Normal 5 14" xfId="11299"/>
    <cellStyle name="Normal 5 2" xfId="4159"/>
    <cellStyle name="Normal 5 2 2" xfId="4561"/>
    <cellStyle name="Normal 5 2 2 2" xfId="4992"/>
    <cellStyle name="Normal 5 2 2 2 2" xfId="8735"/>
    <cellStyle name="Normal 5 2 2 2 2 2" xfId="15283"/>
    <cellStyle name="Normal 5 2 2 2 3" xfId="7016"/>
    <cellStyle name="Normal 5 2 2 2 3 2" xfId="13702"/>
    <cellStyle name="Normal 5 2 2 2 4" xfId="11917"/>
    <cellStyle name="Normal 5 2 2 3" xfId="5388"/>
    <cellStyle name="Normal 5 2 2 3 2" xfId="9131"/>
    <cellStyle name="Normal 5 2 2 3 2 2" xfId="15675"/>
    <cellStyle name="Normal 5 2 2 3 3" xfId="7412"/>
    <cellStyle name="Normal 5 2 2 3 3 2" xfId="14094"/>
    <cellStyle name="Normal 5 2 2 3 4" xfId="12309"/>
    <cellStyle name="Normal 5 2 2 4" xfId="5826"/>
    <cellStyle name="Normal 5 2 2 4 2" xfId="9567"/>
    <cellStyle name="Normal 5 2 2 4 2 2" xfId="16069"/>
    <cellStyle name="Normal 5 2 2 4 3" xfId="7848"/>
    <cellStyle name="Normal 5 2 2 4 3 2" xfId="14488"/>
    <cellStyle name="Normal 5 2 2 4 4" xfId="12719"/>
    <cellStyle name="Normal 5 2 2 5" xfId="9988"/>
    <cellStyle name="Normal 5 2 2 5 2" xfId="16469"/>
    <cellStyle name="Normal 5 2 2 6" xfId="8325"/>
    <cellStyle name="Normal 5 2 2 6 2" xfId="14882"/>
    <cellStyle name="Normal 5 2 2 7" xfId="6606"/>
    <cellStyle name="Normal 5 2 2 7 2" xfId="13296"/>
    <cellStyle name="Normal 5 2 2 8" xfId="11506"/>
    <cellStyle name="Normal 5 2 3" xfId="4782"/>
    <cellStyle name="Normal 5 2 3 2" xfId="8525"/>
    <cellStyle name="Normal 5 2 3 2 2" xfId="15077"/>
    <cellStyle name="Normal 5 2 3 3" xfId="6806"/>
    <cellStyle name="Normal 5 2 3 3 2" xfId="13496"/>
    <cellStyle name="Normal 5 2 3 4" xfId="11711"/>
    <cellStyle name="Normal 5 2 4" xfId="5191"/>
    <cellStyle name="Normal 5 2 4 2" xfId="8934"/>
    <cellStyle name="Normal 5 2 4 2 2" xfId="15478"/>
    <cellStyle name="Normal 5 2 4 3" xfId="7215"/>
    <cellStyle name="Normal 5 2 4 3 2" xfId="13897"/>
    <cellStyle name="Normal 5 2 4 4" xfId="12112"/>
    <cellStyle name="Normal 5 2 5" xfId="5624"/>
    <cellStyle name="Normal 5 2 5 2" xfId="9365"/>
    <cellStyle name="Normal 5 2 5 2 2" xfId="15872"/>
    <cellStyle name="Normal 5 2 5 3" xfId="7646"/>
    <cellStyle name="Normal 5 2 5 3 2" xfId="14291"/>
    <cellStyle name="Normal 5 2 5 4" xfId="12517"/>
    <cellStyle name="Normal 5 2 6" xfId="9772"/>
    <cellStyle name="Normal 5 2 6 2" xfId="16263"/>
    <cellStyle name="Normal 5 2 7" xfId="8085"/>
    <cellStyle name="Normal 5 2 7 2" xfId="14685"/>
    <cellStyle name="Normal 5 2 8" xfId="6358"/>
    <cellStyle name="Normal 5 2 8 2" xfId="13081"/>
    <cellStyle name="Normal 5 2 9" xfId="11300"/>
    <cellStyle name="Normal 5 3" xfId="4160"/>
    <cellStyle name="Normal 5 4" xfId="4417"/>
    <cellStyle name="Normal 5 4 2" xfId="4627"/>
    <cellStyle name="Normal 5 4 2 2" xfId="4994"/>
    <cellStyle name="Normal 5 4 2 2 2" xfId="8737"/>
    <cellStyle name="Normal 5 4 2 2 2 2" xfId="15285"/>
    <cellStyle name="Normal 5 4 2 2 3" xfId="7018"/>
    <cellStyle name="Normal 5 4 2 2 3 2" xfId="13704"/>
    <cellStyle name="Normal 5 4 2 2 4" xfId="11919"/>
    <cellStyle name="Normal 5 4 2 3" xfId="5454"/>
    <cellStyle name="Normal 5 4 2 3 2" xfId="9197"/>
    <cellStyle name="Normal 5 4 2 3 2 2" xfId="15741"/>
    <cellStyle name="Normal 5 4 2 3 3" xfId="7478"/>
    <cellStyle name="Normal 5 4 2 3 3 2" xfId="14160"/>
    <cellStyle name="Normal 5 4 2 3 4" xfId="12375"/>
    <cellStyle name="Normal 5 4 2 4" xfId="5892"/>
    <cellStyle name="Normal 5 4 2 4 2" xfId="9633"/>
    <cellStyle name="Normal 5 4 2 4 2 2" xfId="16135"/>
    <cellStyle name="Normal 5 4 2 4 3" xfId="7914"/>
    <cellStyle name="Normal 5 4 2 4 3 2" xfId="14554"/>
    <cellStyle name="Normal 5 4 2 4 4" xfId="12785"/>
    <cellStyle name="Normal 5 4 2 5" xfId="9990"/>
    <cellStyle name="Normal 5 4 2 5 2" xfId="16471"/>
    <cellStyle name="Normal 5 4 2 6" xfId="8391"/>
    <cellStyle name="Normal 5 4 2 6 2" xfId="14948"/>
    <cellStyle name="Normal 5 4 2 7" xfId="6672"/>
    <cellStyle name="Normal 5 4 2 7 2" xfId="13362"/>
    <cellStyle name="Normal 5 4 2 8" xfId="11572"/>
    <cellStyle name="Normal 5 4 3" xfId="4993"/>
    <cellStyle name="Normal 5 4 3 2" xfId="8736"/>
    <cellStyle name="Normal 5 4 3 2 2" xfId="15284"/>
    <cellStyle name="Normal 5 4 3 3" xfId="7017"/>
    <cellStyle name="Normal 5 4 3 3 2" xfId="13703"/>
    <cellStyle name="Normal 5 4 3 4" xfId="11918"/>
    <cellStyle name="Normal 5 4 4" xfId="5257"/>
    <cellStyle name="Normal 5 4 4 2" xfId="9000"/>
    <cellStyle name="Normal 5 4 4 2 2" xfId="15544"/>
    <cellStyle name="Normal 5 4 4 3" xfId="7281"/>
    <cellStyle name="Normal 5 4 4 3 2" xfId="13963"/>
    <cellStyle name="Normal 5 4 4 4" xfId="12178"/>
    <cellStyle name="Normal 5 4 5" xfId="5695"/>
    <cellStyle name="Normal 5 4 5 2" xfId="9436"/>
    <cellStyle name="Normal 5 4 5 2 2" xfId="15938"/>
    <cellStyle name="Normal 5 4 5 3" xfId="7717"/>
    <cellStyle name="Normal 5 4 5 3 2" xfId="14357"/>
    <cellStyle name="Normal 5 4 5 4" xfId="12588"/>
    <cellStyle name="Normal 5 4 6" xfId="9989"/>
    <cellStyle name="Normal 5 4 6 2" xfId="16470"/>
    <cellStyle name="Normal 5 4 7" xfId="8194"/>
    <cellStyle name="Normal 5 4 7 2" xfId="14751"/>
    <cellStyle name="Normal 5 4 8" xfId="6475"/>
    <cellStyle name="Normal 5 4 8 2" xfId="13165"/>
    <cellStyle name="Normal 5 4 9" xfId="11373"/>
    <cellStyle name="Normal 5 5" xfId="4430"/>
    <cellStyle name="Normal 5 5 2" xfId="4639"/>
    <cellStyle name="Normal 5 5 2 2" xfId="4996"/>
    <cellStyle name="Normal 5 5 2 2 2" xfId="8739"/>
    <cellStyle name="Normal 5 5 2 2 2 2" xfId="15287"/>
    <cellStyle name="Normal 5 5 2 2 3" xfId="7020"/>
    <cellStyle name="Normal 5 5 2 2 3 2" xfId="13706"/>
    <cellStyle name="Normal 5 5 2 2 4" xfId="11921"/>
    <cellStyle name="Normal 5 5 2 3" xfId="5466"/>
    <cellStyle name="Normal 5 5 2 3 2" xfId="9209"/>
    <cellStyle name="Normal 5 5 2 3 2 2" xfId="15753"/>
    <cellStyle name="Normal 5 5 2 3 3" xfId="7490"/>
    <cellStyle name="Normal 5 5 2 3 3 2" xfId="14172"/>
    <cellStyle name="Normal 5 5 2 3 4" xfId="12387"/>
    <cellStyle name="Normal 5 5 2 4" xfId="5904"/>
    <cellStyle name="Normal 5 5 2 4 2" xfId="9645"/>
    <cellStyle name="Normal 5 5 2 4 2 2" xfId="16147"/>
    <cellStyle name="Normal 5 5 2 4 3" xfId="7926"/>
    <cellStyle name="Normal 5 5 2 4 3 2" xfId="14566"/>
    <cellStyle name="Normal 5 5 2 4 4" xfId="12797"/>
    <cellStyle name="Normal 5 5 2 5" xfId="9992"/>
    <cellStyle name="Normal 5 5 2 5 2" xfId="16473"/>
    <cellStyle name="Normal 5 5 2 6" xfId="8403"/>
    <cellStyle name="Normal 5 5 2 6 2" xfId="14960"/>
    <cellStyle name="Normal 5 5 2 7" xfId="6684"/>
    <cellStyle name="Normal 5 5 2 7 2" xfId="13374"/>
    <cellStyle name="Normal 5 5 2 8" xfId="11584"/>
    <cellStyle name="Normal 5 5 3" xfId="4995"/>
    <cellStyle name="Normal 5 5 3 2" xfId="8738"/>
    <cellStyle name="Normal 5 5 3 2 2" xfId="15286"/>
    <cellStyle name="Normal 5 5 3 3" xfId="7019"/>
    <cellStyle name="Normal 5 5 3 3 2" xfId="13705"/>
    <cellStyle name="Normal 5 5 3 4" xfId="11920"/>
    <cellStyle name="Normal 5 5 4" xfId="5269"/>
    <cellStyle name="Normal 5 5 4 2" xfId="9012"/>
    <cellStyle name="Normal 5 5 4 2 2" xfId="15556"/>
    <cellStyle name="Normal 5 5 4 3" xfId="7293"/>
    <cellStyle name="Normal 5 5 4 3 2" xfId="13975"/>
    <cellStyle name="Normal 5 5 4 4" xfId="12190"/>
    <cellStyle name="Normal 5 5 5" xfId="5707"/>
    <cellStyle name="Normal 5 5 5 2" xfId="9448"/>
    <cellStyle name="Normal 5 5 5 2 2" xfId="15950"/>
    <cellStyle name="Normal 5 5 5 3" xfId="7729"/>
    <cellStyle name="Normal 5 5 5 3 2" xfId="14369"/>
    <cellStyle name="Normal 5 5 5 4" xfId="12600"/>
    <cellStyle name="Normal 5 5 6" xfId="9991"/>
    <cellStyle name="Normal 5 5 6 2" xfId="16472"/>
    <cellStyle name="Normal 5 5 7" xfId="8206"/>
    <cellStyle name="Normal 5 5 7 2" xfId="14763"/>
    <cellStyle name="Normal 5 5 8" xfId="6487"/>
    <cellStyle name="Normal 5 5 8 2" xfId="13177"/>
    <cellStyle name="Normal 5 5 9" xfId="11385"/>
    <cellStyle name="Normal 5 6" xfId="4560"/>
    <cellStyle name="Normal 5 6 2" xfId="4997"/>
    <cellStyle name="Normal 5 6 2 2" xfId="8740"/>
    <cellStyle name="Normal 5 6 2 2 2" xfId="15288"/>
    <cellStyle name="Normal 5 6 2 3" xfId="7021"/>
    <cellStyle name="Normal 5 6 2 3 2" xfId="13707"/>
    <cellStyle name="Normal 5 6 2 4" xfId="11922"/>
    <cellStyle name="Normal 5 6 3" xfId="5387"/>
    <cellStyle name="Normal 5 6 3 2" xfId="9130"/>
    <cellStyle name="Normal 5 6 3 2 2" xfId="15674"/>
    <cellStyle name="Normal 5 6 3 3" xfId="7411"/>
    <cellStyle name="Normal 5 6 3 3 2" xfId="14093"/>
    <cellStyle name="Normal 5 6 3 4" xfId="12308"/>
    <cellStyle name="Normal 5 6 4" xfId="5825"/>
    <cellStyle name="Normal 5 6 4 2" xfId="9566"/>
    <cellStyle name="Normal 5 6 4 2 2" xfId="16068"/>
    <cellStyle name="Normal 5 6 4 3" xfId="7847"/>
    <cellStyle name="Normal 5 6 4 3 2" xfId="14487"/>
    <cellStyle name="Normal 5 6 4 4" xfId="12718"/>
    <cellStyle name="Normal 5 6 5" xfId="9993"/>
    <cellStyle name="Normal 5 6 5 2" xfId="16474"/>
    <cellStyle name="Normal 5 6 6" xfId="8324"/>
    <cellStyle name="Normal 5 6 6 2" xfId="14881"/>
    <cellStyle name="Normal 5 6 7" xfId="6605"/>
    <cellStyle name="Normal 5 6 7 2" xfId="13295"/>
    <cellStyle name="Normal 5 6 8" xfId="11505"/>
    <cellStyle name="Normal 5 7" xfId="4697"/>
    <cellStyle name="Normal 5 7 2" xfId="8442"/>
    <cellStyle name="Normal 5 7 2 2" xfId="14994"/>
    <cellStyle name="Normal 5 7 3" xfId="6723"/>
    <cellStyle name="Normal 5 7 3 2" xfId="13413"/>
    <cellStyle name="Normal 5 7 4" xfId="11627"/>
    <cellStyle name="Normal 5 8" xfId="5190"/>
    <cellStyle name="Normal 5 8 2" xfId="8933"/>
    <cellStyle name="Normal 5 8 2 2" xfId="15477"/>
    <cellStyle name="Normal 5 8 3" xfId="7214"/>
    <cellStyle name="Normal 5 8 3 2" xfId="13896"/>
    <cellStyle name="Normal 5 8 4" xfId="12111"/>
    <cellStyle name="Normal 5 9" xfId="5623"/>
    <cellStyle name="Normal 5 9 2" xfId="9364"/>
    <cellStyle name="Normal 5 9 2 2" xfId="15871"/>
    <cellStyle name="Normal 5 9 3" xfId="7645"/>
    <cellStyle name="Normal 5 9 3 2" xfId="14290"/>
    <cellStyle name="Normal 5 9 4" xfId="12516"/>
    <cellStyle name="Normal 50" xfId="4437"/>
    <cellStyle name="Normal 51" xfId="4443"/>
    <cellStyle name="Normal 52" xfId="4440"/>
    <cellStyle name="Normal 53" xfId="4442"/>
    <cellStyle name="Normal 54" xfId="4436"/>
    <cellStyle name="Normal 55" xfId="4439"/>
    <cellStyle name="Normal 56" xfId="4441"/>
    <cellStyle name="Normal 57" xfId="4444"/>
    <cellStyle name="Normal 58" xfId="4446"/>
    <cellStyle name="Normal 58 2" xfId="4998"/>
    <cellStyle name="Normal 58 2 2" xfId="8741"/>
    <cellStyle name="Normal 58 2 2 2" xfId="15289"/>
    <cellStyle name="Normal 58 2 3" xfId="7022"/>
    <cellStyle name="Normal 58 2 3 2" xfId="13708"/>
    <cellStyle name="Normal 58 2 4" xfId="11923"/>
    <cellStyle name="Normal 58 3" xfId="5274"/>
    <cellStyle name="Normal 58 3 2" xfId="9017"/>
    <cellStyle name="Normal 58 3 2 2" xfId="15561"/>
    <cellStyle name="Normal 58 3 3" xfId="7298"/>
    <cellStyle name="Normal 58 3 3 2" xfId="13980"/>
    <cellStyle name="Normal 58 3 4" xfId="12195"/>
    <cellStyle name="Normal 58 4" xfId="5712"/>
    <cellStyle name="Normal 58 4 2" xfId="9453"/>
    <cellStyle name="Normal 58 4 2 2" xfId="15955"/>
    <cellStyle name="Normal 58 4 3" xfId="7734"/>
    <cellStyle name="Normal 58 4 3 2" xfId="14374"/>
    <cellStyle name="Normal 58 4 4" xfId="12605"/>
    <cellStyle name="Normal 58 5" xfId="9994"/>
    <cellStyle name="Normal 58 5 2" xfId="16475"/>
    <cellStyle name="Normal 58 6" xfId="8211"/>
    <cellStyle name="Normal 58 6 2" xfId="14768"/>
    <cellStyle name="Normal 58 7" xfId="6492"/>
    <cellStyle name="Normal 58 7 2" xfId="13182"/>
    <cellStyle name="Normal 58 8" xfId="11391"/>
    <cellStyle name="Normal 59" xfId="4668"/>
    <cellStyle name="Normal 59 2" xfId="5072"/>
    <cellStyle name="Normal 59 2 2" xfId="8815"/>
    <cellStyle name="Normal 59 2 2 2" xfId="15363"/>
    <cellStyle name="Normal 59 2 3" xfId="7096"/>
    <cellStyle name="Normal 59 2 3 2" xfId="13782"/>
    <cellStyle name="Normal 59 2 4" xfId="11997"/>
    <cellStyle name="Normal 59 3" xfId="10068"/>
    <cellStyle name="Normal 59 3 2" xfId="16549"/>
    <cellStyle name="Normal 59 4" xfId="8415"/>
    <cellStyle name="Normal 59 4 2" xfId="14967"/>
    <cellStyle name="Normal 59 5" xfId="6696"/>
    <cellStyle name="Normal 59 5 2" xfId="13386"/>
    <cellStyle name="Normal 59 6" xfId="11600"/>
    <cellStyle name="Normal 6" xfId="4161"/>
    <cellStyle name="Normal 6 10" xfId="8086"/>
    <cellStyle name="Normal 6 10 2" xfId="14686"/>
    <cellStyle name="Normal 6 11" xfId="6359"/>
    <cellStyle name="Normal 6 11 2" xfId="13082"/>
    <cellStyle name="Normal 6 12" xfId="11301"/>
    <cellStyle name="Normal 6 2" xfId="4162"/>
    <cellStyle name="Normal 6 2 2" xfId="4563"/>
    <cellStyle name="Normal 6 2 2 2" xfId="4999"/>
    <cellStyle name="Normal 6 2 2 2 2" xfId="8742"/>
    <cellStyle name="Normal 6 2 2 2 2 2" xfId="15290"/>
    <cellStyle name="Normal 6 2 2 2 3" xfId="7023"/>
    <cellStyle name="Normal 6 2 2 2 3 2" xfId="13709"/>
    <cellStyle name="Normal 6 2 2 2 4" xfId="11924"/>
    <cellStyle name="Normal 6 2 2 3" xfId="5390"/>
    <cellStyle name="Normal 6 2 2 3 2" xfId="9133"/>
    <cellStyle name="Normal 6 2 2 3 2 2" xfId="15677"/>
    <cellStyle name="Normal 6 2 2 3 3" xfId="7414"/>
    <cellStyle name="Normal 6 2 2 3 3 2" xfId="14096"/>
    <cellStyle name="Normal 6 2 2 3 4" xfId="12311"/>
    <cellStyle name="Normal 6 2 2 4" xfId="5828"/>
    <cellStyle name="Normal 6 2 2 4 2" xfId="9569"/>
    <cellStyle name="Normal 6 2 2 4 2 2" xfId="16071"/>
    <cellStyle name="Normal 6 2 2 4 3" xfId="7850"/>
    <cellStyle name="Normal 6 2 2 4 3 2" xfId="14490"/>
    <cellStyle name="Normal 6 2 2 4 4" xfId="12721"/>
    <cellStyle name="Normal 6 2 2 5" xfId="9995"/>
    <cellStyle name="Normal 6 2 2 5 2" xfId="16476"/>
    <cellStyle name="Normal 6 2 2 6" xfId="8327"/>
    <cellStyle name="Normal 6 2 2 6 2" xfId="14884"/>
    <cellStyle name="Normal 6 2 2 7" xfId="6608"/>
    <cellStyle name="Normal 6 2 2 7 2" xfId="13298"/>
    <cellStyle name="Normal 6 2 2 8" xfId="11508"/>
    <cellStyle name="Normal 6 2 3" xfId="4810"/>
    <cellStyle name="Normal 6 2 3 2" xfId="8553"/>
    <cellStyle name="Normal 6 2 3 2 2" xfId="15105"/>
    <cellStyle name="Normal 6 2 3 3" xfId="6834"/>
    <cellStyle name="Normal 6 2 3 3 2" xfId="13524"/>
    <cellStyle name="Normal 6 2 3 4" xfId="11739"/>
    <cellStyle name="Normal 6 2 4" xfId="5193"/>
    <cellStyle name="Normal 6 2 4 2" xfId="8936"/>
    <cellStyle name="Normal 6 2 4 2 2" xfId="15480"/>
    <cellStyle name="Normal 6 2 4 3" xfId="7217"/>
    <cellStyle name="Normal 6 2 4 3 2" xfId="13899"/>
    <cellStyle name="Normal 6 2 4 4" xfId="12114"/>
    <cellStyle name="Normal 6 2 5" xfId="5626"/>
    <cellStyle name="Normal 6 2 5 2" xfId="9367"/>
    <cellStyle name="Normal 6 2 5 2 2" xfId="15874"/>
    <cellStyle name="Normal 6 2 5 3" xfId="7648"/>
    <cellStyle name="Normal 6 2 5 3 2" xfId="14293"/>
    <cellStyle name="Normal 6 2 5 4" xfId="12519"/>
    <cellStyle name="Normal 6 2 6" xfId="9800"/>
    <cellStyle name="Normal 6 2 6 2" xfId="16291"/>
    <cellStyle name="Normal 6 2 7" xfId="8087"/>
    <cellStyle name="Normal 6 2 7 2" xfId="14687"/>
    <cellStyle name="Normal 6 2 8" xfId="6360"/>
    <cellStyle name="Normal 6 2 8 2" xfId="13083"/>
    <cellStyle name="Normal 6 2 9" xfId="11302"/>
    <cellStyle name="Normal 6 3" xfId="4418"/>
    <cellStyle name="Normal 6 3 2" xfId="4628"/>
    <cellStyle name="Normal 6 3 2 2" xfId="5001"/>
    <cellStyle name="Normal 6 3 2 2 2" xfId="8744"/>
    <cellStyle name="Normal 6 3 2 2 2 2" xfId="15292"/>
    <cellStyle name="Normal 6 3 2 2 3" xfId="7025"/>
    <cellStyle name="Normal 6 3 2 2 3 2" xfId="13711"/>
    <cellStyle name="Normal 6 3 2 2 4" xfId="11926"/>
    <cellStyle name="Normal 6 3 2 3" xfId="5455"/>
    <cellStyle name="Normal 6 3 2 3 2" xfId="9198"/>
    <cellStyle name="Normal 6 3 2 3 2 2" xfId="15742"/>
    <cellStyle name="Normal 6 3 2 3 3" xfId="7479"/>
    <cellStyle name="Normal 6 3 2 3 3 2" xfId="14161"/>
    <cellStyle name="Normal 6 3 2 3 4" xfId="12376"/>
    <cellStyle name="Normal 6 3 2 4" xfId="5893"/>
    <cellStyle name="Normal 6 3 2 4 2" xfId="9634"/>
    <cellStyle name="Normal 6 3 2 4 2 2" xfId="16136"/>
    <cellStyle name="Normal 6 3 2 4 3" xfId="7915"/>
    <cellStyle name="Normal 6 3 2 4 3 2" xfId="14555"/>
    <cellStyle name="Normal 6 3 2 4 4" xfId="12786"/>
    <cellStyle name="Normal 6 3 2 5" xfId="9997"/>
    <cellStyle name="Normal 6 3 2 5 2" xfId="16478"/>
    <cellStyle name="Normal 6 3 2 6" xfId="8392"/>
    <cellStyle name="Normal 6 3 2 6 2" xfId="14949"/>
    <cellStyle name="Normal 6 3 2 7" xfId="6673"/>
    <cellStyle name="Normal 6 3 2 7 2" xfId="13363"/>
    <cellStyle name="Normal 6 3 2 8" xfId="11573"/>
    <cellStyle name="Normal 6 3 3" xfId="5000"/>
    <cellStyle name="Normal 6 3 3 2" xfId="8743"/>
    <cellStyle name="Normal 6 3 3 2 2" xfId="15291"/>
    <cellStyle name="Normal 6 3 3 3" xfId="7024"/>
    <cellStyle name="Normal 6 3 3 3 2" xfId="13710"/>
    <cellStyle name="Normal 6 3 3 4" xfId="11925"/>
    <cellStyle name="Normal 6 3 4" xfId="5258"/>
    <cellStyle name="Normal 6 3 4 2" xfId="9001"/>
    <cellStyle name="Normal 6 3 4 2 2" xfId="15545"/>
    <cellStyle name="Normal 6 3 4 3" xfId="7282"/>
    <cellStyle name="Normal 6 3 4 3 2" xfId="13964"/>
    <cellStyle name="Normal 6 3 4 4" xfId="12179"/>
    <cellStyle name="Normal 6 3 5" xfId="5696"/>
    <cellStyle name="Normal 6 3 5 2" xfId="9437"/>
    <cellStyle name="Normal 6 3 5 2 2" xfId="15939"/>
    <cellStyle name="Normal 6 3 5 3" xfId="7718"/>
    <cellStyle name="Normal 6 3 5 3 2" xfId="14358"/>
    <cellStyle name="Normal 6 3 5 4" xfId="12589"/>
    <cellStyle name="Normal 6 3 6" xfId="9996"/>
    <cellStyle name="Normal 6 3 6 2" xfId="16477"/>
    <cellStyle name="Normal 6 3 7" xfId="8195"/>
    <cellStyle name="Normal 6 3 7 2" xfId="14752"/>
    <cellStyle name="Normal 6 3 8" xfId="6476"/>
    <cellStyle name="Normal 6 3 8 2" xfId="13166"/>
    <cellStyle name="Normal 6 3 9" xfId="11374"/>
    <cellStyle name="Normal 6 4" xfId="4431"/>
    <cellStyle name="Normal 6 4 2" xfId="4640"/>
    <cellStyle name="Normal 6 4 2 2" xfId="5003"/>
    <cellStyle name="Normal 6 4 2 2 2" xfId="8746"/>
    <cellStyle name="Normal 6 4 2 2 2 2" xfId="15294"/>
    <cellStyle name="Normal 6 4 2 2 3" xfId="7027"/>
    <cellStyle name="Normal 6 4 2 2 3 2" xfId="13713"/>
    <cellStyle name="Normal 6 4 2 2 4" xfId="11928"/>
    <cellStyle name="Normal 6 4 2 3" xfId="5467"/>
    <cellStyle name="Normal 6 4 2 3 2" xfId="9210"/>
    <cellStyle name="Normal 6 4 2 3 2 2" xfId="15754"/>
    <cellStyle name="Normal 6 4 2 3 3" xfId="7491"/>
    <cellStyle name="Normal 6 4 2 3 3 2" xfId="14173"/>
    <cellStyle name="Normal 6 4 2 3 4" xfId="12388"/>
    <cellStyle name="Normal 6 4 2 4" xfId="5905"/>
    <cellStyle name="Normal 6 4 2 4 2" xfId="9646"/>
    <cellStyle name="Normal 6 4 2 4 2 2" xfId="16148"/>
    <cellStyle name="Normal 6 4 2 4 3" xfId="7927"/>
    <cellStyle name="Normal 6 4 2 4 3 2" xfId="14567"/>
    <cellStyle name="Normal 6 4 2 4 4" xfId="12798"/>
    <cellStyle name="Normal 6 4 2 5" xfId="9999"/>
    <cellStyle name="Normal 6 4 2 5 2" xfId="16480"/>
    <cellStyle name="Normal 6 4 2 6" xfId="8404"/>
    <cellStyle name="Normal 6 4 2 6 2" xfId="14961"/>
    <cellStyle name="Normal 6 4 2 7" xfId="6685"/>
    <cellStyle name="Normal 6 4 2 7 2" xfId="13375"/>
    <cellStyle name="Normal 6 4 2 8" xfId="11585"/>
    <cellStyle name="Normal 6 4 3" xfId="5002"/>
    <cellStyle name="Normal 6 4 3 2" xfId="8745"/>
    <cellStyle name="Normal 6 4 3 2 2" xfId="15293"/>
    <cellStyle name="Normal 6 4 3 3" xfId="7026"/>
    <cellStyle name="Normal 6 4 3 3 2" xfId="13712"/>
    <cellStyle name="Normal 6 4 3 4" xfId="11927"/>
    <cellStyle name="Normal 6 4 4" xfId="5270"/>
    <cellStyle name="Normal 6 4 4 2" xfId="9013"/>
    <cellStyle name="Normal 6 4 4 2 2" xfId="15557"/>
    <cellStyle name="Normal 6 4 4 3" xfId="7294"/>
    <cellStyle name="Normal 6 4 4 3 2" xfId="13976"/>
    <cellStyle name="Normal 6 4 4 4" xfId="12191"/>
    <cellStyle name="Normal 6 4 5" xfId="5708"/>
    <cellStyle name="Normal 6 4 5 2" xfId="9449"/>
    <cellStyle name="Normal 6 4 5 2 2" xfId="15951"/>
    <cellStyle name="Normal 6 4 5 3" xfId="7730"/>
    <cellStyle name="Normal 6 4 5 3 2" xfId="14370"/>
    <cellStyle name="Normal 6 4 5 4" xfId="12601"/>
    <cellStyle name="Normal 6 4 6" xfId="9998"/>
    <cellStyle name="Normal 6 4 6 2" xfId="16479"/>
    <cellStyle name="Normal 6 4 7" xfId="8207"/>
    <cellStyle name="Normal 6 4 7 2" xfId="14764"/>
    <cellStyle name="Normal 6 4 8" xfId="6488"/>
    <cellStyle name="Normal 6 4 8 2" xfId="13178"/>
    <cellStyle name="Normal 6 4 9" xfId="11386"/>
    <cellStyle name="Normal 6 5" xfId="4562"/>
    <cellStyle name="Normal 6 5 2" xfId="5004"/>
    <cellStyle name="Normal 6 5 2 2" xfId="8747"/>
    <cellStyle name="Normal 6 5 2 2 2" xfId="15295"/>
    <cellStyle name="Normal 6 5 2 3" xfId="7028"/>
    <cellStyle name="Normal 6 5 2 3 2" xfId="13714"/>
    <cellStyle name="Normal 6 5 2 4" xfId="11929"/>
    <cellStyle name="Normal 6 5 3" xfId="5389"/>
    <cellStyle name="Normal 6 5 3 2" xfId="9132"/>
    <cellStyle name="Normal 6 5 3 2 2" xfId="15676"/>
    <cellStyle name="Normal 6 5 3 3" xfId="7413"/>
    <cellStyle name="Normal 6 5 3 3 2" xfId="14095"/>
    <cellStyle name="Normal 6 5 3 4" xfId="12310"/>
    <cellStyle name="Normal 6 5 4" xfId="5827"/>
    <cellStyle name="Normal 6 5 4 2" xfId="9568"/>
    <cellStyle name="Normal 6 5 4 2 2" xfId="16070"/>
    <cellStyle name="Normal 6 5 4 3" xfId="7849"/>
    <cellStyle name="Normal 6 5 4 3 2" xfId="14489"/>
    <cellStyle name="Normal 6 5 4 4" xfId="12720"/>
    <cellStyle name="Normal 6 5 5" xfId="10000"/>
    <cellStyle name="Normal 6 5 5 2" xfId="16481"/>
    <cellStyle name="Normal 6 5 6" xfId="8326"/>
    <cellStyle name="Normal 6 5 6 2" xfId="14883"/>
    <cellStyle name="Normal 6 5 7" xfId="6607"/>
    <cellStyle name="Normal 6 5 7 2" xfId="13297"/>
    <cellStyle name="Normal 6 5 8" xfId="11507"/>
    <cellStyle name="Normal 6 6" xfId="4728"/>
    <cellStyle name="Normal 6 6 2" xfId="8472"/>
    <cellStyle name="Normal 6 6 2 2" xfId="15024"/>
    <cellStyle name="Normal 6 6 3" xfId="6753"/>
    <cellStyle name="Normal 6 6 3 2" xfId="13443"/>
    <cellStyle name="Normal 6 6 4" xfId="11657"/>
    <cellStyle name="Normal 6 7" xfId="5192"/>
    <cellStyle name="Normal 6 7 2" xfId="8935"/>
    <cellStyle name="Normal 6 7 2 2" xfId="15479"/>
    <cellStyle name="Normal 6 7 3" xfId="7216"/>
    <cellStyle name="Normal 6 7 3 2" xfId="13898"/>
    <cellStyle name="Normal 6 7 4" xfId="12113"/>
    <cellStyle name="Normal 6 8" xfId="5625"/>
    <cellStyle name="Normal 6 8 2" xfId="9366"/>
    <cellStyle name="Normal 6 8 2 2" xfId="15873"/>
    <cellStyle name="Normal 6 8 3" xfId="7647"/>
    <cellStyle name="Normal 6 8 3 2" xfId="14292"/>
    <cellStyle name="Normal 6 8 4" xfId="12518"/>
    <cellStyle name="Normal 6 9" xfId="9716"/>
    <cellStyle name="Normal 6 9 2" xfId="16209"/>
    <cellStyle name="Normal 60" xfId="4671"/>
    <cellStyle name="Normal 61" xfId="5511"/>
    <cellStyle name="Normal 62" xfId="10172"/>
    <cellStyle name="Normal 7" xfId="19"/>
    <cellStyle name="Normal 7 2" xfId="4163"/>
    <cellStyle name="Normal 7 3" xfId="4164"/>
    <cellStyle name="Normal 7 4" xfId="4433"/>
    <cellStyle name="Normal 7 4 2" xfId="4642"/>
    <cellStyle name="Normal 7 4 2 2" xfId="5006"/>
    <cellStyle name="Normal 7 4 2 2 2" xfId="8749"/>
    <cellStyle name="Normal 7 4 2 2 2 2" xfId="15297"/>
    <cellStyle name="Normal 7 4 2 2 3" xfId="7030"/>
    <cellStyle name="Normal 7 4 2 2 3 2" xfId="13716"/>
    <cellStyle name="Normal 7 4 2 2 4" xfId="11931"/>
    <cellStyle name="Normal 7 4 2 3" xfId="5469"/>
    <cellStyle name="Normal 7 4 2 3 2" xfId="9212"/>
    <cellStyle name="Normal 7 4 2 3 2 2" xfId="15756"/>
    <cellStyle name="Normal 7 4 2 3 3" xfId="7493"/>
    <cellStyle name="Normal 7 4 2 3 3 2" xfId="14175"/>
    <cellStyle name="Normal 7 4 2 3 4" xfId="12390"/>
    <cellStyle name="Normal 7 4 2 4" xfId="5907"/>
    <cellStyle name="Normal 7 4 2 4 2" xfId="9648"/>
    <cellStyle name="Normal 7 4 2 4 2 2" xfId="16150"/>
    <cellStyle name="Normal 7 4 2 4 3" xfId="7929"/>
    <cellStyle name="Normal 7 4 2 4 3 2" xfId="14569"/>
    <cellStyle name="Normal 7 4 2 4 4" xfId="12800"/>
    <cellStyle name="Normal 7 4 2 5" xfId="10002"/>
    <cellStyle name="Normal 7 4 2 5 2" xfId="16483"/>
    <cellStyle name="Normal 7 4 2 6" xfId="8406"/>
    <cellStyle name="Normal 7 4 2 6 2" xfId="14963"/>
    <cellStyle name="Normal 7 4 2 7" xfId="6687"/>
    <cellStyle name="Normal 7 4 2 7 2" xfId="13377"/>
    <cellStyle name="Normal 7 4 2 8" xfId="11587"/>
    <cellStyle name="Normal 7 4 3" xfId="5005"/>
    <cellStyle name="Normal 7 4 3 2" xfId="8748"/>
    <cellStyle name="Normal 7 4 3 2 2" xfId="15296"/>
    <cellStyle name="Normal 7 4 3 3" xfId="7029"/>
    <cellStyle name="Normal 7 4 3 3 2" xfId="13715"/>
    <cellStyle name="Normal 7 4 3 4" xfId="11930"/>
    <cellStyle name="Normal 7 4 4" xfId="5272"/>
    <cellStyle name="Normal 7 4 4 2" xfId="9015"/>
    <cellStyle name="Normal 7 4 4 2 2" xfId="15559"/>
    <cellStyle name="Normal 7 4 4 3" xfId="7296"/>
    <cellStyle name="Normal 7 4 4 3 2" xfId="13978"/>
    <cellStyle name="Normal 7 4 4 4" xfId="12193"/>
    <cellStyle name="Normal 7 4 5" xfId="5710"/>
    <cellStyle name="Normal 7 4 5 2" xfId="9451"/>
    <cellStyle name="Normal 7 4 5 2 2" xfId="15953"/>
    <cellStyle name="Normal 7 4 5 3" xfId="7732"/>
    <cellStyle name="Normal 7 4 5 3 2" xfId="14372"/>
    <cellStyle name="Normal 7 4 5 4" xfId="12603"/>
    <cellStyle name="Normal 7 4 6" xfId="10001"/>
    <cellStyle name="Normal 7 4 6 2" xfId="16482"/>
    <cellStyle name="Normal 7 4 7" xfId="8209"/>
    <cellStyle name="Normal 7 4 7 2" xfId="14766"/>
    <cellStyle name="Normal 7 4 8" xfId="6490"/>
    <cellStyle name="Normal 7 4 8 2" xfId="13180"/>
    <cellStyle name="Normal 7 4 9" xfId="11388"/>
    <cellStyle name="Normal 7 5 2" xfId="4165"/>
    <cellStyle name="Normal 77" xfId="4166"/>
    <cellStyle name="Normal 78" xfId="4167"/>
    <cellStyle name="Normal 78 10" xfId="11303"/>
    <cellStyle name="Normal 78 2" xfId="4168"/>
    <cellStyle name="Normal 78 2 2" xfId="4565"/>
    <cellStyle name="Normal 78 2 2 2" xfId="5007"/>
    <cellStyle name="Normal 78 2 2 2 2" xfId="8750"/>
    <cellStyle name="Normal 78 2 2 2 2 2" xfId="15298"/>
    <cellStyle name="Normal 78 2 2 2 3" xfId="7031"/>
    <cellStyle name="Normal 78 2 2 2 3 2" xfId="13717"/>
    <cellStyle name="Normal 78 2 2 2 4" xfId="11932"/>
    <cellStyle name="Normal 78 2 2 3" xfId="5392"/>
    <cellStyle name="Normal 78 2 2 3 2" xfId="9135"/>
    <cellStyle name="Normal 78 2 2 3 2 2" xfId="15679"/>
    <cellStyle name="Normal 78 2 2 3 3" xfId="7416"/>
    <cellStyle name="Normal 78 2 2 3 3 2" xfId="14098"/>
    <cellStyle name="Normal 78 2 2 3 4" xfId="12313"/>
    <cellStyle name="Normal 78 2 2 4" xfId="5830"/>
    <cellStyle name="Normal 78 2 2 4 2" xfId="9571"/>
    <cellStyle name="Normal 78 2 2 4 2 2" xfId="16073"/>
    <cellStyle name="Normal 78 2 2 4 3" xfId="7852"/>
    <cellStyle name="Normal 78 2 2 4 3 2" xfId="14492"/>
    <cellStyle name="Normal 78 2 2 4 4" xfId="12723"/>
    <cellStyle name="Normal 78 2 2 5" xfId="10003"/>
    <cellStyle name="Normal 78 2 2 5 2" xfId="16484"/>
    <cellStyle name="Normal 78 2 2 6" xfId="8329"/>
    <cellStyle name="Normal 78 2 2 6 2" xfId="14886"/>
    <cellStyle name="Normal 78 2 2 7" xfId="6610"/>
    <cellStyle name="Normal 78 2 2 7 2" xfId="13300"/>
    <cellStyle name="Normal 78 2 2 8" xfId="11510"/>
    <cellStyle name="Normal 78 2 3" xfId="4761"/>
    <cellStyle name="Normal 78 2 3 2" xfId="8504"/>
    <cellStyle name="Normal 78 2 3 2 2" xfId="15056"/>
    <cellStyle name="Normal 78 2 3 3" xfId="6785"/>
    <cellStyle name="Normal 78 2 3 3 2" xfId="13475"/>
    <cellStyle name="Normal 78 2 3 4" xfId="11690"/>
    <cellStyle name="Normal 78 2 4" xfId="5195"/>
    <cellStyle name="Normal 78 2 4 2" xfId="8938"/>
    <cellStyle name="Normal 78 2 4 2 2" xfId="15482"/>
    <cellStyle name="Normal 78 2 4 3" xfId="7219"/>
    <cellStyle name="Normal 78 2 4 3 2" xfId="13901"/>
    <cellStyle name="Normal 78 2 4 4" xfId="12116"/>
    <cellStyle name="Normal 78 2 5" xfId="5628"/>
    <cellStyle name="Normal 78 2 5 2" xfId="9369"/>
    <cellStyle name="Normal 78 2 5 2 2" xfId="15876"/>
    <cellStyle name="Normal 78 2 5 3" xfId="7650"/>
    <cellStyle name="Normal 78 2 5 3 2" xfId="14295"/>
    <cellStyle name="Normal 78 2 5 4" xfId="12521"/>
    <cellStyle name="Normal 78 2 6" xfId="9751"/>
    <cellStyle name="Normal 78 2 6 2" xfId="16242"/>
    <cellStyle name="Normal 78 2 7" xfId="8089"/>
    <cellStyle name="Normal 78 2 7 2" xfId="14689"/>
    <cellStyle name="Normal 78 2 8" xfId="6362"/>
    <cellStyle name="Normal 78 2 8 2" xfId="13085"/>
    <cellStyle name="Normal 78 2 9" xfId="11304"/>
    <cellStyle name="Normal 78 3" xfId="4564"/>
    <cellStyle name="Normal 78 3 2" xfId="5008"/>
    <cellStyle name="Normal 78 3 2 2" xfId="8751"/>
    <cellStyle name="Normal 78 3 2 2 2" xfId="15299"/>
    <cellStyle name="Normal 78 3 2 3" xfId="7032"/>
    <cellStyle name="Normal 78 3 2 3 2" xfId="13718"/>
    <cellStyle name="Normal 78 3 2 4" xfId="11933"/>
    <cellStyle name="Normal 78 3 3" xfId="5391"/>
    <cellStyle name="Normal 78 3 3 2" xfId="9134"/>
    <cellStyle name="Normal 78 3 3 2 2" xfId="15678"/>
    <cellStyle name="Normal 78 3 3 3" xfId="7415"/>
    <cellStyle name="Normal 78 3 3 3 2" xfId="14097"/>
    <cellStyle name="Normal 78 3 3 4" xfId="12312"/>
    <cellStyle name="Normal 78 3 4" xfId="5829"/>
    <cellStyle name="Normal 78 3 4 2" xfId="9570"/>
    <cellStyle name="Normal 78 3 4 2 2" xfId="16072"/>
    <cellStyle name="Normal 78 3 4 3" xfId="7851"/>
    <cellStyle name="Normal 78 3 4 3 2" xfId="14491"/>
    <cellStyle name="Normal 78 3 4 4" xfId="12722"/>
    <cellStyle name="Normal 78 3 5" xfId="10004"/>
    <cellStyle name="Normal 78 3 5 2" xfId="16485"/>
    <cellStyle name="Normal 78 3 6" xfId="8328"/>
    <cellStyle name="Normal 78 3 6 2" xfId="14885"/>
    <cellStyle name="Normal 78 3 7" xfId="6609"/>
    <cellStyle name="Normal 78 3 7 2" xfId="13299"/>
    <cellStyle name="Normal 78 3 8" xfId="11509"/>
    <cellStyle name="Normal 78 4" xfId="4699"/>
    <cellStyle name="Normal 78 4 2" xfId="8444"/>
    <cellStyle name="Normal 78 4 2 2" xfId="14996"/>
    <cellStyle name="Normal 78 4 3" xfId="6725"/>
    <cellStyle name="Normal 78 4 3 2" xfId="13415"/>
    <cellStyle name="Normal 78 4 4" xfId="11629"/>
    <cellStyle name="Normal 78 5" xfId="5194"/>
    <cellStyle name="Normal 78 5 2" xfId="8937"/>
    <cellStyle name="Normal 78 5 2 2" xfId="15481"/>
    <cellStyle name="Normal 78 5 3" xfId="7218"/>
    <cellStyle name="Normal 78 5 3 2" xfId="13900"/>
    <cellStyle name="Normal 78 5 4" xfId="12115"/>
    <cellStyle name="Normal 78 6" xfId="5627"/>
    <cellStyle name="Normal 78 6 2" xfId="9368"/>
    <cellStyle name="Normal 78 6 2 2" xfId="15875"/>
    <cellStyle name="Normal 78 6 3" xfId="7649"/>
    <cellStyle name="Normal 78 6 3 2" xfId="14294"/>
    <cellStyle name="Normal 78 6 4" xfId="12520"/>
    <cellStyle name="Normal 78 7" xfId="9681"/>
    <cellStyle name="Normal 78 7 2" xfId="16181"/>
    <cellStyle name="Normal 78 8" xfId="8088"/>
    <cellStyle name="Normal 78 8 2" xfId="14688"/>
    <cellStyle name="Normal 78 9" xfId="6361"/>
    <cellStyle name="Normal 78 9 2" xfId="13084"/>
    <cellStyle name="Normal 8" xfId="4169"/>
    <cellStyle name="Normal 84" xfId="4170"/>
    <cellStyle name="Normal 84 2" xfId="4566"/>
    <cellStyle name="Normal 84 2 2" xfId="5009"/>
    <cellStyle name="Normal 84 2 2 2" xfId="8752"/>
    <cellStyle name="Normal 84 2 2 2 2" xfId="15300"/>
    <cellStyle name="Normal 84 2 2 3" xfId="7033"/>
    <cellStyle name="Normal 84 2 2 3 2" xfId="13719"/>
    <cellStyle name="Normal 84 2 2 4" xfId="11934"/>
    <cellStyle name="Normal 84 2 3" xfId="5393"/>
    <cellStyle name="Normal 84 2 3 2" xfId="9136"/>
    <cellStyle name="Normal 84 2 3 2 2" xfId="15680"/>
    <cellStyle name="Normal 84 2 3 3" xfId="7417"/>
    <cellStyle name="Normal 84 2 3 3 2" xfId="14099"/>
    <cellStyle name="Normal 84 2 3 4" xfId="12314"/>
    <cellStyle name="Normal 84 2 4" xfId="5831"/>
    <cellStyle name="Normal 84 2 4 2" xfId="9572"/>
    <cellStyle name="Normal 84 2 4 2 2" xfId="16074"/>
    <cellStyle name="Normal 84 2 4 3" xfId="7853"/>
    <cellStyle name="Normal 84 2 4 3 2" xfId="14493"/>
    <cellStyle name="Normal 84 2 4 4" xfId="12724"/>
    <cellStyle name="Normal 84 2 5" xfId="10005"/>
    <cellStyle name="Normal 84 2 5 2" xfId="16486"/>
    <cellStyle name="Normal 84 2 6" xfId="8330"/>
    <cellStyle name="Normal 84 2 6 2" xfId="14887"/>
    <cellStyle name="Normal 84 2 7" xfId="6611"/>
    <cellStyle name="Normal 84 2 7 2" xfId="13301"/>
    <cellStyle name="Normal 84 2 8" xfId="11511"/>
    <cellStyle name="Normal 84 3" xfId="4844"/>
    <cellStyle name="Normal 84 3 2" xfId="8587"/>
    <cellStyle name="Normal 84 3 2 2" xfId="15135"/>
    <cellStyle name="Normal 84 3 3" xfId="6868"/>
    <cellStyle name="Normal 84 3 3 2" xfId="13554"/>
    <cellStyle name="Normal 84 3 4" xfId="11769"/>
    <cellStyle name="Normal 84 4" xfId="5196"/>
    <cellStyle name="Normal 84 4 2" xfId="8939"/>
    <cellStyle name="Normal 84 4 2 2" xfId="15483"/>
    <cellStyle name="Normal 84 4 3" xfId="7220"/>
    <cellStyle name="Normal 84 4 3 2" xfId="13902"/>
    <cellStyle name="Normal 84 4 4" xfId="12117"/>
    <cellStyle name="Normal 84 5" xfId="5629"/>
    <cellStyle name="Normal 84 5 2" xfId="9370"/>
    <cellStyle name="Normal 84 5 2 2" xfId="15877"/>
    <cellStyle name="Normal 84 5 3" xfId="7651"/>
    <cellStyle name="Normal 84 5 3 2" xfId="14296"/>
    <cellStyle name="Normal 84 5 4" xfId="12522"/>
    <cellStyle name="Normal 84 6" xfId="9835"/>
    <cellStyle name="Normal 84 6 2" xfId="16321"/>
    <cellStyle name="Normal 84 7" xfId="8090"/>
    <cellStyle name="Normal 84 7 2" xfId="14690"/>
    <cellStyle name="Normal 84 8" xfId="6363"/>
    <cellStyle name="Normal 84 8 2" xfId="13086"/>
    <cellStyle name="Normal 84 9" xfId="11305"/>
    <cellStyle name="Normal 86" xfId="4171"/>
    <cellStyle name="Normal 86 2" xfId="4567"/>
    <cellStyle name="Normal 86 2 2" xfId="5010"/>
    <cellStyle name="Normal 86 2 2 2" xfId="8753"/>
    <cellStyle name="Normal 86 2 2 2 2" xfId="15301"/>
    <cellStyle name="Normal 86 2 2 3" xfId="7034"/>
    <cellStyle name="Normal 86 2 2 3 2" xfId="13720"/>
    <cellStyle name="Normal 86 2 2 4" xfId="11935"/>
    <cellStyle name="Normal 86 2 3" xfId="5394"/>
    <cellStyle name="Normal 86 2 3 2" xfId="9137"/>
    <cellStyle name="Normal 86 2 3 2 2" xfId="15681"/>
    <cellStyle name="Normal 86 2 3 3" xfId="7418"/>
    <cellStyle name="Normal 86 2 3 3 2" xfId="14100"/>
    <cellStyle name="Normal 86 2 3 4" xfId="12315"/>
    <cellStyle name="Normal 86 2 4" xfId="5832"/>
    <cellStyle name="Normal 86 2 4 2" xfId="9573"/>
    <cellStyle name="Normal 86 2 4 2 2" xfId="16075"/>
    <cellStyle name="Normal 86 2 4 3" xfId="7854"/>
    <cellStyle name="Normal 86 2 4 3 2" xfId="14494"/>
    <cellStyle name="Normal 86 2 4 4" xfId="12725"/>
    <cellStyle name="Normal 86 2 5" xfId="10006"/>
    <cellStyle name="Normal 86 2 5 2" xfId="16487"/>
    <cellStyle name="Normal 86 2 6" xfId="8331"/>
    <cellStyle name="Normal 86 2 6 2" xfId="14888"/>
    <cellStyle name="Normal 86 2 7" xfId="6612"/>
    <cellStyle name="Normal 86 2 7 2" xfId="13302"/>
    <cellStyle name="Normal 86 2 8" xfId="11512"/>
    <cellStyle name="Normal 86 3" xfId="4845"/>
    <cellStyle name="Normal 86 3 2" xfId="8588"/>
    <cellStyle name="Normal 86 3 2 2" xfId="15136"/>
    <cellStyle name="Normal 86 3 3" xfId="6869"/>
    <cellStyle name="Normal 86 3 3 2" xfId="13555"/>
    <cellStyle name="Normal 86 3 4" xfId="11770"/>
    <cellStyle name="Normal 86 4" xfId="5197"/>
    <cellStyle name="Normal 86 4 2" xfId="8940"/>
    <cellStyle name="Normal 86 4 2 2" xfId="15484"/>
    <cellStyle name="Normal 86 4 3" xfId="7221"/>
    <cellStyle name="Normal 86 4 3 2" xfId="13903"/>
    <cellStyle name="Normal 86 4 4" xfId="12118"/>
    <cellStyle name="Normal 86 5" xfId="5630"/>
    <cellStyle name="Normal 86 5 2" xfId="9371"/>
    <cellStyle name="Normal 86 5 2 2" xfId="15878"/>
    <cellStyle name="Normal 86 5 3" xfId="7652"/>
    <cellStyle name="Normal 86 5 3 2" xfId="14297"/>
    <cellStyle name="Normal 86 5 4" xfId="12523"/>
    <cellStyle name="Normal 86 6" xfId="9836"/>
    <cellStyle name="Normal 86 6 2" xfId="16322"/>
    <cellStyle name="Normal 86 7" xfId="8091"/>
    <cellStyle name="Normal 86 7 2" xfId="14691"/>
    <cellStyle name="Normal 86 8" xfId="6364"/>
    <cellStyle name="Normal 86 8 2" xfId="13087"/>
    <cellStyle name="Normal 86 9" xfId="11306"/>
    <cellStyle name="Normal 9" xfId="4172"/>
    <cellStyle name="Normal 9 10" xfId="4173"/>
    <cellStyle name="Normal 9 11" xfId="11307"/>
    <cellStyle name="Normal 9 2" xfId="4174"/>
    <cellStyle name="Normal 9 2 10" xfId="11308"/>
    <cellStyle name="Normal 9 2 2" xfId="4175"/>
    <cellStyle name="Normal 9 2 3" xfId="4569"/>
    <cellStyle name="Normal 9 2 3 2" xfId="5011"/>
    <cellStyle name="Normal 9 2 3 2 2" xfId="8754"/>
    <cellStyle name="Normal 9 2 3 2 2 2" xfId="15302"/>
    <cellStyle name="Normal 9 2 3 2 3" xfId="7035"/>
    <cellStyle name="Normal 9 2 3 2 3 2" xfId="13721"/>
    <cellStyle name="Normal 9 2 3 2 4" xfId="11936"/>
    <cellStyle name="Normal 9 2 3 3" xfId="5396"/>
    <cellStyle name="Normal 9 2 3 3 2" xfId="9139"/>
    <cellStyle name="Normal 9 2 3 3 2 2" xfId="15683"/>
    <cellStyle name="Normal 9 2 3 3 3" xfId="7420"/>
    <cellStyle name="Normal 9 2 3 3 3 2" xfId="14102"/>
    <cellStyle name="Normal 9 2 3 3 4" xfId="12317"/>
    <cellStyle name="Normal 9 2 3 4" xfId="5834"/>
    <cellStyle name="Normal 9 2 3 4 2" xfId="9575"/>
    <cellStyle name="Normal 9 2 3 4 2 2" xfId="16077"/>
    <cellStyle name="Normal 9 2 3 4 3" xfId="7856"/>
    <cellStyle name="Normal 9 2 3 4 3 2" xfId="14496"/>
    <cellStyle name="Normal 9 2 3 4 4" xfId="12727"/>
    <cellStyle name="Normal 9 2 3 5" xfId="10007"/>
    <cellStyle name="Normal 9 2 3 5 2" xfId="16488"/>
    <cellStyle name="Normal 9 2 3 6" xfId="8333"/>
    <cellStyle name="Normal 9 2 3 6 2" xfId="14890"/>
    <cellStyle name="Normal 9 2 3 7" xfId="6614"/>
    <cellStyle name="Normal 9 2 3 7 2" xfId="13304"/>
    <cellStyle name="Normal 9 2 3 8" xfId="11514"/>
    <cellStyle name="Normal 9 2 4" xfId="4814"/>
    <cellStyle name="Normal 9 2 4 2" xfId="8557"/>
    <cellStyle name="Normal 9 2 4 2 2" xfId="15109"/>
    <cellStyle name="Normal 9 2 4 3" xfId="6838"/>
    <cellStyle name="Normal 9 2 4 3 2" xfId="13528"/>
    <cellStyle name="Normal 9 2 4 4" xfId="11743"/>
    <cellStyle name="Normal 9 2 5" xfId="5199"/>
    <cellStyle name="Normal 9 2 5 2" xfId="8942"/>
    <cellStyle name="Normal 9 2 5 2 2" xfId="15486"/>
    <cellStyle name="Normal 9 2 5 3" xfId="7223"/>
    <cellStyle name="Normal 9 2 5 3 2" xfId="13905"/>
    <cellStyle name="Normal 9 2 5 4" xfId="12120"/>
    <cellStyle name="Normal 9 2 6" xfId="5632"/>
    <cellStyle name="Normal 9 2 6 2" xfId="9373"/>
    <cellStyle name="Normal 9 2 6 2 2" xfId="15880"/>
    <cellStyle name="Normal 9 2 6 3" xfId="7654"/>
    <cellStyle name="Normal 9 2 6 3 2" xfId="14299"/>
    <cellStyle name="Normal 9 2 6 4" xfId="12525"/>
    <cellStyle name="Normal 9 2 7" xfId="9804"/>
    <cellStyle name="Normal 9 2 7 2" xfId="16295"/>
    <cellStyle name="Normal 9 2 8" xfId="8093"/>
    <cellStyle name="Normal 9 2 8 2" xfId="14693"/>
    <cellStyle name="Normal 9 2 9" xfId="6366"/>
    <cellStyle name="Normal 9 2 9 2" xfId="13089"/>
    <cellStyle name="Normal 9 3" xfId="4568"/>
    <cellStyle name="Normal 9 3 2" xfId="5012"/>
    <cellStyle name="Normal 9 3 2 2" xfId="8755"/>
    <cellStyle name="Normal 9 3 2 2 2" xfId="15303"/>
    <cellStyle name="Normal 9 3 2 3" xfId="7036"/>
    <cellStyle name="Normal 9 3 2 3 2" xfId="13722"/>
    <cellStyle name="Normal 9 3 2 4" xfId="11937"/>
    <cellStyle name="Normal 9 3 3" xfId="5395"/>
    <cellStyle name="Normal 9 3 3 2" xfId="9138"/>
    <cellStyle name="Normal 9 3 3 2 2" xfId="15682"/>
    <cellStyle name="Normal 9 3 3 3" xfId="7419"/>
    <cellStyle name="Normal 9 3 3 3 2" xfId="14101"/>
    <cellStyle name="Normal 9 3 3 4" xfId="12316"/>
    <cellStyle name="Normal 9 3 4" xfId="5833"/>
    <cellStyle name="Normal 9 3 4 2" xfId="9574"/>
    <cellStyle name="Normal 9 3 4 2 2" xfId="16076"/>
    <cellStyle name="Normal 9 3 4 3" xfId="7855"/>
    <cellStyle name="Normal 9 3 4 3 2" xfId="14495"/>
    <cellStyle name="Normal 9 3 4 4" xfId="12726"/>
    <cellStyle name="Normal 9 3 5" xfId="10008"/>
    <cellStyle name="Normal 9 3 5 2" xfId="16489"/>
    <cellStyle name="Normal 9 3 6" xfId="8332"/>
    <cellStyle name="Normal 9 3 6 2" xfId="14889"/>
    <cellStyle name="Normal 9 3 7" xfId="6613"/>
    <cellStyle name="Normal 9 3 7 2" xfId="13303"/>
    <cellStyle name="Normal 9 3 8" xfId="11513"/>
    <cellStyle name="Normal 9 4" xfId="4732"/>
    <cellStyle name="Normal 9 4 2" xfId="8476"/>
    <cellStyle name="Normal 9 4 2 2" xfId="15028"/>
    <cellStyle name="Normal 9 4 3" xfId="6757"/>
    <cellStyle name="Normal 9 4 3 2" xfId="13447"/>
    <cellStyle name="Normal 9 4 4" xfId="11661"/>
    <cellStyle name="Normal 9 5" xfId="5198"/>
    <cellStyle name="Normal 9 5 2" xfId="8941"/>
    <cellStyle name="Normal 9 5 2 2" xfId="15485"/>
    <cellStyle name="Normal 9 5 3" xfId="7222"/>
    <cellStyle name="Normal 9 5 3 2" xfId="13904"/>
    <cellStyle name="Normal 9 5 4" xfId="12119"/>
    <cellStyle name="Normal 9 6" xfId="5631"/>
    <cellStyle name="Normal 9 6 2" xfId="9372"/>
    <cellStyle name="Normal 9 6 2 2" xfId="15879"/>
    <cellStyle name="Normal 9 6 3" xfId="7653"/>
    <cellStyle name="Normal 9 6 3 2" xfId="14298"/>
    <cellStyle name="Normal 9 6 4" xfId="12524"/>
    <cellStyle name="Normal 9 7" xfId="9720"/>
    <cellStyle name="Normal 9 7 2" xfId="16213"/>
    <cellStyle name="Normal 9 8" xfId="8092"/>
    <cellStyle name="Normal 9 8 2" xfId="14692"/>
    <cellStyle name="Normal 9 9" xfId="6365"/>
    <cellStyle name="Normal 9 9 2" xfId="13088"/>
    <cellStyle name="Normal U" xfId="4176"/>
    <cellStyle name="Normale_Foglio1" xfId="4177"/>
    <cellStyle name="Num_Inputs" xfId="4178"/>
    <cellStyle name="Num1_Inputs" xfId="4179"/>
    <cellStyle name="Num3_Input" xfId="4180"/>
    <cellStyle name="Number" xfId="4181"/>
    <cellStyle name="Numeric point input" xfId="4182"/>
    <cellStyle name="OLELink" xfId="4183"/>
    <cellStyle name="Operis comma" xfId="4184"/>
    <cellStyle name="Operis date" xfId="4185"/>
    <cellStyle name="Operis documentation item" xfId="4186"/>
    <cellStyle name="Operis documentation item 2" xfId="4187"/>
    <cellStyle name="Operis heading" xfId="4188"/>
    <cellStyle name="Operis heading 1" xfId="4189"/>
    <cellStyle name="Operis heading 2" xfId="4190"/>
    <cellStyle name="Operis Heading Centered" xfId="4191"/>
    <cellStyle name="Operis million" xfId="4192"/>
    <cellStyle name="Operis million currency" xfId="4193"/>
    <cellStyle name="Operis million, 3dp" xfId="4194"/>
    <cellStyle name="Operis money" xfId="4195"/>
    <cellStyle name="Operis names" xfId="4196"/>
    <cellStyle name="Operis output" xfId="4197"/>
    <cellStyle name="Operis Percent" xfId="4198"/>
    <cellStyle name="Operis Proforma" xfId="4199"/>
    <cellStyle name="Operis ratio" xfId="4200"/>
    <cellStyle name="Operis ratio 2" xfId="4201"/>
    <cellStyle name="Operis ratio 2 2" xfId="5103"/>
    <cellStyle name="Operis ratio 2 2 2" xfId="8846"/>
    <cellStyle name="Operis ratio 2 2 2 2" xfId="6221"/>
    <cellStyle name="Operis ratio 2 2 2 2 2" xfId="12946"/>
    <cellStyle name="Operis ratio 2 2 3" xfId="7127"/>
    <cellStyle name="Operis ratio 2 3" xfId="8095"/>
    <cellStyle name="Operis ratio 2 3 2" xfId="6166"/>
    <cellStyle name="Operis ratio 2 3 2 2" xfId="12891"/>
    <cellStyle name="Operis ratio 2 4" xfId="6373"/>
    <cellStyle name="Operis ratio 3" xfId="5104"/>
    <cellStyle name="Operis ratio 3 2" xfId="8847"/>
    <cellStyle name="Operis ratio 3 2 2" xfId="6222"/>
    <cellStyle name="Operis ratio 3 2 2 2" xfId="12947"/>
    <cellStyle name="Operis ratio 3 3" xfId="7128"/>
    <cellStyle name="Operis ratio 4" xfId="8094"/>
    <cellStyle name="Operis ratio 4 2" xfId="6165"/>
    <cellStyle name="Operis ratio 4 2 2" xfId="12890"/>
    <cellStyle name="Operis ratio 5" xfId="6372"/>
    <cellStyle name="OperisAuditSections" xfId="4202"/>
    <cellStyle name="OperisBase" xfId="4203"/>
    <cellStyle name="OperisDateMonthly" xfId="4204"/>
    <cellStyle name="OperisDatePeriodic" xfId="4205"/>
    <cellStyle name="OperisGroups" xfId="4206"/>
    <cellStyle name="OperisMoney" xfId="4207"/>
    <cellStyle name="OperisNames" xfId="4208"/>
    <cellStyle name="OperisOutputTitles" xfId="4209"/>
    <cellStyle name="OperisOutputTotals" xfId="4210"/>
    <cellStyle name="OperisPercent" xfId="4211"/>
    <cellStyle name="OperisRatio" xfId="4212"/>
    <cellStyle name="Out%2" xfId="4213"/>
    <cellStyle name="Out0" xfId="4214"/>
    <cellStyle name="Out1" xfId="4215"/>
    <cellStyle name="Out2" xfId="4216"/>
    <cellStyle name="OutputCurrency" xfId="4217"/>
    <cellStyle name="OutputText" xfId="4218"/>
    <cellStyle name="overheads" xfId="4219"/>
    <cellStyle name="Percent" xfId="4" builtinId="5"/>
    <cellStyle name="Percent (2dp)" xfId="4220"/>
    <cellStyle name="Percent [0%]" xfId="4221"/>
    <cellStyle name="Percent [0.00%]" xfId="4222"/>
    <cellStyle name="Percent [2]" xfId="4223"/>
    <cellStyle name="Percent [2] U" xfId="4224"/>
    <cellStyle name="Percent 10" xfId="4225"/>
    <cellStyle name="Percent 10 10" xfId="11309"/>
    <cellStyle name="Percent 10 2" xfId="4226"/>
    <cellStyle name="Percent 10 2 2" xfId="4571"/>
    <cellStyle name="Percent 10 2 2 2" xfId="5013"/>
    <cellStyle name="Percent 10 2 2 2 2" xfId="8756"/>
    <cellStyle name="Percent 10 2 2 2 2 2" xfId="15304"/>
    <cellStyle name="Percent 10 2 2 2 3" xfId="7037"/>
    <cellStyle name="Percent 10 2 2 2 3 2" xfId="13723"/>
    <cellStyle name="Percent 10 2 2 2 4" xfId="11938"/>
    <cellStyle name="Percent 10 2 2 3" xfId="5398"/>
    <cellStyle name="Percent 10 2 2 3 2" xfId="9141"/>
    <cellStyle name="Percent 10 2 2 3 2 2" xfId="15685"/>
    <cellStyle name="Percent 10 2 2 3 3" xfId="7422"/>
    <cellStyle name="Percent 10 2 2 3 3 2" xfId="14104"/>
    <cellStyle name="Percent 10 2 2 3 4" xfId="12319"/>
    <cellStyle name="Percent 10 2 2 4" xfId="5836"/>
    <cellStyle name="Percent 10 2 2 4 2" xfId="9577"/>
    <cellStyle name="Percent 10 2 2 4 2 2" xfId="16079"/>
    <cellStyle name="Percent 10 2 2 4 3" xfId="7858"/>
    <cellStyle name="Percent 10 2 2 4 3 2" xfId="14498"/>
    <cellStyle name="Percent 10 2 2 4 4" xfId="12729"/>
    <cellStyle name="Percent 10 2 2 5" xfId="10009"/>
    <cellStyle name="Percent 10 2 2 5 2" xfId="16490"/>
    <cellStyle name="Percent 10 2 2 6" xfId="8335"/>
    <cellStyle name="Percent 10 2 2 6 2" xfId="14892"/>
    <cellStyle name="Percent 10 2 2 7" xfId="6616"/>
    <cellStyle name="Percent 10 2 2 7 2" xfId="13306"/>
    <cellStyle name="Percent 10 2 2 8" xfId="11516"/>
    <cellStyle name="Percent 10 2 3" xfId="4791"/>
    <cellStyle name="Percent 10 2 3 2" xfId="8534"/>
    <cellStyle name="Percent 10 2 3 2 2" xfId="15086"/>
    <cellStyle name="Percent 10 2 3 3" xfId="6815"/>
    <cellStyle name="Percent 10 2 3 3 2" xfId="13505"/>
    <cellStyle name="Percent 10 2 3 4" xfId="11720"/>
    <cellStyle name="Percent 10 2 4" xfId="5201"/>
    <cellStyle name="Percent 10 2 4 2" xfId="8944"/>
    <cellStyle name="Percent 10 2 4 2 2" xfId="15488"/>
    <cellStyle name="Percent 10 2 4 3" xfId="7225"/>
    <cellStyle name="Percent 10 2 4 3 2" xfId="13907"/>
    <cellStyle name="Percent 10 2 4 4" xfId="12122"/>
    <cellStyle name="Percent 10 2 5" xfId="5634"/>
    <cellStyle name="Percent 10 2 5 2" xfId="9375"/>
    <cellStyle name="Percent 10 2 5 2 2" xfId="15882"/>
    <cellStyle name="Percent 10 2 5 3" xfId="7656"/>
    <cellStyle name="Percent 10 2 5 3 2" xfId="14301"/>
    <cellStyle name="Percent 10 2 5 4" xfId="12527"/>
    <cellStyle name="Percent 10 2 6" xfId="9781"/>
    <cellStyle name="Percent 10 2 6 2" xfId="16272"/>
    <cellStyle name="Percent 10 2 7" xfId="8097"/>
    <cellStyle name="Percent 10 2 7 2" xfId="14695"/>
    <cellStyle name="Percent 10 2 8" xfId="6379"/>
    <cellStyle name="Percent 10 2 8 2" xfId="13100"/>
    <cellStyle name="Percent 10 2 9" xfId="11310"/>
    <cellStyle name="Percent 10 3" xfId="4570"/>
    <cellStyle name="Percent 10 3 2" xfId="5014"/>
    <cellStyle name="Percent 10 3 2 2" xfId="8757"/>
    <cellStyle name="Percent 10 3 2 2 2" xfId="15305"/>
    <cellStyle name="Percent 10 3 2 3" xfId="7038"/>
    <cellStyle name="Percent 10 3 2 3 2" xfId="13724"/>
    <cellStyle name="Percent 10 3 2 4" xfId="11939"/>
    <cellStyle name="Percent 10 3 3" xfId="5397"/>
    <cellStyle name="Percent 10 3 3 2" xfId="9140"/>
    <cellStyle name="Percent 10 3 3 2 2" xfId="15684"/>
    <cellStyle name="Percent 10 3 3 3" xfId="7421"/>
    <cellStyle name="Percent 10 3 3 3 2" xfId="14103"/>
    <cellStyle name="Percent 10 3 3 4" xfId="12318"/>
    <cellStyle name="Percent 10 3 4" xfId="5835"/>
    <cellStyle name="Percent 10 3 4 2" xfId="9576"/>
    <cellStyle name="Percent 10 3 4 2 2" xfId="16078"/>
    <cellStyle name="Percent 10 3 4 3" xfId="7857"/>
    <cellStyle name="Percent 10 3 4 3 2" xfId="14497"/>
    <cellStyle name="Percent 10 3 4 4" xfId="12728"/>
    <cellStyle name="Percent 10 3 5" xfId="10010"/>
    <cellStyle name="Percent 10 3 5 2" xfId="16491"/>
    <cellStyle name="Percent 10 3 6" xfId="8334"/>
    <cellStyle name="Percent 10 3 6 2" xfId="14891"/>
    <cellStyle name="Percent 10 3 7" xfId="6615"/>
    <cellStyle name="Percent 10 3 7 2" xfId="13305"/>
    <cellStyle name="Percent 10 3 8" xfId="11515"/>
    <cellStyle name="Percent 10 4" xfId="4709"/>
    <cellStyle name="Percent 10 4 2" xfId="8453"/>
    <cellStyle name="Percent 10 4 2 2" xfId="15005"/>
    <cellStyle name="Percent 10 4 3" xfId="6734"/>
    <cellStyle name="Percent 10 4 3 2" xfId="13424"/>
    <cellStyle name="Percent 10 4 4" xfId="11638"/>
    <cellStyle name="Percent 10 5" xfId="5200"/>
    <cellStyle name="Percent 10 5 2" xfId="8943"/>
    <cellStyle name="Percent 10 5 2 2" xfId="15487"/>
    <cellStyle name="Percent 10 5 3" xfId="7224"/>
    <cellStyle name="Percent 10 5 3 2" xfId="13906"/>
    <cellStyle name="Percent 10 5 4" xfId="12121"/>
    <cellStyle name="Percent 10 6" xfId="5633"/>
    <cellStyle name="Percent 10 6 2" xfId="9374"/>
    <cellStyle name="Percent 10 6 2 2" xfId="15881"/>
    <cellStyle name="Percent 10 6 3" xfId="7655"/>
    <cellStyle name="Percent 10 6 3 2" xfId="14300"/>
    <cellStyle name="Percent 10 6 4" xfId="12526"/>
    <cellStyle name="Percent 10 7" xfId="9697"/>
    <cellStyle name="Percent 10 7 2" xfId="16190"/>
    <cellStyle name="Percent 10 8" xfId="8096"/>
    <cellStyle name="Percent 10 8 2" xfId="14694"/>
    <cellStyle name="Percent 10 9" xfId="6378"/>
    <cellStyle name="Percent 10 9 2" xfId="13099"/>
    <cellStyle name="Percent 11" xfId="4227"/>
    <cellStyle name="Percent 11 10" xfId="11311"/>
    <cellStyle name="Percent 11 2" xfId="4228"/>
    <cellStyle name="Percent 11 2 2" xfId="4573"/>
    <cellStyle name="Percent 11 2 2 2" xfId="5015"/>
    <cellStyle name="Percent 11 2 2 2 2" xfId="8758"/>
    <cellStyle name="Percent 11 2 2 2 2 2" xfId="15306"/>
    <cellStyle name="Percent 11 2 2 2 3" xfId="7039"/>
    <cellStyle name="Percent 11 2 2 2 3 2" xfId="13725"/>
    <cellStyle name="Percent 11 2 2 2 4" xfId="11940"/>
    <cellStyle name="Percent 11 2 2 3" xfId="5400"/>
    <cellStyle name="Percent 11 2 2 3 2" xfId="9143"/>
    <cellStyle name="Percent 11 2 2 3 2 2" xfId="15687"/>
    <cellStyle name="Percent 11 2 2 3 3" xfId="7424"/>
    <cellStyle name="Percent 11 2 2 3 3 2" xfId="14106"/>
    <cellStyle name="Percent 11 2 2 3 4" xfId="12321"/>
    <cellStyle name="Percent 11 2 2 4" xfId="5838"/>
    <cellStyle name="Percent 11 2 2 4 2" xfId="9579"/>
    <cellStyle name="Percent 11 2 2 4 2 2" xfId="16081"/>
    <cellStyle name="Percent 11 2 2 4 3" xfId="7860"/>
    <cellStyle name="Percent 11 2 2 4 3 2" xfId="14500"/>
    <cellStyle name="Percent 11 2 2 4 4" xfId="12731"/>
    <cellStyle name="Percent 11 2 2 5" xfId="10011"/>
    <cellStyle name="Percent 11 2 2 5 2" xfId="16492"/>
    <cellStyle name="Percent 11 2 2 6" xfId="8337"/>
    <cellStyle name="Percent 11 2 2 6 2" xfId="14894"/>
    <cellStyle name="Percent 11 2 2 7" xfId="6618"/>
    <cellStyle name="Percent 11 2 2 7 2" xfId="13308"/>
    <cellStyle name="Percent 11 2 2 8" xfId="11518"/>
    <cellStyle name="Percent 11 2 3" xfId="4794"/>
    <cellStyle name="Percent 11 2 3 2" xfId="8537"/>
    <cellStyle name="Percent 11 2 3 2 2" xfId="15089"/>
    <cellStyle name="Percent 11 2 3 3" xfId="6818"/>
    <cellStyle name="Percent 11 2 3 3 2" xfId="13508"/>
    <cellStyle name="Percent 11 2 3 4" xfId="11723"/>
    <cellStyle name="Percent 11 2 4" xfId="5203"/>
    <cellStyle name="Percent 11 2 4 2" xfId="8946"/>
    <cellStyle name="Percent 11 2 4 2 2" xfId="15490"/>
    <cellStyle name="Percent 11 2 4 3" xfId="7227"/>
    <cellStyle name="Percent 11 2 4 3 2" xfId="13909"/>
    <cellStyle name="Percent 11 2 4 4" xfId="12124"/>
    <cellStyle name="Percent 11 2 5" xfId="5636"/>
    <cellStyle name="Percent 11 2 5 2" xfId="9377"/>
    <cellStyle name="Percent 11 2 5 2 2" xfId="15884"/>
    <cellStyle name="Percent 11 2 5 3" xfId="7658"/>
    <cellStyle name="Percent 11 2 5 3 2" xfId="14303"/>
    <cellStyle name="Percent 11 2 5 4" xfId="12529"/>
    <cellStyle name="Percent 11 2 6" xfId="9784"/>
    <cellStyle name="Percent 11 2 6 2" xfId="16275"/>
    <cellStyle name="Percent 11 2 7" xfId="8099"/>
    <cellStyle name="Percent 11 2 7 2" xfId="14697"/>
    <cellStyle name="Percent 11 2 8" xfId="6381"/>
    <cellStyle name="Percent 11 2 8 2" xfId="13102"/>
    <cellStyle name="Percent 11 2 9" xfId="11312"/>
    <cellStyle name="Percent 11 3" xfId="4572"/>
    <cellStyle name="Percent 11 3 2" xfId="5016"/>
    <cellStyle name="Percent 11 3 2 2" xfId="8759"/>
    <cellStyle name="Percent 11 3 2 2 2" xfId="15307"/>
    <cellStyle name="Percent 11 3 2 3" xfId="7040"/>
    <cellStyle name="Percent 11 3 2 3 2" xfId="13726"/>
    <cellStyle name="Percent 11 3 2 4" xfId="11941"/>
    <cellStyle name="Percent 11 3 3" xfId="5399"/>
    <cellStyle name="Percent 11 3 3 2" xfId="9142"/>
    <cellStyle name="Percent 11 3 3 2 2" xfId="15686"/>
    <cellStyle name="Percent 11 3 3 3" xfId="7423"/>
    <cellStyle name="Percent 11 3 3 3 2" xfId="14105"/>
    <cellStyle name="Percent 11 3 3 4" xfId="12320"/>
    <cellStyle name="Percent 11 3 4" xfId="5837"/>
    <cellStyle name="Percent 11 3 4 2" xfId="9578"/>
    <cellStyle name="Percent 11 3 4 2 2" xfId="16080"/>
    <cellStyle name="Percent 11 3 4 3" xfId="7859"/>
    <cellStyle name="Percent 11 3 4 3 2" xfId="14499"/>
    <cellStyle name="Percent 11 3 4 4" xfId="12730"/>
    <cellStyle name="Percent 11 3 5" xfId="10012"/>
    <cellStyle name="Percent 11 3 5 2" xfId="16493"/>
    <cellStyle name="Percent 11 3 6" xfId="8336"/>
    <cellStyle name="Percent 11 3 6 2" xfId="14893"/>
    <cellStyle name="Percent 11 3 7" xfId="6617"/>
    <cellStyle name="Percent 11 3 7 2" xfId="13307"/>
    <cellStyle name="Percent 11 3 8" xfId="11517"/>
    <cellStyle name="Percent 11 4" xfId="4712"/>
    <cellStyle name="Percent 11 4 2" xfId="8456"/>
    <cellStyle name="Percent 11 4 2 2" xfId="15008"/>
    <cellStyle name="Percent 11 4 3" xfId="6737"/>
    <cellStyle name="Percent 11 4 3 2" xfId="13427"/>
    <cellStyle name="Percent 11 4 4" xfId="11641"/>
    <cellStyle name="Percent 11 5" xfId="5202"/>
    <cellStyle name="Percent 11 5 2" xfId="8945"/>
    <cellStyle name="Percent 11 5 2 2" xfId="15489"/>
    <cellStyle name="Percent 11 5 3" xfId="7226"/>
    <cellStyle name="Percent 11 5 3 2" xfId="13908"/>
    <cellStyle name="Percent 11 5 4" xfId="12123"/>
    <cellStyle name="Percent 11 6" xfId="5635"/>
    <cellStyle name="Percent 11 6 2" xfId="9376"/>
    <cellStyle name="Percent 11 6 2 2" xfId="15883"/>
    <cellStyle name="Percent 11 6 3" xfId="7657"/>
    <cellStyle name="Percent 11 6 3 2" xfId="14302"/>
    <cellStyle name="Percent 11 6 4" xfId="12528"/>
    <cellStyle name="Percent 11 7" xfId="9700"/>
    <cellStyle name="Percent 11 7 2" xfId="16193"/>
    <cellStyle name="Percent 11 8" xfId="8098"/>
    <cellStyle name="Percent 11 8 2" xfId="14696"/>
    <cellStyle name="Percent 11 9" xfId="6380"/>
    <cellStyle name="Percent 11 9 2" xfId="13101"/>
    <cellStyle name="Percent 12" xfId="4229"/>
    <cellStyle name="Percent 12 10" xfId="11313"/>
    <cellStyle name="Percent 12 2" xfId="4230"/>
    <cellStyle name="Percent 12 2 2" xfId="4575"/>
    <cellStyle name="Percent 12 2 2 2" xfId="5017"/>
    <cellStyle name="Percent 12 2 2 2 2" xfId="8760"/>
    <cellStyle name="Percent 12 2 2 2 2 2" xfId="15308"/>
    <cellStyle name="Percent 12 2 2 2 3" xfId="7041"/>
    <cellStyle name="Percent 12 2 2 2 3 2" xfId="13727"/>
    <cellStyle name="Percent 12 2 2 2 4" xfId="11942"/>
    <cellStyle name="Percent 12 2 2 3" xfId="5402"/>
    <cellStyle name="Percent 12 2 2 3 2" xfId="9145"/>
    <cellStyle name="Percent 12 2 2 3 2 2" xfId="15689"/>
    <cellStyle name="Percent 12 2 2 3 3" xfId="7426"/>
    <cellStyle name="Percent 12 2 2 3 3 2" xfId="14108"/>
    <cellStyle name="Percent 12 2 2 3 4" xfId="12323"/>
    <cellStyle name="Percent 12 2 2 4" xfId="5840"/>
    <cellStyle name="Percent 12 2 2 4 2" xfId="9581"/>
    <cellStyle name="Percent 12 2 2 4 2 2" xfId="16083"/>
    <cellStyle name="Percent 12 2 2 4 3" xfId="7862"/>
    <cellStyle name="Percent 12 2 2 4 3 2" xfId="14502"/>
    <cellStyle name="Percent 12 2 2 4 4" xfId="12733"/>
    <cellStyle name="Percent 12 2 2 5" xfId="10013"/>
    <cellStyle name="Percent 12 2 2 5 2" xfId="16494"/>
    <cellStyle name="Percent 12 2 2 6" xfId="8339"/>
    <cellStyle name="Percent 12 2 2 6 2" xfId="14896"/>
    <cellStyle name="Percent 12 2 2 7" xfId="6620"/>
    <cellStyle name="Percent 12 2 2 7 2" xfId="13310"/>
    <cellStyle name="Percent 12 2 2 8" xfId="11520"/>
    <cellStyle name="Percent 12 2 3" xfId="4796"/>
    <cellStyle name="Percent 12 2 3 2" xfId="8539"/>
    <cellStyle name="Percent 12 2 3 2 2" xfId="15091"/>
    <cellStyle name="Percent 12 2 3 3" xfId="6820"/>
    <cellStyle name="Percent 12 2 3 3 2" xfId="13510"/>
    <cellStyle name="Percent 12 2 3 4" xfId="11725"/>
    <cellStyle name="Percent 12 2 4" xfId="5205"/>
    <cellStyle name="Percent 12 2 4 2" xfId="8948"/>
    <cellStyle name="Percent 12 2 4 2 2" xfId="15492"/>
    <cellStyle name="Percent 12 2 4 3" xfId="7229"/>
    <cellStyle name="Percent 12 2 4 3 2" xfId="13911"/>
    <cellStyle name="Percent 12 2 4 4" xfId="12126"/>
    <cellStyle name="Percent 12 2 5" xfId="5638"/>
    <cellStyle name="Percent 12 2 5 2" xfId="9379"/>
    <cellStyle name="Percent 12 2 5 2 2" xfId="15886"/>
    <cellStyle name="Percent 12 2 5 3" xfId="7660"/>
    <cellStyle name="Percent 12 2 5 3 2" xfId="14305"/>
    <cellStyle name="Percent 12 2 5 4" xfId="12531"/>
    <cellStyle name="Percent 12 2 6" xfId="9786"/>
    <cellStyle name="Percent 12 2 6 2" xfId="16277"/>
    <cellStyle name="Percent 12 2 7" xfId="8101"/>
    <cellStyle name="Percent 12 2 7 2" xfId="14699"/>
    <cellStyle name="Percent 12 2 8" xfId="6383"/>
    <cellStyle name="Percent 12 2 8 2" xfId="13104"/>
    <cellStyle name="Percent 12 2 9" xfId="11314"/>
    <cellStyle name="Percent 12 3" xfId="4574"/>
    <cellStyle name="Percent 12 3 2" xfId="5018"/>
    <cellStyle name="Percent 12 3 2 2" xfId="8761"/>
    <cellStyle name="Percent 12 3 2 2 2" xfId="15309"/>
    <cellStyle name="Percent 12 3 2 3" xfId="7042"/>
    <cellStyle name="Percent 12 3 2 3 2" xfId="13728"/>
    <cellStyle name="Percent 12 3 2 4" xfId="11943"/>
    <cellStyle name="Percent 12 3 3" xfId="5401"/>
    <cellStyle name="Percent 12 3 3 2" xfId="9144"/>
    <cellStyle name="Percent 12 3 3 2 2" xfId="15688"/>
    <cellStyle name="Percent 12 3 3 3" xfId="7425"/>
    <cellStyle name="Percent 12 3 3 3 2" xfId="14107"/>
    <cellStyle name="Percent 12 3 3 4" xfId="12322"/>
    <cellStyle name="Percent 12 3 4" xfId="5839"/>
    <cellStyle name="Percent 12 3 4 2" xfId="9580"/>
    <cellStyle name="Percent 12 3 4 2 2" xfId="16082"/>
    <cellStyle name="Percent 12 3 4 3" xfId="7861"/>
    <cellStyle name="Percent 12 3 4 3 2" xfId="14501"/>
    <cellStyle name="Percent 12 3 4 4" xfId="12732"/>
    <cellStyle name="Percent 12 3 5" xfId="10014"/>
    <cellStyle name="Percent 12 3 5 2" xfId="16495"/>
    <cellStyle name="Percent 12 3 6" xfId="8338"/>
    <cellStyle name="Percent 12 3 6 2" xfId="14895"/>
    <cellStyle name="Percent 12 3 7" xfId="6619"/>
    <cellStyle name="Percent 12 3 7 2" xfId="13309"/>
    <cellStyle name="Percent 12 3 8" xfId="11519"/>
    <cellStyle name="Percent 12 4" xfId="4714"/>
    <cellStyle name="Percent 12 4 2" xfId="8458"/>
    <cellStyle name="Percent 12 4 2 2" xfId="15010"/>
    <cellStyle name="Percent 12 4 3" xfId="6739"/>
    <cellStyle name="Percent 12 4 3 2" xfId="13429"/>
    <cellStyle name="Percent 12 4 4" xfId="11643"/>
    <cellStyle name="Percent 12 5" xfId="5204"/>
    <cellStyle name="Percent 12 5 2" xfId="8947"/>
    <cellStyle name="Percent 12 5 2 2" xfId="15491"/>
    <cellStyle name="Percent 12 5 3" xfId="7228"/>
    <cellStyle name="Percent 12 5 3 2" xfId="13910"/>
    <cellStyle name="Percent 12 5 4" xfId="12125"/>
    <cellStyle name="Percent 12 6" xfId="5637"/>
    <cellStyle name="Percent 12 6 2" xfId="9378"/>
    <cellStyle name="Percent 12 6 2 2" xfId="15885"/>
    <cellStyle name="Percent 12 6 3" xfId="7659"/>
    <cellStyle name="Percent 12 6 3 2" xfId="14304"/>
    <cellStyle name="Percent 12 6 4" xfId="12530"/>
    <cellStyle name="Percent 12 7" xfId="9702"/>
    <cellStyle name="Percent 12 7 2" xfId="16195"/>
    <cellStyle name="Percent 12 8" xfId="8100"/>
    <cellStyle name="Percent 12 8 2" xfId="14698"/>
    <cellStyle name="Percent 12 9" xfId="6382"/>
    <cellStyle name="Percent 12 9 2" xfId="13103"/>
    <cellStyle name="Percent 13" xfId="4231"/>
    <cellStyle name="Percent 13 10" xfId="11315"/>
    <cellStyle name="Percent 13 2" xfId="4232"/>
    <cellStyle name="Percent 13 2 2" xfId="4577"/>
    <cellStyle name="Percent 13 2 2 2" xfId="5019"/>
    <cellStyle name="Percent 13 2 2 2 2" xfId="8762"/>
    <cellStyle name="Percent 13 2 2 2 2 2" xfId="15310"/>
    <cellStyle name="Percent 13 2 2 2 3" xfId="7043"/>
    <cellStyle name="Percent 13 2 2 2 3 2" xfId="13729"/>
    <cellStyle name="Percent 13 2 2 2 4" xfId="11944"/>
    <cellStyle name="Percent 13 2 2 3" xfId="5404"/>
    <cellStyle name="Percent 13 2 2 3 2" xfId="9147"/>
    <cellStyle name="Percent 13 2 2 3 2 2" xfId="15691"/>
    <cellStyle name="Percent 13 2 2 3 3" xfId="7428"/>
    <cellStyle name="Percent 13 2 2 3 3 2" xfId="14110"/>
    <cellStyle name="Percent 13 2 2 3 4" xfId="12325"/>
    <cellStyle name="Percent 13 2 2 4" xfId="5842"/>
    <cellStyle name="Percent 13 2 2 4 2" xfId="9583"/>
    <cellStyle name="Percent 13 2 2 4 2 2" xfId="16085"/>
    <cellStyle name="Percent 13 2 2 4 3" xfId="7864"/>
    <cellStyle name="Percent 13 2 2 4 3 2" xfId="14504"/>
    <cellStyle name="Percent 13 2 2 4 4" xfId="12735"/>
    <cellStyle name="Percent 13 2 2 5" xfId="10015"/>
    <cellStyle name="Percent 13 2 2 5 2" xfId="16496"/>
    <cellStyle name="Percent 13 2 2 6" xfId="8341"/>
    <cellStyle name="Percent 13 2 2 6 2" xfId="14898"/>
    <cellStyle name="Percent 13 2 2 7" xfId="6622"/>
    <cellStyle name="Percent 13 2 2 7 2" xfId="13312"/>
    <cellStyle name="Percent 13 2 2 8" xfId="11522"/>
    <cellStyle name="Percent 13 2 3" xfId="4797"/>
    <cellStyle name="Percent 13 2 3 2" xfId="8540"/>
    <cellStyle name="Percent 13 2 3 2 2" xfId="15092"/>
    <cellStyle name="Percent 13 2 3 3" xfId="6821"/>
    <cellStyle name="Percent 13 2 3 3 2" xfId="13511"/>
    <cellStyle name="Percent 13 2 3 4" xfId="11726"/>
    <cellStyle name="Percent 13 2 4" xfId="5207"/>
    <cellStyle name="Percent 13 2 4 2" xfId="8950"/>
    <cellStyle name="Percent 13 2 4 2 2" xfId="15494"/>
    <cellStyle name="Percent 13 2 4 3" xfId="7231"/>
    <cellStyle name="Percent 13 2 4 3 2" xfId="13913"/>
    <cellStyle name="Percent 13 2 4 4" xfId="12128"/>
    <cellStyle name="Percent 13 2 5" xfId="5640"/>
    <cellStyle name="Percent 13 2 5 2" xfId="9381"/>
    <cellStyle name="Percent 13 2 5 2 2" xfId="15888"/>
    <cellStyle name="Percent 13 2 5 3" xfId="7662"/>
    <cellStyle name="Percent 13 2 5 3 2" xfId="14307"/>
    <cellStyle name="Percent 13 2 5 4" xfId="12533"/>
    <cellStyle name="Percent 13 2 6" xfId="9787"/>
    <cellStyle name="Percent 13 2 6 2" xfId="16278"/>
    <cellStyle name="Percent 13 2 7" xfId="8103"/>
    <cellStyle name="Percent 13 2 7 2" xfId="14701"/>
    <cellStyle name="Percent 13 2 8" xfId="6385"/>
    <cellStyle name="Percent 13 2 8 2" xfId="13106"/>
    <cellStyle name="Percent 13 2 9" xfId="11316"/>
    <cellStyle name="Percent 13 3" xfId="4576"/>
    <cellStyle name="Percent 13 3 2" xfId="5020"/>
    <cellStyle name="Percent 13 3 2 2" xfId="8763"/>
    <cellStyle name="Percent 13 3 2 2 2" xfId="15311"/>
    <cellStyle name="Percent 13 3 2 3" xfId="7044"/>
    <cellStyle name="Percent 13 3 2 3 2" xfId="13730"/>
    <cellStyle name="Percent 13 3 2 4" xfId="11945"/>
    <cellStyle name="Percent 13 3 3" xfId="5403"/>
    <cellStyle name="Percent 13 3 3 2" xfId="9146"/>
    <cellStyle name="Percent 13 3 3 2 2" xfId="15690"/>
    <cellStyle name="Percent 13 3 3 3" xfId="7427"/>
    <cellStyle name="Percent 13 3 3 3 2" xfId="14109"/>
    <cellStyle name="Percent 13 3 3 4" xfId="12324"/>
    <cellStyle name="Percent 13 3 4" xfId="5841"/>
    <cellStyle name="Percent 13 3 4 2" xfId="9582"/>
    <cellStyle name="Percent 13 3 4 2 2" xfId="16084"/>
    <cellStyle name="Percent 13 3 4 3" xfId="7863"/>
    <cellStyle name="Percent 13 3 4 3 2" xfId="14503"/>
    <cellStyle name="Percent 13 3 4 4" xfId="12734"/>
    <cellStyle name="Percent 13 3 5" xfId="10016"/>
    <cellStyle name="Percent 13 3 5 2" xfId="16497"/>
    <cellStyle name="Percent 13 3 6" xfId="8340"/>
    <cellStyle name="Percent 13 3 6 2" xfId="14897"/>
    <cellStyle name="Percent 13 3 7" xfId="6621"/>
    <cellStyle name="Percent 13 3 7 2" xfId="13311"/>
    <cellStyle name="Percent 13 3 8" xfId="11521"/>
    <cellStyle name="Percent 13 4" xfId="4715"/>
    <cellStyle name="Percent 13 4 2" xfId="8459"/>
    <cellStyle name="Percent 13 4 2 2" xfId="15011"/>
    <cellStyle name="Percent 13 4 3" xfId="6740"/>
    <cellStyle name="Percent 13 4 3 2" xfId="13430"/>
    <cellStyle name="Percent 13 4 4" xfId="11644"/>
    <cellStyle name="Percent 13 5" xfId="5206"/>
    <cellStyle name="Percent 13 5 2" xfId="8949"/>
    <cellStyle name="Percent 13 5 2 2" xfId="15493"/>
    <cellStyle name="Percent 13 5 3" xfId="7230"/>
    <cellStyle name="Percent 13 5 3 2" xfId="13912"/>
    <cellStyle name="Percent 13 5 4" xfId="12127"/>
    <cellStyle name="Percent 13 6" xfId="5639"/>
    <cellStyle name="Percent 13 6 2" xfId="9380"/>
    <cellStyle name="Percent 13 6 2 2" xfId="15887"/>
    <cellStyle name="Percent 13 6 3" xfId="7661"/>
    <cellStyle name="Percent 13 6 3 2" xfId="14306"/>
    <cellStyle name="Percent 13 6 4" xfId="12532"/>
    <cellStyle name="Percent 13 7" xfId="9703"/>
    <cellStyle name="Percent 13 7 2" xfId="16196"/>
    <cellStyle name="Percent 13 8" xfId="8102"/>
    <cellStyle name="Percent 13 8 2" xfId="14700"/>
    <cellStyle name="Percent 13 9" xfId="6384"/>
    <cellStyle name="Percent 13 9 2" xfId="13105"/>
    <cellStyle name="Percent 14" xfId="4233"/>
    <cellStyle name="Percent 14 10" xfId="11317"/>
    <cellStyle name="Percent 14 2" xfId="4234"/>
    <cellStyle name="Percent 14 2 2" xfId="4579"/>
    <cellStyle name="Percent 14 2 2 2" xfId="5021"/>
    <cellStyle name="Percent 14 2 2 2 2" xfId="8764"/>
    <cellStyle name="Percent 14 2 2 2 2 2" xfId="15312"/>
    <cellStyle name="Percent 14 2 2 2 3" xfId="7045"/>
    <cellStyle name="Percent 14 2 2 2 3 2" xfId="13731"/>
    <cellStyle name="Percent 14 2 2 2 4" xfId="11946"/>
    <cellStyle name="Percent 14 2 2 3" xfId="5406"/>
    <cellStyle name="Percent 14 2 2 3 2" xfId="9149"/>
    <cellStyle name="Percent 14 2 2 3 2 2" xfId="15693"/>
    <cellStyle name="Percent 14 2 2 3 3" xfId="7430"/>
    <cellStyle name="Percent 14 2 2 3 3 2" xfId="14112"/>
    <cellStyle name="Percent 14 2 2 3 4" xfId="12327"/>
    <cellStyle name="Percent 14 2 2 4" xfId="5844"/>
    <cellStyle name="Percent 14 2 2 4 2" xfId="9585"/>
    <cellStyle name="Percent 14 2 2 4 2 2" xfId="16087"/>
    <cellStyle name="Percent 14 2 2 4 3" xfId="7866"/>
    <cellStyle name="Percent 14 2 2 4 3 2" xfId="14506"/>
    <cellStyle name="Percent 14 2 2 4 4" xfId="12737"/>
    <cellStyle name="Percent 14 2 2 5" xfId="10017"/>
    <cellStyle name="Percent 14 2 2 5 2" xfId="16498"/>
    <cellStyle name="Percent 14 2 2 6" xfId="8343"/>
    <cellStyle name="Percent 14 2 2 6 2" xfId="14900"/>
    <cellStyle name="Percent 14 2 2 7" xfId="6624"/>
    <cellStyle name="Percent 14 2 2 7 2" xfId="13314"/>
    <cellStyle name="Percent 14 2 2 8" xfId="11524"/>
    <cellStyle name="Percent 14 2 3" xfId="4799"/>
    <cellStyle name="Percent 14 2 3 2" xfId="8542"/>
    <cellStyle name="Percent 14 2 3 2 2" xfId="15094"/>
    <cellStyle name="Percent 14 2 3 3" xfId="6823"/>
    <cellStyle name="Percent 14 2 3 3 2" xfId="13513"/>
    <cellStyle name="Percent 14 2 3 4" xfId="11728"/>
    <cellStyle name="Percent 14 2 4" xfId="5209"/>
    <cellStyle name="Percent 14 2 4 2" xfId="8952"/>
    <cellStyle name="Percent 14 2 4 2 2" xfId="15496"/>
    <cellStyle name="Percent 14 2 4 3" xfId="7233"/>
    <cellStyle name="Percent 14 2 4 3 2" xfId="13915"/>
    <cellStyle name="Percent 14 2 4 4" xfId="12130"/>
    <cellStyle name="Percent 14 2 5" xfId="5642"/>
    <cellStyle name="Percent 14 2 5 2" xfId="9383"/>
    <cellStyle name="Percent 14 2 5 2 2" xfId="15890"/>
    <cellStyle name="Percent 14 2 5 3" xfId="7664"/>
    <cellStyle name="Percent 14 2 5 3 2" xfId="14309"/>
    <cellStyle name="Percent 14 2 5 4" xfId="12535"/>
    <cellStyle name="Percent 14 2 6" xfId="9789"/>
    <cellStyle name="Percent 14 2 6 2" xfId="16280"/>
    <cellStyle name="Percent 14 2 7" xfId="8105"/>
    <cellStyle name="Percent 14 2 7 2" xfId="14703"/>
    <cellStyle name="Percent 14 2 8" xfId="6387"/>
    <cellStyle name="Percent 14 2 8 2" xfId="13108"/>
    <cellStyle name="Percent 14 2 9" xfId="11318"/>
    <cellStyle name="Percent 14 3" xfId="4578"/>
    <cellStyle name="Percent 14 3 2" xfId="5022"/>
    <cellStyle name="Percent 14 3 2 2" xfId="8765"/>
    <cellStyle name="Percent 14 3 2 2 2" xfId="15313"/>
    <cellStyle name="Percent 14 3 2 3" xfId="7046"/>
    <cellStyle name="Percent 14 3 2 3 2" xfId="13732"/>
    <cellStyle name="Percent 14 3 2 4" xfId="11947"/>
    <cellStyle name="Percent 14 3 3" xfId="5405"/>
    <cellStyle name="Percent 14 3 3 2" xfId="9148"/>
    <cellStyle name="Percent 14 3 3 2 2" xfId="15692"/>
    <cellStyle name="Percent 14 3 3 3" xfId="7429"/>
    <cellStyle name="Percent 14 3 3 3 2" xfId="14111"/>
    <cellStyle name="Percent 14 3 3 4" xfId="12326"/>
    <cellStyle name="Percent 14 3 4" xfId="5843"/>
    <cellStyle name="Percent 14 3 4 2" xfId="9584"/>
    <cellStyle name="Percent 14 3 4 2 2" xfId="16086"/>
    <cellStyle name="Percent 14 3 4 3" xfId="7865"/>
    <cellStyle name="Percent 14 3 4 3 2" xfId="14505"/>
    <cellStyle name="Percent 14 3 4 4" xfId="12736"/>
    <cellStyle name="Percent 14 3 5" xfId="10018"/>
    <cellStyle name="Percent 14 3 5 2" xfId="16499"/>
    <cellStyle name="Percent 14 3 6" xfId="8342"/>
    <cellStyle name="Percent 14 3 6 2" xfId="14899"/>
    <cellStyle name="Percent 14 3 7" xfId="6623"/>
    <cellStyle name="Percent 14 3 7 2" xfId="13313"/>
    <cellStyle name="Percent 14 3 8" xfId="11523"/>
    <cellStyle name="Percent 14 4" xfId="4717"/>
    <cellStyle name="Percent 14 4 2" xfId="8461"/>
    <cellStyle name="Percent 14 4 2 2" xfId="15013"/>
    <cellStyle name="Percent 14 4 3" xfId="6742"/>
    <cellStyle name="Percent 14 4 3 2" xfId="13432"/>
    <cellStyle name="Percent 14 4 4" xfId="11646"/>
    <cellStyle name="Percent 14 5" xfId="5208"/>
    <cellStyle name="Percent 14 5 2" xfId="8951"/>
    <cellStyle name="Percent 14 5 2 2" xfId="15495"/>
    <cellStyle name="Percent 14 5 3" xfId="7232"/>
    <cellStyle name="Percent 14 5 3 2" xfId="13914"/>
    <cellStyle name="Percent 14 5 4" xfId="12129"/>
    <cellStyle name="Percent 14 6" xfId="5641"/>
    <cellStyle name="Percent 14 6 2" xfId="9382"/>
    <cellStyle name="Percent 14 6 2 2" xfId="15889"/>
    <cellStyle name="Percent 14 6 3" xfId="7663"/>
    <cellStyle name="Percent 14 6 3 2" xfId="14308"/>
    <cellStyle name="Percent 14 6 4" xfId="12534"/>
    <cellStyle name="Percent 14 7" xfId="9705"/>
    <cellStyle name="Percent 14 7 2" xfId="16198"/>
    <cellStyle name="Percent 14 8" xfId="8104"/>
    <cellStyle name="Percent 14 8 2" xfId="14702"/>
    <cellStyle name="Percent 14 9" xfId="6386"/>
    <cellStyle name="Percent 14 9 2" xfId="13107"/>
    <cellStyle name="Percent 15" xfId="4235"/>
    <cellStyle name="Percent 15 10" xfId="11319"/>
    <cellStyle name="Percent 15 2" xfId="4236"/>
    <cellStyle name="Percent 15 2 2" xfId="4581"/>
    <cellStyle name="Percent 15 2 2 2" xfId="5023"/>
    <cellStyle name="Percent 15 2 2 2 2" xfId="8766"/>
    <cellStyle name="Percent 15 2 2 2 2 2" xfId="15314"/>
    <cellStyle name="Percent 15 2 2 2 3" xfId="7047"/>
    <cellStyle name="Percent 15 2 2 2 3 2" xfId="13733"/>
    <cellStyle name="Percent 15 2 2 2 4" xfId="11948"/>
    <cellStyle name="Percent 15 2 2 3" xfId="5408"/>
    <cellStyle name="Percent 15 2 2 3 2" xfId="9151"/>
    <cellStyle name="Percent 15 2 2 3 2 2" xfId="15695"/>
    <cellStyle name="Percent 15 2 2 3 3" xfId="7432"/>
    <cellStyle name="Percent 15 2 2 3 3 2" xfId="14114"/>
    <cellStyle name="Percent 15 2 2 3 4" xfId="12329"/>
    <cellStyle name="Percent 15 2 2 4" xfId="5846"/>
    <cellStyle name="Percent 15 2 2 4 2" xfId="9587"/>
    <cellStyle name="Percent 15 2 2 4 2 2" xfId="16089"/>
    <cellStyle name="Percent 15 2 2 4 3" xfId="7868"/>
    <cellStyle name="Percent 15 2 2 4 3 2" xfId="14508"/>
    <cellStyle name="Percent 15 2 2 4 4" xfId="12739"/>
    <cellStyle name="Percent 15 2 2 5" xfId="10019"/>
    <cellStyle name="Percent 15 2 2 5 2" xfId="16500"/>
    <cellStyle name="Percent 15 2 2 6" xfId="8345"/>
    <cellStyle name="Percent 15 2 2 6 2" xfId="14902"/>
    <cellStyle name="Percent 15 2 2 7" xfId="6626"/>
    <cellStyle name="Percent 15 2 2 7 2" xfId="13316"/>
    <cellStyle name="Percent 15 2 2 8" xfId="11526"/>
    <cellStyle name="Percent 15 2 3" xfId="4801"/>
    <cellStyle name="Percent 15 2 3 2" xfId="8544"/>
    <cellStyle name="Percent 15 2 3 2 2" xfId="15096"/>
    <cellStyle name="Percent 15 2 3 3" xfId="6825"/>
    <cellStyle name="Percent 15 2 3 3 2" xfId="13515"/>
    <cellStyle name="Percent 15 2 3 4" xfId="11730"/>
    <cellStyle name="Percent 15 2 4" xfId="5211"/>
    <cellStyle name="Percent 15 2 4 2" xfId="8954"/>
    <cellStyle name="Percent 15 2 4 2 2" xfId="15498"/>
    <cellStyle name="Percent 15 2 4 3" xfId="7235"/>
    <cellStyle name="Percent 15 2 4 3 2" xfId="13917"/>
    <cellStyle name="Percent 15 2 4 4" xfId="12132"/>
    <cellStyle name="Percent 15 2 5" xfId="5644"/>
    <cellStyle name="Percent 15 2 5 2" xfId="9385"/>
    <cellStyle name="Percent 15 2 5 2 2" xfId="15892"/>
    <cellStyle name="Percent 15 2 5 3" xfId="7666"/>
    <cellStyle name="Percent 15 2 5 3 2" xfId="14311"/>
    <cellStyle name="Percent 15 2 5 4" xfId="12537"/>
    <cellStyle name="Percent 15 2 6" xfId="9791"/>
    <cellStyle name="Percent 15 2 6 2" xfId="16282"/>
    <cellStyle name="Percent 15 2 7" xfId="8107"/>
    <cellStyle name="Percent 15 2 7 2" xfId="14705"/>
    <cellStyle name="Percent 15 2 8" xfId="6389"/>
    <cellStyle name="Percent 15 2 8 2" xfId="13110"/>
    <cellStyle name="Percent 15 2 9" xfId="11320"/>
    <cellStyle name="Percent 15 3" xfId="4580"/>
    <cellStyle name="Percent 15 3 2" xfId="5024"/>
    <cellStyle name="Percent 15 3 2 2" xfId="8767"/>
    <cellStyle name="Percent 15 3 2 2 2" xfId="15315"/>
    <cellStyle name="Percent 15 3 2 3" xfId="7048"/>
    <cellStyle name="Percent 15 3 2 3 2" xfId="13734"/>
    <cellStyle name="Percent 15 3 2 4" xfId="11949"/>
    <cellStyle name="Percent 15 3 3" xfId="5407"/>
    <cellStyle name="Percent 15 3 3 2" xfId="9150"/>
    <cellStyle name="Percent 15 3 3 2 2" xfId="15694"/>
    <cellStyle name="Percent 15 3 3 3" xfId="7431"/>
    <cellStyle name="Percent 15 3 3 3 2" xfId="14113"/>
    <cellStyle name="Percent 15 3 3 4" xfId="12328"/>
    <cellStyle name="Percent 15 3 4" xfId="5845"/>
    <cellStyle name="Percent 15 3 4 2" xfId="9586"/>
    <cellStyle name="Percent 15 3 4 2 2" xfId="16088"/>
    <cellStyle name="Percent 15 3 4 3" xfId="7867"/>
    <cellStyle name="Percent 15 3 4 3 2" xfId="14507"/>
    <cellStyle name="Percent 15 3 4 4" xfId="12738"/>
    <cellStyle name="Percent 15 3 5" xfId="10020"/>
    <cellStyle name="Percent 15 3 5 2" xfId="16501"/>
    <cellStyle name="Percent 15 3 6" xfId="8344"/>
    <cellStyle name="Percent 15 3 6 2" xfId="14901"/>
    <cellStyle name="Percent 15 3 7" xfId="6625"/>
    <cellStyle name="Percent 15 3 7 2" xfId="13315"/>
    <cellStyle name="Percent 15 3 8" xfId="11525"/>
    <cellStyle name="Percent 15 4" xfId="4719"/>
    <cellStyle name="Percent 15 4 2" xfId="8463"/>
    <cellStyle name="Percent 15 4 2 2" xfId="15015"/>
    <cellStyle name="Percent 15 4 3" xfId="6744"/>
    <cellStyle name="Percent 15 4 3 2" xfId="13434"/>
    <cellStyle name="Percent 15 4 4" xfId="11648"/>
    <cellStyle name="Percent 15 5" xfId="5210"/>
    <cellStyle name="Percent 15 5 2" xfId="8953"/>
    <cellStyle name="Percent 15 5 2 2" xfId="15497"/>
    <cellStyle name="Percent 15 5 3" xfId="7234"/>
    <cellStyle name="Percent 15 5 3 2" xfId="13916"/>
    <cellStyle name="Percent 15 5 4" xfId="12131"/>
    <cellStyle name="Percent 15 6" xfId="5643"/>
    <cellStyle name="Percent 15 6 2" xfId="9384"/>
    <cellStyle name="Percent 15 6 2 2" xfId="15891"/>
    <cellStyle name="Percent 15 6 3" xfId="7665"/>
    <cellStyle name="Percent 15 6 3 2" xfId="14310"/>
    <cellStyle name="Percent 15 6 4" xfId="12536"/>
    <cellStyle name="Percent 15 7" xfId="9707"/>
    <cellStyle name="Percent 15 7 2" xfId="16200"/>
    <cellStyle name="Percent 15 8" xfId="8106"/>
    <cellStyle name="Percent 15 8 2" xfId="14704"/>
    <cellStyle name="Percent 15 9" xfId="6388"/>
    <cellStyle name="Percent 15 9 2" xfId="13109"/>
    <cellStyle name="Percent 16" xfId="4237"/>
    <cellStyle name="Percent 16 10" xfId="11321"/>
    <cellStyle name="Percent 16 2" xfId="4238"/>
    <cellStyle name="Percent 16 2 2" xfId="4583"/>
    <cellStyle name="Percent 16 2 2 2" xfId="5025"/>
    <cellStyle name="Percent 16 2 2 2 2" xfId="8768"/>
    <cellStyle name="Percent 16 2 2 2 2 2" xfId="15316"/>
    <cellStyle name="Percent 16 2 2 2 3" xfId="7049"/>
    <cellStyle name="Percent 16 2 2 2 3 2" xfId="13735"/>
    <cellStyle name="Percent 16 2 2 2 4" xfId="11950"/>
    <cellStyle name="Percent 16 2 2 3" xfId="5410"/>
    <cellStyle name="Percent 16 2 2 3 2" xfId="9153"/>
    <cellStyle name="Percent 16 2 2 3 2 2" xfId="15697"/>
    <cellStyle name="Percent 16 2 2 3 3" xfId="7434"/>
    <cellStyle name="Percent 16 2 2 3 3 2" xfId="14116"/>
    <cellStyle name="Percent 16 2 2 3 4" xfId="12331"/>
    <cellStyle name="Percent 16 2 2 4" xfId="5848"/>
    <cellStyle name="Percent 16 2 2 4 2" xfId="9589"/>
    <cellStyle name="Percent 16 2 2 4 2 2" xfId="16091"/>
    <cellStyle name="Percent 16 2 2 4 3" xfId="7870"/>
    <cellStyle name="Percent 16 2 2 4 3 2" xfId="14510"/>
    <cellStyle name="Percent 16 2 2 4 4" xfId="12741"/>
    <cellStyle name="Percent 16 2 2 5" xfId="10021"/>
    <cellStyle name="Percent 16 2 2 5 2" xfId="16502"/>
    <cellStyle name="Percent 16 2 2 6" xfId="8347"/>
    <cellStyle name="Percent 16 2 2 6 2" xfId="14904"/>
    <cellStyle name="Percent 16 2 2 7" xfId="6628"/>
    <cellStyle name="Percent 16 2 2 7 2" xfId="13318"/>
    <cellStyle name="Percent 16 2 2 8" xfId="11528"/>
    <cellStyle name="Percent 16 2 3" xfId="4803"/>
    <cellStyle name="Percent 16 2 3 2" xfId="8546"/>
    <cellStyle name="Percent 16 2 3 2 2" xfId="15098"/>
    <cellStyle name="Percent 16 2 3 3" xfId="6827"/>
    <cellStyle name="Percent 16 2 3 3 2" xfId="13517"/>
    <cellStyle name="Percent 16 2 3 4" xfId="11732"/>
    <cellStyle name="Percent 16 2 4" xfId="5213"/>
    <cellStyle name="Percent 16 2 4 2" xfId="8956"/>
    <cellStyle name="Percent 16 2 4 2 2" xfId="15500"/>
    <cellStyle name="Percent 16 2 4 3" xfId="7237"/>
    <cellStyle name="Percent 16 2 4 3 2" xfId="13919"/>
    <cellStyle name="Percent 16 2 4 4" xfId="12134"/>
    <cellStyle name="Percent 16 2 5" xfId="5646"/>
    <cellStyle name="Percent 16 2 5 2" xfId="9387"/>
    <cellStyle name="Percent 16 2 5 2 2" xfId="15894"/>
    <cellStyle name="Percent 16 2 5 3" xfId="7668"/>
    <cellStyle name="Percent 16 2 5 3 2" xfId="14313"/>
    <cellStyle name="Percent 16 2 5 4" xfId="12539"/>
    <cellStyle name="Percent 16 2 6" xfId="9793"/>
    <cellStyle name="Percent 16 2 6 2" xfId="16284"/>
    <cellStyle name="Percent 16 2 7" xfId="8109"/>
    <cellStyle name="Percent 16 2 7 2" xfId="14707"/>
    <cellStyle name="Percent 16 2 8" xfId="6391"/>
    <cellStyle name="Percent 16 2 8 2" xfId="13112"/>
    <cellStyle name="Percent 16 2 9" xfId="11322"/>
    <cellStyle name="Percent 16 3" xfId="4582"/>
    <cellStyle name="Percent 16 3 2" xfId="5026"/>
    <cellStyle name="Percent 16 3 2 2" xfId="8769"/>
    <cellStyle name="Percent 16 3 2 2 2" xfId="15317"/>
    <cellStyle name="Percent 16 3 2 3" xfId="7050"/>
    <cellStyle name="Percent 16 3 2 3 2" xfId="13736"/>
    <cellStyle name="Percent 16 3 2 4" xfId="11951"/>
    <cellStyle name="Percent 16 3 3" xfId="5409"/>
    <cellStyle name="Percent 16 3 3 2" xfId="9152"/>
    <cellStyle name="Percent 16 3 3 2 2" xfId="15696"/>
    <cellStyle name="Percent 16 3 3 3" xfId="7433"/>
    <cellStyle name="Percent 16 3 3 3 2" xfId="14115"/>
    <cellStyle name="Percent 16 3 3 4" xfId="12330"/>
    <cellStyle name="Percent 16 3 4" xfId="5847"/>
    <cellStyle name="Percent 16 3 4 2" xfId="9588"/>
    <cellStyle name="Percent 16 3 4 2 2" xfId="16090"/>
    <cellStyle name="Percent 16 3 4 3" xfId="7869"/>
    <cellStyle name="Percent 16 3 4 3 2" xfId="14509"/>
    <cellStyle name="Percent 16 3 4 4" xfId="12740"/>
    <cellStyle name="Percent 16 3 5" xfId="10022"/>
    <cellStyle name="Percent 16 3 5 2" xfId="16503"/>
    <cellStyle name="Percent 16 3 6" xfId="8346"/>
    <cellStyle name="Percent 16 3 6 2" xfId="14903"/>
    <cellStyle name="Percent 16 3 7" xfId="6627"/>
    <cellStyle name="Percent 16 3 7 2" xfId="13317"/>
    <cellStyle name="Percent 16 3 8" xfId="11527"/>
    <cellStyle name="Percent 16 4" xfId="4721"/>
    <cellStyle name="Percent 16 4 2" xfId="8465"/>
    <cellStyle name="Percent 16 4 2 2" xfId="15017"/>
    <cellStyle name="Percent 16 4 3" xfId="6746"/>
    <cellStyle name="Percent 16 4 3 2" xfId="13436"/>
    <cellStyle name="Percent 16 4 4" xfId="11650"/>
    <cellStyle name="Percent 16 5" xfId="5212"/>
    <cellStyle name="Percent 16 5 2" xfId="8955"/>
    <cellStyle name="Percent 16 5 2 2" xfId="15499"/>
    <cellStyle name="Percent 16 5 3" xfId="7236"/>
    <cellStyle name="Percent 16 5 3 2" xfId="13918"/>
    <cellStyle name="Percent 16 5 4" xfId="12133"/>
    <cellStyle name="Percent 16 6" xfId="5645"/>
    <cellStyle name="Percent 16 6 2" xfId="9386"/>
    <cellStyle name="Percent 16 6 2 2" xfId="15893"/>
    <cellStyle name="Percent 16 6 3" xfId="7667"/>
    <cellStyle name="Percent 16 6 3 2" xfId="14312"/>
    <cellStyle name="Percent 16 6 4" xfId="12538"/>
    <cellStyle name="Percent 16 7" xfId="9709"/>
    <cellStyle name="Percent 16 7 2" xfId="16202"/>
    <cellStyle name="Percent 16 8" xfId="8108"/>
    <cellStyle name="Percent 16 8 2" xfId="14706"/>
    <cellStyle name="Percent 16 9" xfId="6390"/>
    <cellStyle name="Percent 16 9 2" xfId="13111"/>
    <cellStyle name="Percent 17" xfId="4239"/>
    <cellStyle name="Percent 17 10" xfId="11323"/>
    <cellStyle name="Percent 17 2" xfId="4240"/>
    <cellStyle name="Percent 17 2 2" xfId="4585"/>
    <cellStyle name="Percent 17 2 2 2" xfId="5027"/>
    <cellStyle name="Percent 17 2 2 2 2" xfId="8770"/>
    <cellStyle name="Percent 17 2 2 2 2 2" xfId="15318"/>
    <cellStyle name="Percent 17 2 2 2 3" xfId="7051"/>
    <cellStyle name="Percent 17 2 2 2 3 2" xfId="13737"/>
    <cellStyle name="Percent 17 2 2 2 4" xfId="11952"/>
    <cellStyle name="Percent 17 2 2 3" xfId="5412"/>
    <cellStyle name="Percent 17 2 2 3 2" xfId="9155"/>
    <cellStyle name="Percent 17 2 2 3 2 2" xfId="15699"/>
    <cellStyle name="Percent 17 2 2 3 3" xfId="7436"/>
    <cellStyle name="Percent 17 2 2 3 3 2" xfId="14118"/>
    <cellStyle name="Percent 17 2 2 3 4" xfId="12333"/>
    <cellStyle name="Percent 17 2 2 4" xfId="5850"/>
    <cellStyle name="Percent 17 2 2 4 2" xfId="9591"/>
    <cellStyle name="Percent 17 2 2 4 2 2" xfId="16093"/>
    <cellStyle name="Percent 17 2 2 4 3" xfId="7872"/>
    <cellStyle name="Percent 17 2 2 4 3 2" xfId="14512"/>
    <cellStyle name="Percent 17 2 2 4 4" xfId="12743"/>
    <cellStyle name="Percent 17 2 2 5" xfId="10023"/>
    <cellStyle name="Percent 17 2 2 5 2" xfId="16504"/>
    <cellStyle name="Percent 17 2 2 6" xfId="8349"/>
    <cellStyle name="Percent 17 2 2 6 2" xfId="14906"/>
    <cellStyle name="Percent 17 2 2 7" xfId="6630"/>
    <cellStyle name="Percent 17 2 2 7 2" xfId="13320"/>
    <cellStyle name="Percent 17 2 2 8" xfId="11530"/>
    <cellStyle name="Percent 17 2 3" xfId="4806"/>
    <cellStyle name="Percent 17 2 3 2" xfId="8549"/>
    <cellStyle name="Percent 17 2 3 2 2" xfId="15101"/>
    <cellStyle name="Percent 17 2 3 3" xfId="6830"/>
    <cellStyle name="Percent 17 2 3 3 2" xfId="13520"/>
    <cellStyle name="Percent 17 2 3 4" xfId="11735"/>
    <cellStyle name="Percent 17 2 4" xfId="5215"/>
    <cellStyle name="Percent 17 2 4 2" xfId="8958"/>
    <cellStyle name="Percent 17 2 4 2 2" xfId="15502"/>
    <cellStyle name="Percent 17 2 4 3" xfId="7239"/>
    <cellStyle name="Percent 17 2 4 3 2" xfId="13921"/>
    <cellStyle name="Percent 17 2 4 4" xfId="12136"/>
    <cellStyle name="Percent 17 2 5" xfId="5648"/>
    <cellStyle name="Percent 17 2 5 2" xfId="9389"/>
    <cellStyle name="Percent 17 2 5 2 2" xfId="15896"/>
    <cellStyle name="Percent 17 2 5 3" xfId="7670"/>
    <cellStyle name="Percent 17 2 5 3 2" xfId="14315"/>
    <cellStyle name="Percent 17 2 5 4" xfId="12541"/>
    <cellStyle name="Percent 17 2 6" xfId="9796"/>
    <cellStyle name="Percent 17 2 6 2" xfId="16287"/>
    <cellStyle name="Percent 17 2 7" xfId="8111"/>
    <cellStyle name="Percent 17 2 7 2" xfId="14709"/>
    <cellStyle name="Percent 17 2 8" xfId="6393"/>
    <cellStyle name="Percent 17 2 8 2" xfId="13114"/>
    <cellStyle name="Percent 17 2 9" xfId="11324"/>
    <cellStyle name="Percent 17 3" xfId="4584"/>
    <cellStyle name="Percent 17 3 2" xfId="5028"/>
    <cellStyle name="Percent 17 3 2 2" xfId="8771"/>
    <cellStyle name="Percent 17 3 2 2 2" xfId="15319"/>
    <cellStyle name="Percent 17 3 2 3" xfId="7052"/>
    <cellStyle name="Percent 17 3 2 3 2" xfId="13738"/>
    <cellStyle name="Percent 17 3 2 4" xfId="11953"/>
    <cellStyle name="Percent 17 3 3" xfId="5411"/>
    <cellStyle name="Percent 17 3 3 2" xfId="9154"/>
    <cellStyle name="Percent 17 3 3 2 2" xfId="15698"/>
    <cellStyle name="Percent 17 3 3 3" xfId="7435"/>
    <cellStyle name="Percent 17 3 3 3 2" xfId="14117"/>
    <cellStyle name="Percent 17 3 3 4" xfId="12332"/>
    <cellStyle name="Percent 17 3 4" xfId="5849"/>
    <cellStyle name="Percent 17 3 4 2" xfId="9590"/>
    <cellStyle name="Percent 17 3 4 2 2" xfId="16092"/>
    <cellStyle name="Percent 17 3 4 3" xfId="7871"/>
    <cellStyle name="Percent 17 3 4 3 2" xfId="14511"/>
    <cellStyle name="Percent 17 3 4 4" xfId="12742"/>
    <cellStyle name="Percent 17 3 5" xfId="10024"/>
    <cellStyle name="Percent 17 3 5 2" xfId="16505"/>
    <cellStyle name="Percent 17 3 6" xfId="8348"/>
    <cellStyle name="Percent 17 3 6 2" xfId="14905"/>
    <cellStyle name="Percent 17 3 7" xfId="6629"/>
    <cellStyle name="Percent 17 3 7 2" xfId="13319"/>
    <cellStyle name="Percent 17 3 8" xfId="11529"/>
    <cellStyle name="Percent 17 4" xfId="4724"/>
    <cellStyle name="Percent 17 4 2" xfId="8468"/>
    <cellStyle name="Percent 17 4 2 2" xfId="15020"/>
    <cellStyle name="Percent 17 4 3" xfId="6749"/>
    <cellStyle name="Percent 17 4 3 2" xfId="13439"/>
    <cellStyle name="Percent 17 4 4" xfId="11653"/>
    <cellStyle name="Percent 17 5" xfId="5214"/>
    <cellStyle name="Percent 17 5 2" xfId="8957"/>
    <cellStyle name="Percent 17 5 2 2" xfId="15501"/>
    <cellStyle name="Percent 17 5 3" xfId="7238"/>
    <cellStyle name="Percent 17 5 3 2" xfId="13920"/>
    <cellStyle name="Percent 17 5 4" xfId="12135"/>
    <cellStyle name="Percent 17 6" xfId="5647"/>
    <cellStyle name="Percent 17 6 2" xfId="9388"/>
    <cellStyle name="Percent 17 6 2 2" xfId="15895"/>
    <cellStyle name="Percent 17 6 3" xfId="7669"/>
    <cellStyle name="Percent 17 6 3 2" xfId="14314"/>
    <cellStyle name="Percent 17 6 4" xfId="12540"/>
    <cellStyle name="Percent 17 7" xfId="9712"/>
    <cellStyle name="Percent 17 7 2" xfId="16205"/>
    <cellStyle name="Percent 17 8" xfId="8110"/>
    <cellStyle name="Percent 17 8 2" xfId="14708"/>
    <cellStyle name="Percent 17 9" xfId="6392"/>
    <cellStyle name="Percent 17 9 2" xfId="13113"/>
    <cellStyle name="Percent 18" xfId="4241"/>
    <cellStyle name="Percent 18 10" xfId="11325"/>
    <cellStyle name="Percent 18 2" xfId="4242"/>
    <cellStyle name="Percent 18 2 2" xfId="4587"/>
    <cellStyle name="Percent 18 2 2 2" xfId="5029"/>
    <cellStyle name="Percent 18 2 2 2 2" xfId="8772"/>
    <cellStyle name="Percent 18 2 2 2 2 2" xfId="15320"/>
    <cellStyle name="Percent 18 2 2 2 3" xfId="7053"/>
    <cellStyle name="Percent 18 2 2 2 3 2" xfId="13739"/>
    <cellStyle name="Percent 18 2 2 2 4" xfId="11954"/>
    <cellStyle name="Percent 18 2 2 3" xfId="5414"/>
    <cellStyle name="Percent 18 2 2 3 2" xfId="9157"/>
    <cellStyle name="Percent 18 2 2 3 2 2" xfId="15701"/>
    <cellStyle name="Percent 18 2 2 3 3" xfId="7438"/>
    <cellStyle name="Percent 18 2 2 3 3 2" xfId="14120"/>
    <cellStyle name="Percent 18 2 2 3 4" xfId="12335"/>
    <cellStyle name="Percent 18 2 2 4" xfId="5852"/>
    <cellStyle name="Percent 18 2 2 4 2" xfId="9593"/>
    <cellStyle name="Percent 18 2 2 4 2 2" xfId="16095"/>
    <cellStyle name="Percent 18 2 2 4 3" xfId="7874"/>
    <cellStyle name="Percent 18 2 2 4 3 2" xfId="14514"/>
    <cellStyle name="Percent 18 2 2 4 4" xfId="12745"/>
    <cellStyle name="Percent 18 2 2 5" xfId="10025"/>
    <cellStyle name="Percent 18 2 2 5 2" xfId="16506"/>
    <cellStyle name="Percent 18 2 2 6" xfId="8351"/>
    <cellStyle name="Percent 18 2 2 6 2" xfId="14908"/>
    <cellStyle name="Percent 18 2 2 7" xfId="6632"/>
    <cellStyle name="Percent 18 2 2 7 2" xfId="13322"/>
    <cellStyle name="Percent 18 2 2 8" xfId="11532"/>
    <cellStyle name="Percent 18 2 3" xfId="4807"/>
    <cellStyle name="Percent 18 2 3 2" xfId="8550"/>
    <cellStyle name="Percent 18 2 3 2 2" xfId="15102"/>
    <cellStyle name="Percent 18 2 3 3" xfId="6831"/>
    <cellStyle name="Percent 18 2 3 3 2" xfId="13521"/>
    <cellStyle name="Percent 18 2 3 4" xfId="11736"/>
    <cellStyle name="Percent 18 2 4" xfId="5217"/>
    <cellStyle name="Percent 18 2 4 2" xfId="8960"/>
    <cellStyle name="Percent 18 2 4 2 2" xfId="15504"/>
    <cellStyle name="Percent 18 2 4 3" xfId="7241"/>
    <cellStyle name="Percent 18 2 4 3 2" xfId="13923"/>
    <cellStyle name="Percent 18 2 4 4" xfId="12138"/>
    <cellStyle name="Percent 18 2 5" xfId="5650"/>
    <cellStyle name="Percent 18 2 5 2" xfId="9391"/>
    <cellStyle name="Percent 18 2 5 2 2" xfId="15898"/>
    <cellStyle name="Percent 18 2 5 3" xfId="7672"/>
    <cellStyle name="Percent 18 2 5 3 2" xfId="14317"/>
    <cellStyle name="Percent 18 2 5 4" xfId="12543"/>
    <cellStyle name="Percent 18 2 6" xfId="9797"/>
    <cellStyle name="Percent 18 2 6 2" xfId="16288"/>
    <cellStyle name="Percent 18 2 7" xfId="8113"/>
    <cellStyle name="Percent 18 2 7 2" xfId="14711"/>
    <cellStyle name="Percent 18 2 8" xfId="6395"/>
    <cellStyle name="Percent 18 2 8 2" xfId="13116"/>
    <cellStyle name="Percent 18 2 9" xfId="11326"/>
    <cellStyle name="Percent 18 3" xfId="4586"/>
    <cellStyle name="Percent 18 3 2" xfId="5030"/>
    <cellStyle name="Percent 18 3 2 2" xfId="8773"/>
    <cellStyle name="Percent 18 3 2 2 2" xfId="15321"/>
    <cellStyle name="Percent 18 3 2 3" xfId="7054"/>
    <cellStyle name="Percent 18 3 2 3 2" xfId="13740"/>
    <cellStyle name="Percent 18 3 2 4" xfId="11955"/>
    <cellStyle name="Percent 18 3 3" xfId="5413"/>
    <cellStyle name="Percent 18 3 3 2" xfId="9156"/>
    <cellStyle name="Percent 18 3 3 2 2" xfId="15700"/>
    <cellStyle name="Percent 18 3 3 3" xfId="7437"/>
    <cellStyle name="Percent 18 3 3 3 2" xfId="14119"/>
    <cellStyle name="Percent 18 3 3 4" xfId="12334"/>
    <cellStyle name="Percent 18 3 4" xfId="5851"/>
    <cellStyle name="Percent 18 3 4 2" xfId="9592"/>
    <cellStyle name="Percent 18 3 4 2 2" xfId="16094"/>
    <cellStyle name="Percent 18 3 4 3" xfId="7873"/>
    <cellStyle name="Percent 18 3 4 3 2" xfId="14513"/>
    <cellStyle name="Percent 18 3 4 4" xfId="12744"/>
    <cellStyle name="Percent 18 3 5" xfId="10026"/>
    <cellStyle name="Percent 18 3 5 2" xfId="16507"/>
    <cellStyle name="Percent 18 3 6" xfId="8350"/>
    <cellStyle name="Percent 18 3 6 2" xfId="14907"/>
    <cellStyle name="Percent 18 3 7" xfId="6631"/>
    <cellStyle name="Percent 18 3 7 2" xfId="13321"/>
    <cellStyle name="Percent 18 3 8" xfId="11531"/>
    <cellStyle name="Percent 18 4" xfId="4725"/>
    <cellStyle name="Percent 18 4 2" xfId="8469"/>
    <cellStyle name="Percent 18 4 2 2" xfId="15021"/>
    <cellStyle name="Percent 18 4 3" xfId="6750"/>
    <cellStyle name="Percent 18 4 3 2" xfId="13440"/>
    <cellStyle name="Percent 18 4 4" xfId="11654"/>
    <cellStyle name="Percent 18 5" xfId="5216"/>
    <cellStyle name="Percent 18 5 2" xfId="8959"/>
    <cellStyle name="Percent 18 5 2 2" xfId="15503"/>
    <cellStyle name="Percent 18 5 3" xfId="7240"/>
    <cellStyle name="Percent 18 5 3 2" xfId="13922"/>
    <cellStyle name="Percent 18 5 4" xfId="12137"/>
    <cellStyle name="Percent 18 6" xfId="5649"/>
    <cellStyle name="Percent 18 6 2" xfId="9390"/>
    <cellStyle name="Percent 18 6 2 2" xfId="15897"/>
    <cellStyle name="Percent 18 6 3" xfId="7671"/>
    <cellStyle name="Percent 18 6 3 2" xfId="14316"/>
    <cellStyle name="Percent 18 6 4" xfId="12542"/>
    <cellStyle name="Percent 18 7" xfId="9713"/>
    <cellStyle name="Percent 18 7 2" xfId="16206"/>
    <cellStyle name="Percent 18 8" xfId="8112"/>
    <cellStyle name="Percent 18 8 2" xfId="14710"/>
    <cellStyle name="Percent 18 9" xfId="6394"/>
    <cellStyle name="Percent 18 9 2" xfId="13115"/>
    <cellStyle name="Percent 19" xfId="4243"/>
    <cellStyle name="Percent 19 10" xfId="11327"/>
    <cellStyle name="Percent 19 2" xfId="4244"/>
    <cellStyle name="Percent 19 3" xfId="4588"/>
    <cellStyle name="Percent 19 3 2" xfId="5031"/>
    <cellStyle name="Percent 19 3 2 2" xfId="8774"/>
    <cellStyle name="Percent 19 3 2 2 2" xfId="15322"/>
    <cellStyle name="Percent 19 3 2 3" xfId="7055"/>
    <cellStyle name="Percent 19 3 2 3 2" xfId="13741"/>
    <cellStyle name="Percent 19 3 2 4" xfId="11956"/>
    <cellStyle name="Percent 19 3 3" xfId="5415"/>
    <cellStyle name="Percent 19 3 3 2" xfId="9158"/>
    <cellStyle name="Percent 19 3 3 2 2" xfId="15702"/>
    <cellStyle name="Percent 19 3 3 3" xfId="7439"/>
    <cellStyle name="Percent 19 3 3 3 2" xfId="14121"/>
    <cellStyle name="Percent 19 3 3 4" xfId="12336"/>
    <cellStyle name="Percent 19 3 4" xfId="5853"/>
    <cellStyle name="Percent 19 3 4 2" xfId="9594"/>
    <cellStyle name="Percent 19 3 4 2 2" xfId="16096"/>
    <cellStyle name="Percent 19 3 4 3" xfId="7875"/>
    <cellStyle name="Percent 19 3 4 3 2" xfId="14515"/>
    <cellStyle name="Percent 19 3 4 4" xfId="12746"/>
    <cellStyle name="Percent 19 3 5" xfId="10027"/>
    <cellStyle name="Percent 19 3 5 2" xfId="16508"/>
    <cellStyle name="Percent 19 3 6" xfId="8352"/>
    <cellStyle name="Percent 19 3 6 2" xfId="14909"/>
    <cellStyle name="Percent 19 3 7" xfId="6633"/>
    <cellStyle name="Percent 19 3 7 2" xfId="13323"/>
    <cellStyle name="Percent 19 3 8" xfId="11533"/>
    <cellStyle name="Percent 19 4" xfId="4735"/>
    <cellStyle name="Percent 19 4 2" xfId="8478"/>
    <cellStyle name="Percent 19 4 2 2" xfId="15030"/>
    <cellStyle name="Percent 19 4 3" xfId="6759"/>
    <cellStyle name="Percent 19 4 3 2" xfId="13449"/>
    <cellStyle name="Percent 19 4 4" xfId="11664"/>
    <cellStyle name="Percent 19 5" xfId="5218"/>
    <cellStyle name="Percent 19 5 2" xfId="8961"/>
    <cellStyle name="Percent 19 5 2 2" xfId="15505"/>
    <cellStyle name="Percent 19 5 3" xfId="7242"/>
    <cellStyle name="Percent 19 5 3 2" xfId="13924"/>
    <cellStyle name="Percent 19 5 4" xfId="12139"/>
    <cellStyle name="Percent 19 6" xfId="5651"/>
    <cellStyle name="Percent 19 6 2" xfId="9392"/>
    <cellStyle name="Percent 19 6 2 2" xfId="15899"/>
    <cellStyle name="Percent 19 6 3" xfId="7673"/>
    <cellStyle name="Percent 19 6 3 2" xfId="14318"/>
    <cellStyle name="Percent 19 6 4" xfId="12544"/>
    <cellStyle name="Percent 19 7" xfId="9723"/>
    <cellStyle name="Percent 19 7 2" xfId="16216"/>
    <cellStyle name="Percent 19 8" xfId="8114"/>
    <cellStyle name="Percent 19 8 2" xfId="14712"/>
    <cellStyle name="Percent 19 9" xfId="6396"/>
    <cellStyle name="Percent 19 9 2" xfId="13117"/>
    <cellStyle name="Percent 2" xfId="7"/>
    <cellStyle name="Percent 2 10" xfId="4687"/>
    <cellStyle name="Percent 2 10 2" xfId="8433"/>
    <cellStyle name="Percent 2 10 2 2" xfId="14985"/>
    <cellStyle name="Percent 2 10 3" xfId="6714"/>
    <cellStyle name="Percent 2 10 3 2" xfId="13404"/>
    <cellStyle name="Percent 2 10 4" xfId="11618"/>
    <cellStyle name="Percent 2 11" xfId="5077"/>
    <cellStyle name="Percent 2 11 2" xfId="8820"/>
    <cellStyle name="Percent 2 11 2 2" xfId="15368"/>
    <cellStyle name="Percent 2 11 3" xfId="7101"/>
    <cellStyle name="Percent 2 11 3 2" xfId="13787"/>
    <cellStyle name="Percent 2 11 4" xfId="12002"/>
    <cellStyle name="Percent 2 12" xfId="5514"/>
    <cellStyle name="Percent 2 12 2" xfId="9255"/>
    <cellStyle name="Percent 2 12 2 2" xfId="15762"/>
    <cellStyle name="Percent 2 12 3" xfId="7536"/>
    <cellStyle name="Percent 2 12 3 2" xfId="14181"/>
    <cellStyle name="Percent 2 12 4" xfId="12407"/>
    <cellStyle name="Percent 2 13" xfId="9667"/>
    <cellStyle name="Percent 2 13 2" xfId="16169"/>
    <cellStyle name="Percent 2 14" xfId="7935"/>
    <cellStyle name="Percent 2 14 2" xfId="14575"/>
    <cellStyle name="Percent 2 15" xfId="5914"/>
    <cellStyle name="Percent 2 15 2" xfId="12807"/>
    <cellStyle name="Percent 2 16" xfId="10246"/>
    <cellStyle name="Percent 2 17" xfId="16629"/>
    <cellStyle name="Percent 2 2" xfId="20"/>
    <cellStyle name="Percent 2 2 10" xfId="7941"/>
    <cellStyle name="Percent 2 2 10 2" xfId="14581"/>
    <cellStyle name="Percent 2 2 11" xfId="5920"/>
    <cellStyle name="Percent 2 2 11 2" xfId="12813"/>
    <cellStyle name="Percent 2 2 12" xfId="10255"/>
    <cellStyle name="Percent 2 2 2" xfId="41"/>
    <cellStyle name="Percent 2 2 2 10" xfId="5939"/>
    <cellStyle name="Percent 2 2 2 10 2" xfId="12832"/>
    <cellStyle name="Percent 2 2 2 11" xfId="10274"/>
    <cellStyle name="Percent 2 2 2 2" xfId="4245"/>
    <cellStyle name="Percent 2 2 2 2 2" xfId="4589"/>
    <cellStyle name="Percent 2 2 2 2 2 2" xfId="5032"/>
    <cellStyle name="Percent 2 2 2 2 2 2 2" xfId="8775"/>
    <cellStyle name="Percent 2 2 2 2 2 2 2 2" xfId="15323"/>
    <cellStyle name="Percent 2 2 2 2 2 2 3" xfId="7056"/>
    <cellStyle name="Percent 2 2 2 2 2 2 3 2" xfId="13742"/>
    <cellStyle name="Percent 2 2 2 2 2 2 4" xfId="11957"/>
    <cellStyle name="Percent 2 2 2 2 2 3" xfId="5416"/>
    <cellStyle name="Percent 2 2 2 2 2 3 2" xfId="9159"/>
    <cellStyle name="Percent 2 2 2 2 2 3 2 2" xfId="15703"/>
    <cellStyle name="Percent 2 2 2 2 2 3 3" xfId="7440"/>
    <cellStyle name="Percent 2 2 2 2 2 3 3 2" xfId="14122"/>
    <cellStyle name="Percent 2 2 2 2 2 3 4" xfId="12337"/>
    <cellStyle name="Percent 2 2 2 2 2 4" xfId="5854"/>
    <cellStyle name="Percent 2 2 2 2 2 4 2" xfId="9595"/>
    <cellStyle name="Percent 2 2 2 2 2 4 2 2" xfId="16097"/>
    <cellStyle name="Percent 2 2 2 2 2 4 3" xfId="7876"/>
    <cellStyle name="Percent 2 2 2 2 2 4 3 2" xfId="14516"/>
    <cellStyle name="Percent 2 2 2 2 2 4 4" xfId="12747"/>
    <cellStyle name="Percent 2 2 2 2 2 5" xfId="10028"/>
    <cellStyle name="Percent 2 2 2 2 2 5 2" xfId="16509"/>
    <cellStyle name="Percent 2 2 2 2 2 6" xfId="8353"/>
    <cellStyle name="Percent 2 2 2 2 2 6 2" xfId="14910"/>
    <cellStyle name="Percent 2 2 2 2 2 7" xfId="6634"/>
    <cellStyle name="Percent 2 2 2 2 2 7 2" xfId="13324"/>
    <cellStyle name="Percent 2 2 2 2 2 8" xfId="11534"/>
    <cellStyle name="Percent 2 2 2 2 3" xfId="4780"/>
    <cellStyle name="Percent 2 2 2 2 3 2" xfId="8523"/>
    <cellStyle name="Percent 2 2 2 2 3 2 2" xfId="15075"/>
    <cellStyle name="Percent 2 2 2 2 3 3" xfId="6804"/>
    <cellStyle name="Percent 2 2 2 2 3 3 2" xfId="13494"/>
    <cellStyle name="Percent 2 2 2 2 3 4" xfId="11709"/>
    <cellStyle name="Percent 2 2 2 2 4" xfId="5219"/>
    <cellStyle name="Percent 2 2 2 2 4 2" xfId="8962"/>
    <cellStyle name="Percent 2 2 2 2 4 2 2" xfId="15506"/>
    <cellStyle name="Percent 2 2 2 2 4 3" xfId="7243"/>
    <cellStyle name="Percent 2 2 2 2 4 3 2" xfId="13925"/>
    <cellStyle name="Percent 2 2 2 2 4 4" xfId="12140"/>
    <cellStyle name="Percent 2 2 2 2 5" xfId="5652"/>
    <cellStyle name="Percent 2 2 2 2 5 2" xfId="9393"/>
    <cellStyle name="Percent 2 2 2 2 5 2 2" xfId="15900"/>
    <cellStyle name="Percent 2 2 2 2 5 3" xfId="7674"/>
    <cellStyle name="Percent 2 2 2 2 5 3 2" xfId="14319"/>
    <cellStyle name="Percent 2 2 2 2 5 4" xfId="12545"/>
    <cellStyle name="Percent 2 2 2 2 6" xfId="9770"/>
    <cellStyle name="Percent 2 2 2 2 6 2" xfId="16261"/>
    <cellStyle name="Percent 2 2 2 2 7" xfId="8115"/>
    <cellStyle name="Percent 2 2 2 2 7 2" xfId="14713"/>
    <cellStyle name="Percent 2 2 2 2 8" xfId="6397"/>
    <cellStyle name="Percent 2 2 2 2 8 2" xfId="13118"/>
    <cellStyle name="Percent 2 2 2 2 9" xfId="11328"/>
    <cellStyle name="Percent 2 2 2 3" xfId="4246"/>
    <cellStyle name="Percent 2 2 2 3 2" xfId="4590"/>
    <cellStyle name="Percent 2 2 2 3 2 2" xfId="5033"/>
    <cellStyle name="Percent 2 2 2 3 2 2 2" xfId="8776"/>
    <cellStyle name="Percent 2 2 2 3 2 2 2 2" xfId="15324"/>
    <cellStyle name="Percent 2 2 2 3 2 2 3" xfId="7057"/>
    <cellStyle name="Percent 2 2 2 3 2 2 3 2" xfId="13743"/>
    <cellStyle name="Percent 2 2 2 3 2 2 4" xfId="11958"/>
    <cellStyle name="Percent 2 2 2 3 2 3" xfId="5417"/>
    <cellStyle name="Percent 2 2 2 3 2 3 2" xfId="9160"/>
    <cellStyle name="Percent 2 2 2 3 2 3 2 2" xfId="15704"/>
    <cellStyle name="Percent 2 2 2 3 2 3 3" xfId="7441"/>
    <cellStyle name="Percent 2 2 2 3 2 3 3 2" xfId="14123"/>
    <cellStyle name="Percent 2 2 2 3 2 3 4" xfId="12338"/>
    <cellStyle name="Percent 2 2 2 3 2 4" xfId="5855"/>
    <cellStyle name="Percent 2 2 2 3 2 4 2" xfId="9596"/>
    <cellStyle name="Percent 2 2 2 3 2 4 2 2" xfId="16098"/>
    <cellStyle name="Percent 2 2 2 3 2 4 3" xfId="7877"/>
    <cellStyle name="Percent 2 2 2 3 2 4 3 2" xfId="14517"/>
    <cellStyle name="Percent 2 2 2 3 2 4 4" xfId="12748"/>
    <cellStyle name="Percent 2 2 2 3 2 5" xfId="10029"/>
    <cellStyle name="Percent 2 2 2 3 2 5 2" xfId="16510"/>
    <cellStyle name="Percent 2 2 2 3 2 6" xfId="8354"/>
    <cellStyle name="Percent 2 2 2 3 2 6 2" xfId="14911"/>
    <cellStyle name="Percent 2 2 2 3 2 7" xfId="6635"/>
    <cellStyle name="Percent 2 2 2 3 2 7 2" xfId="13325"/>
    <cellStyle name="Percent 2 2 2 3 2 8" xfId="11535"/>
    <cellStyle name="Percent 2 2 2 3 3" xfId="4840"/>
    <cellStyle name="Percent 2 2 2 3 3 2" xfId="8583"/>
    <cellStyle name="Percent 2 2 2 3 3 2 2" xfId="15131"/>
    <cellStyle name="Percent 2 2 2 3 3 3" xfId="6864"/>
    <cellStyle name="Percent 2 2 2 3 3 3 2" xfId="13550"/>
    <cellStyle name="Percent 2 2 2 3 3 4" xfId="11765"/>
    <cellStyle name="Percent 2 2 2 3 4" xfId="5220"/>
    <cellStyle name="Percent 2 2 2 3 4 2" xfId="8963"/>
    <cellStyle name="Percent 2 2 2 3 4 2 2" xfId="15507"/>
    <cellStyle name="Percent 2 2 2 3 4 3" xfId="7244"/>
    <cellStyle name="Percent 2 2 2 3 4 3 2" xfId="13926"/>
    <cellStyle name="Percent 2 2 2 3 4 4" xfId="12141"/>
    <cellStyle name="Percent 2 2 2 3 5" xfId="5653"/>
    <cellStyle name="Percent 2 2 2 3 5 2" xfId="9394"/>
    <cellStyle name="Percent 2 2 2 3 5 2 2" xfId="15901"/>
    <cellStyle name="Percent 2 2 2 3 5 3" xfId="7675"/>
    <cellStyle name="Percent 2 2 2 3 5 3 2" xfId="14320"/>
    <cellStyle name="Percent 2 2 2 3 5 4" xfId="12546"/>
    <cellStyle name="Percent 2 2 2 3 6" xfId="9831"/>
    <cellStyle name="Percent 2 2 2 3 6 2" xfId="16317"/>
    <cellStyle name="Percent 2 2 2 3 7" xfId="8116"/>
    <cellStyle name="Percent 2 2 2 3 7 2" xfId="14714"/>
    <cellStyle name="Percent 2 2 2 3 8" xfId="6398"/>
    <cellStyle name="Percent 2 2 2 3 8 2" xfId="13119"/>
    <cellStyle name="Percent 2 2 2 3 9" xfId="11329"/>
    <cellStyle name="Percent 2 2 2 4" xfId="4475"/>
    <cellStyle name="Percent 2 2 2 4 2" xfId="5034"/>
    <cellStyle name="Percent 2 2 2 4 2 2" xfId="8777"/>
    <cellStyle name="Percent 2 2 2 4 2 2 2" xfId="15325"/>
    <cellStyle name="Percent 2 2 2 4 2 3" xfId="7058"/>
    <cellStyle name="Percent 2 2 2 4 2 3 2" xfId="13744"/>
    <cellStyle name="Percent 2 2 2 4 2 4" xfId="11959"/>
    <cellStyle name="Percent 2 2 2 4 3" xfId="5303"/>
    <cellStyle name="Percent 2 2 2 4 3 2" xfId="9046"/>
    <cellStyle name="Percent 2 2 2 4 3 2 2" xfId="15590"/>
    <cellStyle name="Percent 2 2 2 4 3 3" xfId="7327"/>
    <cellStyle name="Percent 2 2 2 4 3 3 2" xfId="14009"/>
    <cellStyle name="Percent 2 2 2 4 3 4" xfId="12224"/>
    <cellStyle name="Percent 2 2 2 4 4" xfId="5741"/>
    <cellStyle name="Percent 2 2 2 4 4 2" xfId="9482"/>
    <cellStyle name="Percent 2 2 2 4 4 2 2" xfId="15984"/>
    <cellStyle name="Percent 2 2 2 4 4 3" xfId="7763"/>
    <cellStyle name="Percent 2 2 2 4 4 3 2" xfId="14403"/>
    <cellStyle name="Percent 2 2 2 4 4 4" xfId="12634"/>
    <cellStyle name="Percent 2 2 2 4 5" xfId="10030"/>
    <cellStyle name="Percent 2 2 2 4 5 2" xfId="16511"/>
    <cellStyle name="Percent 2 2 2 4 6" xfId="8240"/>
    <cellStyle name="Percent 2 2 2 4 6 2" xfId="14797"/>
    <cellStyle name="Percent 2 2 2 4 7" xfId="6521"/>
    <cellStyle name="Percent 2 2 2 4 7 2" xfId="13211"/>
    <cellStyle name="Percent 2 2 2 4 8" xfId="11420"/>
    <cellStyle name="Percent 2 2 2 5" xfId="4689"/>
    <cellStyle name="Percent 2 2 2 5 2" xfId="8435"/>
    <cellStyle name="Percent 2 2 2 5 2 2" xfId="14987"/>
    <cellStyle name="Percent 2 2 2 5 3" xfId="6716"/>
    <cellStyle name="Percent 2 2 2 5 3 2" xfId="13406"/>
    <cellStyle name="Percent 2 2 2 5 4" xfId="11620"/>
    <cellStyle name="Percent 2 2 2 6" xfId="5102"/>
    <cellStyle name="Percent 2 2 2 6 2" xfId="8845"/>
    <cellStyle name="Percent 2 2 2 6 2 2" xfId="15393"/>
    <cellStyle name="Percent 2 2 2 6 3" xfId="7126"/>
    <cellStyle name="Percent 2 2 2 6 3 2" xfId="13812"/>
    <cellStyle name="Percent 2 2 2 6 4" xfId="12027"/>
    <cellStyle name="Percent 2 2 2 7" xfId="5539"/>
    <cellStyle name="Percent 2 2 2 7 2" xfId="9280"/>
    <cellStyle name="Percent 2 2 2 7 2 2" xfId="15787"/>
    <cellStyle name="Percent 2 2 2 7 3" xfId="7561"/>
    <cellStyle name="Percent 2 2 2 7 3 2" xfId="14206"/>
    <cellStyle name="Percent 2 2 2 7 4" xfId="12432"/>
    <cellStyle name="Percent 2 2 2 8" xfId="9669"/>
    <cellStyle name="Percent 2 2 2 8 2" xfId="16171"/>
    <cellStyle name="Percent 2 2 2 9" xfId="7960"/>
    <cellStyle name="Percent 2 2 2 9 2" xfId="14600"/>
    <cellStyle name="Percent 2 2 3" xfId="28"/>
    <cellStyle name="Percent 2 2 3 2" xfId="4463"/>
    <cellStyle name="Percent 2 2 3 2 2" xfId="5035"/>
    <cellStyle name="Percent 2 2 3 2 2 2" xfId="8778"/>
    <cellStyle name="Percent 2 2 3 2 2 2 2" xfId="15326"/>
    <cellStyle name="Percent 2 2 3 2 2 3" xfId="7059"/>
    <cellStyle name="Percent 2 2 3 2 2 3 2" xfId="13745"/>
    <cellStyle name="Percent 2 2 3 2 2 4" xfId="11960"/>
    <cellStyle name="Percent 2 2 3 2 3" xfId="5291"/>
    <cellStyle name="Percent 2 2 3 2 3 2" xfId="9034"/>
    <cellStyle name="Percent 2 2 3 2 3 2 2" xfId="15578"/>
    <cellStyle name="Percent 2 2 3 2 3 3" xfId="7315"/>
    <cellStyle name="Percent 2 2 3 2 3 3 2" xfId="13997"/>
    <cellStyle name="Percent 2 2 3 2 3 4" xfId="12212"/>
    <cellStyle name="Percent 2 2 3 2 4" xfId="5729"/>
    <cellStyle name="Percent 2 2 3 2 4 2" xfId="9470"/>
    <cellStyle name="Percent 2 2 3 2 4 2 2" xfId="15972"/>
    <cellStyle name="Percent 2 2 3 2 4 3" xfId="7751"/>
    <cellStyle name="Percent 2 2 3 2 4 3 2" xfId="14391"/>
    <cellStyle name="Percent 2 2 3 2 4 4" xfId="12622"/>
    <cellStyle name="Percent 2 2 3 2 5" xfId="10031"/>
    <cellStyle name="Percent 2 2 3 2 5 2" xfId="16512"/>
    <cellStyle name="Percent 2 2 3 2 6" xfId="8228"/>
    <cellStyle name="Percent 2 2 3 2 6 2" xfId="14785"/>
    <cellStyle name="Percent 2 2 3 2 7" xfId="6509"/>
    <cellStyle name="Percent 2 2 3 2 7 2" xfId="13199"/>
    <cellStyle name="Percent 2 2 3 2 8" xfId="11408"/>
    <cellStyle name="Percent 2 2 3 3" xfId="4779"/>
    <cellStyle name="Percent 2 2 3 3 2" xfId="8522"/>
    <cellStyle name="Percent 2 2 3 3 2 2" xfId="15074"/>
    <cellStyle name="Percent 2 2 3 3 3" xfId="6803"/>
    <cellStyle name="Percent 2 2 3 3 3 2" xfId="13493"/>
    <cellStyle name="Percent 2 2 3 3 4" xfId="11708"/>
    <cellStyle name="Percent 2 2 3 4" xfId="5090"/>
    <cellStyle name="Percent 2 2 3 4 2" xfId="8833"/>
    <cellStyle name="Percent 2 2 3 4 2 2" xfId="15381"/>
    <cellStyle name="Percent 2 2 3 4 3" xfId="7114"/>
    <cellStyle name="Percent 2 2 3 4 3 2" xfId="13800"/>
    <cellStyle name="Percent 2 2 3 4 4" xfId="12015"/>
    <cellStyle name="Percent 2 2 3 5" xfId="5527"/>
    <cellStyle name="Percent 2 2 3 5 2" xfId="9268"/>
    <cellStyle name="Percent 2 2 3 5 2 2" xfId="15775"/>
    <cellStyle name="Percent 2 2 3 5 3" xfId="7549"/>
    <cellStyle name="Percent 2 2 3 5 3 2" xfId="14194"/>
    <cellStyle name="Percent 2 2 3 5 4" xfId="12420"/>
    <cellStyle name="Percent 2 2 3 6" xfId="9769"/>
    <cellStyle name="Percent 2 2 3 6 2" xfId="16260"/>
    <cellStyle name="Percent 2 2 3 7" xfId="7948"/>
    <cellStyle name="Percent 2 2 3 7 2" xfId="14588"/>
    <cellStyle name="Percent 2 2 3 8" xfId="5927"/>
    <cellStyle name="Percent 2 2 3 8 2" xfId="12820"/>
    <cellStyle name="Percent 2 2 3 9" xfId="10262"/>
    <cellStyle name="Percent 2 2 4" xfId="4247"/>
    <cellStyle name="Percent 2 2 4 2" xfId="4591"/>
    <cellStyle name="Percent 2 2 4 2 2" xfId="5036"/>
    <cellStyle name="Percent 2 2 4 2 2 2" xfId="8779"/>
    <cellStyle name="Percent 2 2 4 2 2 2 2" xfId="15327"/>
    <cellStyle name="Percent 2 2 4 2 2 3" xfId="7060"/>
    <cellStyle name="Percent 2 2 4 2 2 3 2" xfId="13746"/>
    <cellStyle name="Percent 2 2 4 2 2 4" xfId="11961"/>
    <cellStyle name="Percent 2 2 4 2 3" xfId="5418"/>
    <cellStyle name="Percent 2 2 4 2 3 2" xfId="9161"/>
    <cellStyle name="Percent 2 2 4 2 3 2 2" xfId="15705"/>
    <cellStyle name="Percent 2 2 4 2 3 3" xfId="7442"/>
    <cellStyle name="Percent 2 2 4 2 3 3 2" xfId="14124"/>
    <cellStyle name="Percent 2 2 4 2 3 4" xfId="12339"/>
    <cellStyle name="Percent 2 2 4 2 4" xfId="5856"/>
    <cellStyle name="Percent 2 2 4 2 4 2" xfId="9597"/>
    <cellStyle name="Percent 2 2 4 2 4 2 2" xfId="16099"/>
    <cellStyle name="Percent 2 2 4 2 4 3" xfId="7878"/>
    <cellStyle name="Percent 2 2 4 2 4 3 2" xfId="14518"/>
    <cellStyle name="Percent 2 2 4 2 4 4" xfId="12749"/>
    <cellStyle name="Percent 2 2 4 2 5" xfId="10032"/>
    <cellStyle name="Percent 2 2 4 2 5 2" xfId="16513"/>
    <cellStyle name="Percent 2 2 4 2 6" xfId="8355"/>
    <cellStyle name="Percent 2 2 4 2 6 2" xfId="14912"/>
    <cellStyle name="Percent 2 2 4 2 7" xfId="6636"/>
    <cellStyle name="Percent 2 2 4 2 7 2" xfId="13326"/>
    <cellStyle name="Percent 2 2 4 2 8" xfId="11536"/>
    <cellStyle name="Percent 2 2 4 3" xfId="4828"/>
    <cellStyle name="Percent 2 2 4 3 2" xfId="8571"/>
    <cellStyle name="Percent 2 2 4 3 2 2" xfId="15119"/>
    <cellStyle name="Percent 2 2 4 3 3" xfId="6852"/>
    <cellStyle name="Percent 2 2 4 3 3 2" xfId="13538"/>
    <cellStyle name="Percent 2 2 4 3 4" xfId="11753"/>
    <cellStyle name="Percent 2 2 4 4" xfId="5221"/>
    <cellStyle name="Percent 2 2 4 4 2" xfId="8964"/>
    <cellStyle name="Percent 2 2 4 4 2 2" xfId="15508"/>
    <cellStyle name="Percent 2 2 4 4 3" xfId="7245"/>
    <cellStyle name="Percent 2 2 4 4 3 2" xfId="13927"/>
    <cellStyle name="Percent 2 2 4 4 4" xfId="12142"/>
    <cellStyle name="Percent 2 2 4 5" xfId="5654"/>
    <cellStyle name="Percent 2 2 4 5 2" xfId="9395"/>
    <cellStyle name="Percent 2 2 4 5 2 2" xfId="15902"/>
    <cellStyle name="Percent 2 2 4 5 3" xfId="7676"/>
    <cellStyle name="Percent 2 2 4 5 3 2" xfId="14321"/>
    <cellStyle name="Percent 2 2 4 5 4" xfId="12547"/>
    <cellStyle name="Percent 2 2 4 6" xfId="9819"/>
    <cellStyle name="Percent 2 2 4 6 2" xfId="16305"/>
    <cellStyle name="Percent 2 2 4 7" xfId="8117"/>
    <cellStyle name="Percent 2 2 4 7 2" xfId="14715"/>
    <cellStyle name="Percent 2 2 4 8" xfId="6399"/>
    <cellStyle name="Percent 2 2 4 8 2" xfId="13120"/>
    <cellStyle name="Percent 2 2 4 9" xfId="11330"/>
    <cellStyle name="Percent 2 2 5" xfId="4456"/>
    <cellStyle name="Percent 2 2 5 2" xfId="5037"/>
    <cellStyle name="Percent 2 2 5 2 2" xfId="8780"/>
    <cellStyle name="Percent 2 2 5 2 2 2" xfId="15328"/>
    <cellStyle name="Percent 2 2 5 2 3" xfId="7061"/>
    <cellStyle name="Percent 2 2 5 2 3 2" xfId="13747"/>
    <cellStyle name="Percent 2 2 5 2 4" xfId="11962"/>
    <cellStyle name="Percent 2 2 5 3" xfId="5284"/>
    <cellStyle name="Percent 2 2 5 3 2" xfId="9027"/>
    <cellStyle name="Percent 2 2 5 3 2 2" xfId="15571"/>
    <cellStyle name="Percent 2 2 5 3 3" xfId="7308"/>
    <cellStyle name="Percent 2 2 5 3 3 2" xfId="13990"/>
    <cellStyle name="Percent 2 2 5 3 4" xfId="12205"/>
    <cellStyle name="Percent 2 2 5 4" xfId="5722"/>
    <cellStyle name="Percent 2 2 5 4 2" xfId="9463"/>
    <cellStyle name="Percent 2 2 5 4 2 2" xfId="15965"/>
    <cellStyle name="Percent 2 2 5 4 3" xfId="7744"/>
    <cellStyle name="Percent 2 2 5 4 3 2" xfId="14384"/>
    <cellStyle name="Percent 2 2 5 4 4" xfId="12615"/>
    <cellStyle name="Percent 2 2 5 5" xfId="10033"/>
    <cellStyle name="Percent 2 2 5 5 2" xfId="16514"/>
    <cellStyle name="Percent 2 2 5 6" xfId="8221"/>
    <cellStyle name="Percent 2 2 5 6 2" xfId="14778"/>
    <cellStyle name="Percent 2 2 5 7" xfId="6502"/>
    <cellStyle name="Percent 2 2 5 7 2" xfId="13192"/>
    <cellStyle name="Percent 2 2 5 8" xfId="11401"/>
    <cellStyle name="Percent 2 2 6" xfId="4688"/>
    <cellStyle name="Percent 2 2 6 2" xfId="8434"/>
    <cellStyle name="Percent 2 2 6 2 2" xfId="14986"/>
    <cellStyle name="Percent 2 2 6 3" xfId="6715"/>
    <cellStyle name="Percent 2 2 6 3 2" xfId="13405"/>
    <cellStyle name="Percent 2 2 6 4" xfId="11619"/>
    <cellStyle name="Percent 2 2 7" xfId="5083"/>
    <cellStyle name="Percent 2 2 7 2" xfId="8826"/>
    <cellStyle name="Percent 2 2 7 2 2" xfId="15374"/>
    <cellStyle name="Percent 2 2 7 3" xfId="7107"/>
    <cellStyle name="Percent 2 2 7 3 2" xfId="13793"/>
    <cellStyle name="Percent 2 2 7 4" xfId="12008"/>
    <cellStyle name="Percent 2 2 8" xfId="5520"/>
    <cellStyle name="Percent 2 2 8 2" xfId="9261"/>
    <cellStyle name="Percent 2 2 8 2 2" xfId="15768"/>
    <cellStyle name="Percent 2 2 8 3" xfId="7542"/>
    <cellStyle name="Percent 2 2 8 3 2" xfId="14187"/>
    <cellStyle name="Percent 2 2 8 4" xfId="12413"/>
    <cellStyle name="Percent 2 2 9" xfId="9668"/>
    <cellStyle name="Percent 2 2 9 2" xfId="16170"/>
    <cellStyle name="Percent 2 3" xfId="34"/>
    <cellStyle name="Percent 2 3 10" xfId="5933"/>
    <cellStyle name="Percent 2 3 10 2" xfId="12826"/>
    <cellStyle name="Percent 2 3 11" xfId="10268"/>
    <cellStyle name="Percent 2 3 2" xfId="4248"/>
    <cellStyle name="Percent 2 3 2 2" xfId="4592"/>
    <cellStyle name="Percent 2 3 2 2 2" xfId="5038"/>
    <cellStyle name="Percent 2 3 2 2 2 2" xfId="8781"/>
    <cellStyle name="Percent 2 3 2 2 2 2 2" xfId="15329"/>
    <cellStyle name="Percent 2 3 2 2 2 3" xfId="7062"/>
    <cellStyle name="Percent 2 3 2 2 2 3 2" xfId="13748"/>
    <cellStyle name="Percent 2 3 2 2 2 4" xfId="11963"/>
    <cellStyle name="Percent 2 3 2 2 3" xfId="5419"/>
    <cellStyle name="Percent 2 3 2 2 3 2" xfId="9162"/>
    <cellStyle name="Percent 2 3 2 2 3 2 2" xfId="15706"/>
    <cellStyle name="Percent 2 3 2 2 3 3" xfId="7443"/>
    <cellStyle name="Percent 2 3 2 2 3 3 2" xfId="14125"/>
    <cellStyle name="Percent 2 3 2 2 3 4" xfId="12340"/>
    <cellStyle name="Percent 2 3 2 2 4" xfId="5857"/>
    <cellStyle name="Percent 2 3 2 2 4 2" xfId="9598"/>
    <cellStyle name="Percent 2 3 2 2 4 2 2" xfId="16100"/>
    <cellStyle name="Percent 2 3 2 2 4 3" xfId="7879"/>
    <cellStyle name="Percent 2 3 2 2 4 3 2" xfId="14519"/>
    <cellStyle name="Percent 2 3 2 2 4 4" xfId="12750"/>
    <cellStyle name="Percent 2 3 2 2 5" xfId="10034"/>
    <cellStyle name="Percent 2 3 2 2 5 2" xfId="16515"/>
    <cellStyle name="Percent 2 3 2 2 6" xfId="8356"/>
    <cellStyle name="Percent 2 3 2 2 6 2" xfId="14913"/>
    <cellStyle name="Percent 2 3 2 2 7" xfId="6637"/>
    <cellStyle name="Percent 2 3 2 2 7 2" xfId="13327"/>
    <cellStyle name="Percent 2 3 2 2 8" xfId="11537"/>
    <cellStyle name="Percent 2 3 2 3" xfId="4781"/>
    <cellStyle name="Percent 2 3 2 3 2" xfId="8524"/>
    <cellStyle name="Percent 2 3 2 3 2 2" xfId="15076"/>
    <cellStyle name="Percent 2 3 2 3 3" xfId="6805"/>
    <cellStyle name="Percent 2 3 2 3 3 2" xfId="13495"/>
    <cellStyle name="Percent 2 3 2 3 4" xfId="11710"/>
    <cellStyle name="Percent 2 3 2 4" xfId="5222"/>
    <cellStyle name="Percent 2 3 2 4 2" xfId="8965"/>
    <cellStyle name="Percent 2 3 2 4 2 2" xfId="15509"/>
    <cellStyle name="Percent 2 3 2 4 3" xfId="7246"/>
    <cellStyle name="Percent 2 3 2 4 3 2" xfId="13928"/>
    <cellStyle name="Percent 2 3 2 4 4" xfId="12143"/>
    <cellStyle name="Percent 2 3 2 5" xfId="5655"/>
    <cellStyle name="Percent 2 3 2 5 2" xfId="9396"/>
    <cellStyle name="Percent 2 3 2 5 2 2" xfId="15903"/>
    <cellStyle name="Percent 2 3 2 5 3" xfId="7677"/>
    <cellStyle name="Percent 2 3 2 5 3 2" xfId="14322"/>
    <cellStyle name="Percent 2 3 2 5 4" xfId="12548"/>
    <cellStyle name="Percent 2 3 2 6" xfId="9771"/>
    <cellStyle name="Percent 2 3 2 6 2" xfId="16262"/>
    <cellStyle name="Percent 2 3 2 7" xfId="8118"/>
    <cellStyle name="Percent 2 3 2 7 2" xfId="14716"/>
    <cellStyle name="Percent 2 3 2 8" xfId="6400"/>
    <cellStyle name="Percent 2 3 2 8 2" xfId="13121"/>
    <cellStyle name="Percent 2 3 2 9" xfId="11331"/>
    <cellStyle name="Percent 2 3 3" xfId="4249"/>
    <cellStyle name="Percent 2 3 3 2" xfId="4593"/>
    <cellStyle name="Percent 2 3 3 2 2" xfId="5039"/>
    <cellStyle name="Percent 2 3 3 2 2 2" xfId="8782"/>
    <cellStyle name="Percent 2 3 3 2 2 2 2" xfId="15330"/>
    <cellStyle name="Percent 2 3 3 2 2 3" xfId="7063"/>
    <cellStyle name="Percent 2 3 3 2 2 3 2" xfId="13749"/>
    <cellStyle name="Percent 2 3 3 2 2 4" xfId="11964"/>
    <cellStyle name="Percent 2 3 3 2 3" xfId="5420"/>
    <cellStyle name="Percent 2 3 3 2 3 2" xfId="9163"/>
    <cellStyle name="Percent 2 3 3 2 3 2 2" xfId="15707"/>
    <cellStyle name="Percent 2 3 3 2 3 3" xfId="7444"/>
    <cellStyle name="Percent 2 3 3 2 3 3 2" xfId="14126"/>
    <cellStyle name="Percent 2 3 3 2 3 4" xfId="12341"/>
    <cellStyle name="Percent 2 3 3 2 4" xfId="5858"/>
    <cellStyle name="Percent 2 3 3 2 4 2" xfId="9599"/>
    <cellStyle name="Percent 2 3 3 2 4 2 2" xfId="16101"/>
    <cellStyle name="Percent 2 3 3 2 4 3" xfId="7880"/>
    <cellStyle name="Percent 2 3 3 2 4 3 2" xfId="14520"/>
    <cellStyle name="Percent 2 3 3 2 4 4" xfId="12751"/>
    <cellStyle name="Percent 2 3 3 2 5" xfId="10035"/>
    <cellStyle name="Percent 2 3 3 2 5 2" xfId="16516"/>
    <cellStyle name="Percent 2 3 3 2 6" xfId="8357"/>
    <cellStyle name="Percent 2 3 3 2 6 2" xfId="14914"/>
    <cellStyle name="Percent 2 3 3 2 7" xfId="6638"/>
    <cellStyle name="Percent 2 3 3 2 7 2" xfId="13328"/>
    <cellStyle name="Percent 2 3 3 2 8" xfId="11538"/>
    <cellStyle name="Percent 2 3 3 3" xfId="4834"/>
    <cellStyle name="Percent 2 3 3 3 2" xfId="8577"/>
    <cellStyle name="Percent 2 3 3 3 2 2" xfId="15125"/>
    <cellStyle name="Percent 2 3 3 3 3" xfId="6858"/>
    <cellStyle name="Percent 2 3 3 3 3 2" xfId="13544"/>
    <cellStyle name="Percent 2 3 3 3 4" xfId="11759"/>
    <cellStyle name="Percent 2 3 3 4" xfId="5223"/>
    <cellStyle name="Percent 2 3 3 4 2" xfId="8966"/>
    <cellStyle name="Percent 2 3 3 4 2 2" xfId="15510"/>
    <cellStyle name="Percent 2 3 3 4 3" xfId="7247"/>
    <cellStyle name="Percent 2 3 3 4 3 2" xfId="13929"/>
    <cellStyle name="Percent 2 3 3 4 4" xfId="12144"/>
    <cellStyle name="Percent 2 3 3 5" xfId="5656"/>
    <cellStyle name="Percent 2 3 3 5 2" xfId="9397"/>
    <cellStyle name="Percent 2 3 3 5 2 2" xfId="15904"/>
    <cellStyle name="Percent 2 3 3 5 3" xfId="7678"/>
    <cellStyle name="Percent 2 3 3 5 3 2" xfId="14323"/>
    <cellStyle name="Percent 2 3 3 5 4" xfId="12549"/>
    <cellStyle name="Percent 2 3 3 6" xfId="9825"/>
    <cellStyle name="Percent 2 3 3 6 2" xfId="16311"/>
    <cellStyle name="Percent 2 3 3 7" xfId="8119"/>
    <cellStyle name="Percent 2 3 3 7 2" xfId="14717"/>
    <cellStyle name="Percent 2 3 3 8" xfId="6401"/>
    <cellStyle name="Percent 2 3 3 8 2" xfId="13122"/>
    <cellStyle name="Percent 2 3 3 9" xfId="11332"/>
    <cellStyle name="Percent 2 3 4" xfId="4469"/>
    <cellStyle name="Percent 2 3 4 2" xfId="5040"/>
    <cellStyle name="Percent 2 3 4 2 2" xfId="8783"/>
    <cellStyle name="Percent 2 3 4 2 2 2" xfId="15331"/>
    <cellStyle name="Percent 2 3 4 2 3" xfId="7064"/>
    <cellStyle name="Percent 2 3 4 2 3 2" xfId="13750"/>
    <cellStyle name="Percent 2 3 4 2 4" xfId="11965"/>
    <cellStyle name="Percent 2 3 4 3" xfId="5297"/>
    <cellStyle name="Percent 2 3 4 3 2" xfId="9040"/>
    <cellStyle name="Percent 2 3 4 3 2 2" xfId="15584"/>
    <cellStyle name="Percent 2 3 4 3 3" xfId="7321"/>
    <cellStyle name="Percent 2 3 4 3 3 2" xfId="14003"/>
    <cellStyle name="Percent 2 3 4 3 4" xfId="12218"/>
    <cellStyle name="Percent 2 3 4 4" xfId="5735"/>
    <cellStyle name="Percent 2 3 4 4 2" xfId="9476"/>
    <cellStyle name="Percent 2 3 4 4 2 2" xfId="15978"/>
    <cellStyle name="Percent 2 3 4 4 3" xfId="7757"/>
    <cellStyle name="Percent 2 3 4 4 3 2" xfId="14397"/>
    <cellStyle name="Percent 2 3 4 4 4" xfId="12628"/>
    <cellStyle name="Percent 2 3 4 5" xfId="10036"/>
    <cellStyle name="Percent 2 3 4 5 2" xfId="16517"/>
    <cellStyle name="Percent 2 3 4 6" xfId="8234"/>
    <cellStyle name="Percent 2 3 4 6 2" xfId="14791"/>
    <cellStyle name="Percent 2 3 4 7" xfId="6515"/>
    <cellStyle name="Percent 2 3 4 7 2" xfId="13205"/>
    <cellStyle name="Percent 2 3 4 8" xfId="11414"/>
    <cellStyle name="Percent 2 3 5" xfId="4690"/>
    <cellStyle name="Percent 2 3 5 2" xfId="8436"/>
    <cellStyle name="Percent 2 3 5 2 2" xfId="14988"/>
    <cellStyle name="Percent 2 3 5 3" xfId="6717"/>
    <cellStyle name="Percent 2 3 5 3 2" xfId="13407"/>
    <cellStyle name="Percent 2 3 5 4" xfId="11621"/>
    <cellStyle name="Percent 2 3 6" xfId="5096"/>
    <cellStyle name="Percent 2 3 6 2" xfId="8839"/>
    <cellStyle name="Percent 2 3 6 2 2" xfId="15387"/>
    <cellStyle name="Percent 2 3 6 3" xfId="7120"/>
    <cellStyle name="Percent 2 3 6 3 2" xfId="13806"/>
    <cellStyle name="Percent 2 3 6 4" xfId="12021"/>
    <cellStyle name="Percent 2 3 7" xfId="5533"/>
    <cellStyle name="Percent 2 3 7 2" xfId="9274"/>
    <cellStyle name="Percent 2 3 7 2 2" xfId="15781"/>
    <cellStyle name="Percent 2 3 7 3" xfId="7555"/>
    <cellStyle name="Percent 2 3 7 3 2" xfId="14200"/>
    <cellStyle name="Percent 2 3 7 4" xfId="12426"/>
    <cellStyle name="Percent 2 3 8" xfId="9670"/>
    <cellStyle name="Percent 2 3 8 2" xfId="16172"/>
    <cellStyle name="Percent 2 3 9" xfId="7954"/>
    <cellStyle name="Percent 2 3 9 2" xfId="14594"/>
    <cellStyle name="Percent 2 4" xfId="25"/>
    <cellStyle name="Percent 2 4 2" xfId="4460"/>
    <cellStyle name="Percent 2 4 2 2" xfId="5041"/>
    <cellStyle name="Percent 2 4 2 2 2" xfId="8784"/>
    <cellStyle name="Percent 2 4 2 2 2 2" xfId="15332"/>
    <cellStyle name="Percent 2 4 2 2 3" xfId="7065"/>
    <cellStyle name="Percent 2 4 2 2 3 2" xfId="13751"/>
    <cellStyle name="Percent 2 4 2 2 4" xfId="11966"/>
    <cellStyle name="Percent 2 4 2 3" xfId="5288"/>
    <cellStyle name="Percent 2 4 2 3 2" xfId="9031"/>
    <cellStyle name="Percent 2 4 2 3 2 2" xfId="15575"/>
    <cellStyle name="Percent 2 4 2 3 3" xfId="7312"/>
    <cellStyle name="Percent 2 4 2 3 3 2" xfId="13994"/>
    <cellStyle name="Percent 2 4 2 3 4" xfId="12209"/>
    <cellStyle name="Percent 2 4 2 4" xfId="5726"/>
    <cellStyle name="Percent 2 4 2 4 2" xfId="9467"/>
    <cellStyle name="Percent 2 4 2 4 2 2" xfId="15969"/>
    <cellStyle name="Percent 2 4 2 4 3" xfId="7748"/>
    <cellStyle name="Percent 2 4 2 4 3 2" xfId="14388"/>
    <cellStyle name="Percent 2 4 2 4 4" xfId="12619"/>
    <cellStyle name="Percent 2 4 2 5" xfId="10037"/>
    <cellStyle name="Percent 2 4 2 5 2" xfId="16518"/>
    <cellStyle name="Percent 2 4 2 6" xfId="8225"/>
    <cellStyle name="Percent 2 4 2 6 2" xfId="14782"/>
    <cellStyle name="Percent 2 4 2 7" xfId="6506"/>
    <cellStyle name="Percent 2 4 2 7 2" xfId="13196"/>
    <cellStyle name="Percent 2 4 2 8" xfId="11405"/>
    <cellStyle name="Percent 2 4 3" xfId="4700"/>
    <cellStyle name="Percent 2 4 4" xfId="5087"/>
    <cellStyle name="Percent 2 4 4 2" xfId="8830"/>
    <cellStyle name="Percent 2 4 4 2 2" xfId="15378"/>
    <cellStyle name="Percent 2 4 4 3" xfId="7111"/>
    <cellStyle name="Percent 2 4 4 3 2" xfId="13797"/>
    <cellStyle name="Percent 2 4 4 4" xfId="12012"/>
    <cellStyle name="Percent 2 4 5" xfId="5524"/>
    <cellStyle name="Percent 2 4 5 2" xfId="9265"/>
    <cellStyle name="Percent 2 4 5 2 2" xfId="15772"/>
    <cellStyle name="Percent 2 4 5 3" xfId="7546"/>
    <cellStyle name="Percent 2 4 5 3 2" xfId="14191"/>
    <cellStyle name="Percent 2 4 5 4" xfId="12417"/>
    <cellStyle name="Percent 2 4 6" xfId="7945"/>
    <cellStyle name="Percent 2 4 6 2" xfId="14585"/>
    <cellStyle name="Percent 2 4 7" xfId="5924"/>
    <cellStyle name="Percent 2 4 7 2" xfId="12817"/>
    <cellStyle name="Percent 2 4 8" xfId="10259"/>
    <cellStyle name="Percent 2 5" xfId="4250"/>
    <cellStyle name="Percent 2 5 2" xfId="4594"/>
    <cellStyle name="Percent 2 5 2 2" xfId="5042"/>
    <cellStyle name="Percent 2 5 2 2 2" xfId="8785"/>
    <cellStyle name="Percent 2 5 2 2 2 2" xfId="15333"/>
    <cellStyle name="Percent 2 5 2 2 3" xfId="7066"/>
    <cellStyle name="Percent 2 5 2 2 3 2" xfId="13752"/>
    <cellStyle name="Percent 2 5 2 2 4" xfId="11967"/>
    <cellStyle name="Percent 2 5 2 3" xfId="5421"/>
    <cellStyle name="Percent 2 5 2 3 2" xfId="9164"/>
    <cellStyle name="Percent 2 5 2 3 2 2" xfId="15708"/>
    <cellStyle name="Percent 2 5 2 3 3" xfId="7445"/>
    <cellStyle name="Percent 2 5 2 3 3 2" xfId="14127"/>
    <cellStyle name="Percent 2 5 2 3 4" xfId="12342"/>
    <cellStyle name="Percent 2 5 2 4" xfId="5859"/>
    <cellStyle name="Percent 2 5 2 4 2" xfId="9600"/>
    <cellStyle name="Percent 2 5 2 4 2 2" xfId="16102"/>
    <cellStyle name="Percent 2 5 2 4 3" xfId="7881"/>
    <cellStyle name="Percent 2 5 2 4 3 2" xfId="14521"/>
    <cellStyle name="Percent 2 5 2 4 4" xfId="12752"/>
    <cellStyle name="Percent 2 5 2 5" xfId="10038"/>
    <cellStyle name="Percent 2 5 2 5 2" xfId="16519"/>
    <cellStyle name="Percent 2 5 2 6" xfId="8358"/>
    <cellStyle name="Percent 2 5 2 6 2" xfId="14915"/>
    <cellStyle name="Percent 2 5 2 7" xfId="6639"/>
    <cellStyle name="Percent 2 5 2 7 2" xfId="13329"/>
    <cellStyle name="Percent 2 5 2 8" xfId="11539"/>
    <cellStyle name="Percent 2 5 3" xfId="4778"/>
    <cellStyle name="Percent 2 5 3 2" xfId="8521"/>
    <cellStyle name="Percent 2 5 3 2 2" xfId="15073"/>
    <cellStyle name="Percent 2 5 3 3" xfId="6802"/>
    <cellStyle name="Percent 2 5 3 3 2" xfId="13492"/>
    <cellStyle name="Percent 2 5 3 4" xfId="11707"/>
    <cellStyle name="Percent 2 5 4" xfId="5224"/>
    <cellStyle name="Percent 2 5 4 2" xfId="8967"/>
    <cellStyle name="Percent 2 5 4 2 2" xfId="15511"/>
    <cellStyle name="Percent 2 5 4 3" xfId="7248"/>
    <cellStyle name="Percent 2 5 4 3 2" xfId="13930"/>
    <cellStyle name="Percent 2 5 4 4" xfId="12145"/>
    <cellStyle name="Percent 2 5 5" xfId="5657"/>
    <cellStyle name="Percent 2 5 5 2" xfId="9398"/>
    <cellStyle name="Percent 2 5 5 2 2" xfId="15905"/>
    <cellStyle name="Percent 2 5 5 3" xfId="7679"/>
    <cellStyle name="Percent 2 5 5 3 2" xfId="14324"/>
    <cellStyle name="Percent 2 5 5 4" xfId="12550"/>
    <cellStyle name="Percent 2 5 6" xfId="9768"/>
    <cellStyle name="Percent 2 5 6 2" xfId="16259"/>
    <cellStyle name="Percent 2 5 7" xfId="8120"/>
    <cellStyle name="Percent 2 5 7 2" xfId="14718"/>
    <cellStyle name="Percent 2 5 8" xfId="6402"/>
    <cellStyle name="Percent 2 5 8 2" xfId="13123"/>
    <cellStyle name="Percent 2 5 9" xfId="11333"/>
    <cellStyle name="Percent 2 6" xfId="4251"/>
    <cellStyle name="Percent 2 6 2" xfId="4595"/>
    <cellStyle name="Percent 2 6 2 2" xfId="5043"/>
    <cellStyle name="Percent 2 6 2 2 2" xfId="8786"/>
    <cellStyle name="Percent 2 6 2 2 2 2" xfId="15334"/>
    <cellStyle name="Percent 2 6 2 2 3" xfId="7067"/>
    <cellStyle name="Percent 2 6 2 2 3 2" xfId="13753"/>
    <cellStyle name="Percent 2 6 2 2 4" xfId="11968"/>
    <cellStyle name="Percent 2 6 2 3" xfId="5422"/>
    <cellStyle name="Percent 2 6 2 3 2" xfId="9165"/>
    <cellStyle name="Percent 2 6 2 3 2 2" xfId="15709"/>
    <cellStyle name="Percent 2 6 2 3 3" xfId="7446"/>
    <cellStyle name="Percent 2 6 2 3 3 2" xfId="14128"/>
    <cellStyle name="Percent 2 6 2 3 4" xfId="12343"/>
    <cellStyle name="Percent 2 6 2 4" xfId="5860"/>
    <cellStyle name="Percent 2 6 2 4 2" xfId="9601"/>
    <cellStyle name="Percent 2 6 2 4 2 2" xfId="16103"/>
    <cellStyle name="Percent 2 6 2 4 3" xfId="7882"/>
    <cellStyle name="Percent 2 6 2 4 3 2" xfId="14522"/>
    <cellStyle name="Percent 2 6 2 4 4" xfId="12753"/>
    <cellStyle name="Percent 2 6 2 5" xfId="10039"/>
    <cellStyle name="Percent 2 6 2 5 2" xfId="16520"/>
    <cellStyle name="Percent 2 6 2 6" xfId="8359"/>
    <cellStyle name="Percent 2 6 2 6 2" xfId="14916"/>
    <cellStyle name="Percent 2 6 2 7" xfId="6640"/>
    <cellStyle name="Percent 2 6 2 7 2" xfId="13330"/>
    <cellStyle name="Percent 2 6 2 8" xfId="11540"/>
    <cellStyle name="Percent 2 6 3" xfId="4825"/>
    <cellStyle name="Percent 2 6 3 2" xfId="8568"/>
    <cellStyle name="Percent 2 6 3 2 2" xfId="15116"/>
    <cellStyle name="Percent 2 6 3 3" xfId="6849"/>
    <cellStyle name="Percent 2 6 3 3 2" xfId="13535"/>
    <cellStyle name="Percent 2 6 3 4" xfId="11750"/>
    <cellStyle name="Percent 2 6 4" xfId="5225"/>
    <cellStyle name="Percent 2 6 4 2" xfId="8968"/>
    <cellStyle name="Percent 2 6 4 2 2" xfId="15512"/>
    <cellStyle name="Percent 2 6 4 3" xfId="7249"/>
    <cellStyle name="Percent 2 6 4 3 2" xfId="13931"/>
    <cellStyle name="Percent 2 6 4 4" xfId="12146"/>
    <cellStyle name="Percent 2 6 5" xfId="5658"/>
    <cellStyle name="Percent 2 6 5 2" xfId="9399"/>
    <cellStyle name="Percent 2 6 5 2 2" xfId="15906"/>
    <cellStyle name="Percent 2 6 5 3" xfId="7680"/>
    <cellStyle name="Percent 2 6 5 3 2" xfId="14325"/>
    <cellStyle name="Percent 2 6 5 4" xfId="12551"/>
    <cellStyle name="Percent 2 6 6" xfId="9816"/>
    <cellStyle name="Percent 2 6 6 2" xfId="16302"/>
    <cellStyle name="Percent 2 6 7" xfId="8121"/>
    <cellStyle name="Percent 2 6 7 2" xfId="14719"/>
    <cellStyle name="Percent 2 6 8" xfId="6403"/>
    <cellStyle name="Percent 2 6 8 2" xfId="13124"/>
    <cellStyle name="Percent 2 6 9" xfId="11334"/>
    <cellStyle name="Percent 2 7" xfId="4406"/>
    <cellStyle name="Percent 2 7 2" xfId="4620"/>
    <cellStyle name="Percent 2 7 2 2" xfId="5045"/>
    <cellStyle name="Percent 2 7 2 2 2" xfId="8788"/>
    <cellStyle name="Percent 2 7 2 2 2 2" xfId="15336"/>
    <cellStyle name="Percent 2 7 2 2 3" xfId="7069"/>
    <cellStyle name="Percent 2 7 2 2 3 2" xfId="13755"/>
    <cellStyle name="Percent 2 7 2 2 4" xfId="11970"/>
    <cellStyle name="Percent 2 7 2 3" xfId="5447"/>
    <cellStyle name="Percent 2 7 2 3 2" xfId="9190"/>
    <cellStyle name="Percent 2 7 2 3 2 2" xfId="15734"/>
    <cellStyle name="Percent 2 7 2 3 3" xfId="7471"/>
    <cellStyle name="Percent 2 7 2 3 3 2" xfId="14153"/>
    <cellStyle name="Percent 2 7 2 3 4" xfId="12368"/>
    <cellStyle name="Percent 2 7 2 4" xfId="5885"/>
    <cellStyle name="Percent 2 7 2 4 2" xfId="9626"/>
    <cellStyle name="Percent 2 7 2 4 2 2" xfId="16128"/>
    <cellStyle name="Percent 2 7 2 4 3" xfId="7907"/>
    <cellStyle name="Percent 2 7 2 4 3 2" xfId="14547"/>
    <cellStyle name="Percent 2 7 2 4 4" xfId="12778"/>
    <cellStyle name="Percent 2 7 2 5" xfId="10041"/>
    <cellStyle name="Percent 2 7 2 5 2" xfId="16522"/>
    <cellStyle name="Percent 2 7 2 6" xfId="8384"/>
    <cellStyle name="Percent 2 7 2 6 2" xfId="14941"/>
    <cellStyle name="Percent 2 7 2 7" xfId="6665"/>
    <cellStyle name="Percent 2 7 2 7 2" xfId="13355"/>
    <cellStyle name="Percent 2 7 2 8" xfId="11565"/>
    <cellStyle name="Percent 2 7 3" xfId="5044"/>
    <cellStyle name="Percent 2 7 3 2" xfId="8787"/>
    <cellStyle name="Percent 2 7 3 2 2" xfId="15335"/>
    <cellStyle name="Percent 2 7 3 3" xfId="7068"/>
    <cellStyle name="Percent 2 7 3 3 2" xfId="13754"/>
    <cellStyle name="Percent 2 7 3 4" xfId="11969"/>
    <cellStyle name="Percent 2 7 4" xfId="5250"/>
    <cellStyle name="Percent 2 7 4 2" xfId="8993"/>
    <cellStyle name="Percent 2 7 4 2 2" xfId="15537"/>
    <cellStyle name="Percent 2 7 4 3" xfId="7274"/>
    <cellStyle name="Percent 2 7 4 3 2" xfId="13956"/>
    <cellStyle name="Percent 2 7 4 4" xfId="12171"/>
    <cellStyle name="Percent 2 7 5" xfId="5688"/>
    <cellStyle name="Percent 2 7 5 2" xfId="9429"/>
    <cellStyle name="Percent 2 7 5 2 2" xfId="15931"/>
    <cellStyle name="Percent 2 7 5 3" xfId="7710"/>
    <cellStyle name="Percent 2 7 5 3 2" xfId="14350"/>
    <cellStyle name="Percent 2 7 5 4" xfId="12581"/>
    <cellStyle name="Percent 2 7 6" xfId="10040"/>
    <cellStyle name="Percent 2 7 6 2" xfId="16521"/>
    <cellStyle name="Percent 2 7 7" xfId="8187"/>
    <cellStyle name="Percent 2 7 7 2" xfId="14744"/>
    <cellStyle name="Percent 2 7 8" xfId="6468"/>
    <cellStyle name="Percent 2 7 8 2" xfId="13158"/>
    <cellStyle name="Percent 2 7 9" xfId="11364"/>
    <cellStyle name="Percent 2 8" xfId="4423"/>
    <cellStyle name="Percent 2 8 2" xfId="4632"/>
    <cellStyle name="Percent 2 8 2 2" xfId="5047"/>
    <cellStyle name="Percent 2 8 2 2 2" xfId="8790"/>
    <cellStyle name="Percent 2 8 2 2 2 2" xfId="15338"/>
    <cellStyle name="Percent 2 8 2 2 3" xfId="7071"/>
    <cellStyle name="Percent 2 8 2 2 3 2" xfId="13757"/>
    <cellStyle name="Percent 2 8 2 2 4" xfId="11972"/>
    <cellStyle name="Percent 2 8 2 3" xfId="5459"/>
    <cellStyle name="Percent 2 8 2 3 2" xfId="9202"/>
    <cellStyle name="Percent 2 8 2 3 2 2" xfId="15746"/>
    <cellStyle name="Percent 2 8 2 3 3" xfId="7483"/>
    <cellStyle name="Percent 2 8 2 3 3 2" xfId="14165"/>
    <cellStyle name="Percent 2 8 2 3 4" xfId="12380"/>
    <cellStyle name="Percent 2 8 2 4" xfId="5897"/>
    <cellStyle name="Percent 2 8 2 4 2" xfId="9638"/>
    <cellStyle name="Percent 2 8 2 4 2 2" xfId="16140"/>
    <cellStyle name="Percent 2 8 2 4 3" xfId="7919"/>
    <cellStyle name="Percent 2 8 2 4 3 2" xfId="14559"/>
    <cellStyle name="Percent 2 8 2 4 4" xfId="12790"/>
    <cellStyle name="Percent 2 8 2 5" xfId="10043"/>
    <cellStyle name="Percent 2 8 2 5 2" xfId="16524"/>
    <cellStyle name="Percent 2 8 2 6" xfId="8396"/>
    <cellStyle name="Percent 2 8 2 6 2" xfId="14953"/>
    <cellStyle name="Percent 2 8 2 7" xfId="6677"/>
    <cellStyle name="Percent 2 8 2 7 2" xfId="13367"/>
    <cellStyle name="Percent 2 8 2 8" xfId="11577"/>
    <cellStyle name="Percent 2 8 3" xfId="5046"/>
    <cellStyle name="Percent 2 8 3 2" xfId="8789"/>
    <cellStyle name="Percent 2 8 3 2 2" xfId="15337"/>
    <cellStyle name="Percent 2 8 3 3" xfId="7070"/>
    <cellStyle name="Percent 2 8 3 3 2" xfId="13756"/>
    <cellStyle name="Percent 2 8 3 4" xfId="11971"/>
    <cellStyle name="Percent 2 8 4" xfId="5262"/>
    <cellStyle name="Percent 2 8 4 2" xfId="9005"/>
    <cellStyle name="Percent 2 8 4 2 2" xfId="15549"/>
    <cellStyle name="Percent 2 8 4 3" xfId="7286"/>
    <cellStyle name="Percent 2 8 4 3 2" xfId="13968"/>
    <cellStyle name="Percent 2 8 4 4" xfId="12183"/>
    <cellStyle name="Percent 2 8 5" xfId="5700"/>
    <cellStyle name="Percent 2 8 5 2" xfId="9441"/>
    <cellStyle name="Percent 2 8 5 2 2" xfId="15943"/>
    <cellStyle name="Percent 2 8 5 3" xfId="7722"/>
    <cellStyle name="Percent 2 8 5 3 2" xfId="14362"/>
    <cellStyle name="Percent 2 8 5 4" xfId="12593"/>
    <cellStyle name="Percent 2 8 6" xfId="10042"/>
    <cellStyle name="Percent 2 8 6 2" xfId="16523"/>
    <cellStyle name="Percent 2 8 7" xfId="8199"/>
    <cellStyle name="Percent 2 8 7 2" xfId="14756"/>
    <cellStyle name="Percent 2 8 8" xfId="6480"/>
    <cellStyle name="Percent 2 8 8 2" xfId="13170"/>
    <cellStyle name="Percent 2 8 9" xfId="11378"/>
    <cellStyle name="Percent 2 9" xfId="4450"/>
    <cellStyle name="Percent 2 9 2" xfId="5048"/>
    <cellStyle name="Percent 2 9 2 2" xfId="8791"/>
    <cellStyle name="Percent 2 9 2 2 2" xfId="15339"/>
    <cellStyle name="Percent 2 9 2 3" xfId="7072"/>
    <cellStyle name="Percent 2 9 2 3 2" xfId="13758"/>
    <cellStyle name="Percent 2 9 2 4" xfId="11973"/>
    <cellStyle name="Percent 2 9 3" xfId="5278"/>
    <cellStyle name="Percent 2 9 3 2" xfId="9021"/>
    <cellStyle name="Percent 2 9 3 2 2" xfId="15565"/>
    <cellStyle name="Percent 2 9 3 3" xfId="7302"/>
    <cellStyle name="Percent 2 9 3 3 2" xfId="13984"/>
    <cellStyle name="Percent 2 9 3 4" xfId="12199"/>
    <cellStyle name="Percent 2 9 4" xfId="5716"/>
    <cellStyle name="Percent 2 9 4 2" xfId="9457"/>
    <cellStyle name="Percent 2 9 4 2 2" xfId="15959"/>
    <cellStyle name="Percent 2 9 4 3" xfId="7738"/>
    <cellStyle name="Percent 2 9 4 3 2" xfId="14378"/>
    <cellStyle name="Percent 2 9 4 4" xfId="12609"/>
    <cellStyle name="Percent 2 9 5" xfId="10044"/>
    <cellStyle name="Percent 2 9 5 2" xfId="16525"/>
    <cellStyle name="Percent 2 9 6" xfId="8215"/>
    <cellStyle name="Percent 2 9 6 2" xfId="14772"/>
    <cellStyle name="Percent 2 9 7" xfId="6496"/>
    <cellStyle name="Percent 2 9 7 2" xfId="13186"/>
    <cellStyle name="Percent 2 9 8" xfId="11395"/>
    <cellStyle name="Percent 20" xfId="4252"/>
    <cellStyle name="Percent 20 2" xfId="4596"/>
    <cellStyle name="Percent 20 2 2" xfId="5049"/>
    <cellStyle name="Percent 20 2 2 2" xfId="8792"/>
    <cellStyle name="Percent 20 2 2 2 2" xfId="15340"/>
    <cellStyle name="Percent 20 2 2 3" xfId="7073"/>
    <cellStyle name="Percent 20 2 2 3 2" xfId="13759"/>
    <cellStyle name="Percent 20 2 2 4" xfId="11974"/>
    <cellStyle name="Percent 20 2 3" xfId="5423"/>
    <cellStyle name="Percent 20 2 3 2" xfId="9166"/>
    <cellStyle name="Percent 20 2 3 2 2" xfId="15710"/>
    <cellStyle name="Percent 20 2 3 3" xfId="7447"/>
    <cellStyle name="Percent 20 2 3 3 2" xfId="14129"/>
    <cellStyle name="Percent 20 2 3 4" xfId="12344"/>
    <cellStyle name="Percent 20 2 4" xfId="5861"/>
    <cellStyle name="Percent 20 2 4 2" xfId="9602"/>
    <cellStyle name="Percent 20 2 4 2 2" xfId="16104"/>
    <cellStyle name="Percent 20 2 4 3" xfId="7883"/>
    <cellStyle name="Percent 20 2 4 3 2" xfId="14523"/>
    <cellStyle name="Percent 20 2 4 4" xfId="12754"/>
    <cellStyle name="Percent 20 2 5" xfId="10045"/>
    <cellStyle name="Percent 20 2 5 2" xfId="16526"/>
    <cellStyle name="Percent 20 2 6" xfId="8360"/>
    <cellStyle name="Percent 20 2 6 2" xfId="14917"/>
    <cellStyle name="Percent 20 2 7" xfId="6641"/>
    <cellStyle name="Percent 20 2 7 2" xfId="13331"/>
    <cellStyle name="Percent 20 2 8" xfId="11541"/>
    <cellStyle name="Percent 20 3" xfId="4736"/>
    <cellStyle name="Percent 20 3 2" xfId="8479"/>
    <cellStyle name="Percent 20 3 2 2" xfId="15031"/>
    <cellStyle name="Percent 20 3 3" xfId="6760"/>
    <cellStyle name="Percent 20 3 3 2" xfId="13450"/>
    <cellStyle name="Percent 20 3 4" xfId="11665"/>
    <cellStyle name="Percent 20 4" xfId="5226"/>
    <cellStyle name="Percent 20 4 2" xfId="8969"/>
    <cellStyle name="Percent 20 4 2 2" xfId="15513"/>
    <cellStyle name="Percent 20 4 3" xfId="7250"/>
    <cellStyle name="Percent 20 4 3 2" xfId="13932"/>
    <cellStyle name="Percent 20 4 4" xfId="12147"/>
    <cellStyle name="Percent 20 5" xfId="5659"/>
    <cellStyle name="Percent 20 5 2" xfId="9400"/>
    <cellStyle name="Percent 20 5 2 2" xfId="15907"/>
    <cellStyle name="Percent 20 5 3" xfId="7681"/>
    <cellStyle name="Percent 20 5 3 2" xfId="14326"/>
    <cellStyle name="Percent 20 5 4" xfId="12552"/>
    <cellStyle name="Percent 20 6" xfId="9724"/>
    <cellStyle name="Percent 20 6 2" xfId="16217"/>
    <cellStyle name="Percent 20 7" xfId="8122"/>
    <cellStyle name="Percent 20 7 2" xfId="14720"/>
    <cellStyle name="Percent 20 8" xfId="6404"/>
    <cellStyle name="Percent 20 8 2" xfId="13125"/>
    <cellStyle name="Percent 20 9" xfId="11335"/>
    <cellStyle name="Percent 21" xfId="4253"/>
    <cellStyle name="Percent 21 2" xfId="4597"/>
    <cellStyle name="Percent 21 2 2" xfId="5050"/>
    <cellStyle name="Percent 21 2 2 2" xfId="8793"/>
    <cellStyle name="Percent 21 2 2 2 2" xfId="15341"/>
    <cellStyle name="Percent 21 2 2 3" xfId="7074"/>
    <cellStyle name="Percent 21 2 2 3 2" xfId="13760"/>
    <cellStyle name="Percent 21 2 2 4" xfId="11975"/>
    <cellStyle name="Percent 21 2 3" xfId="5424"/>
    <cellStyle name="Percent 21 2 3 2" xfId="9167"/>
    <cellStyle name="Percent 21 2 3 2 2" xfId="15711"/>
    <cellStyle name="Percent 21 2 3 3" xfId="7448"/>
    <cellStyle name="Percent 21 2 3 3 2" xfId="14130"/>
    <cellStyle name="Percent 21 2 3 4" xfId="12345"/>
    <cellStyle name="Percent 21 2 4" xfId="5862"/>
    <cellStyle name="Percent 21 2 4 2" xfId="9603"/>
    <cellStyle name="Percent 21 2 4 2 2" xfId="16105"/>
    <cellStyle name="Percent 21 2 4 3" xfId="7884"/>
    <cellStyle name="Percent 21 2 4 3 2" xfId="14524"/>
    <cellStyle name="Percent 21 2 4 4" xfId="12755"/>
    <cellStyle name="Percent 21 2 5" xfId="10046"/>
    <cellStyle name="Percent 21 2 5 2" xfId="16527"/>
    <cellStyle name="Percent 21 2 6" xfId="8361"/>
    <cellStyle name="Percent 21 2 6 2" xfId="14918"/>
    <cellStyle name="Percent 21 2 7" xfId="6642"/>
    <cellStyle name="Percent 21 2 7 2" xfId="13332"/>
    <cellStyle name="Percent 21 2 8" xfId="11542"/>
    <cellStyle name="Percent 21 3" xfId="4738"/>
    <cellStyle name="Percent 21 3 2" xfId="8481"/>
    <cellStyle name="Percent 21 3 2 2" xfId="15033"/>
    <cellStyle name="Percent 21 3 3" xfId="6762"/>
    <cellStyle name="Percent 21 3 3 2" xfId="13452"/>
    <cellStyle name="Percent 21 3 4" xfId="11667"/>
    <cellStyle name="Percent 21 4" xfId="5227"/>
    <cellStyle name="Percent 21 4 2" xfId="8970"/>
    <cellStyle name="Percent 21 4 2 2" xfId="15514"/>
    <cellStyle name="Percent 21 4 3" xfId="7251"/>
    <cellStyle name="Percent 21 4 3 2" xfId="13933"/>
    <cellStyle name="Percent 21 4 4" xfId="12148"/>
    <cellStyle name="Percent 21 5" xfId="5660"/>
    <cellStyle name="Percent 21 5 2" xfId="9401"/>
    <cellStyle name="Percent 21 5 2 2" xfId="15908"/>
    <cellStyle name="Percent 21 5 3" xfId="7682"/>
    <cellStyle name="Percent 21 5 3 2" xfId="14327"/>
    <cellStyle name="Percent 21 5 4" xfId="12553"/>
    <cellStyle name="Percent 21 6" xfId="9726"/>
    <cellStyle name="Percent 21 6 2" xfId="16219"/>
    <cellStyle name="Percent 21 7" xfId="8123"/>
    <cellStyle name="Percent 21 7 2" xfId="14721"/>
    <cellStyle name="Percent 21 8" xfId="6405"/>
    <cellStyle name="Percent 21 8 2" xfId="13126"/>
    <cellStyle name="Percent 21 9" xfId="11336"/>
    <cellStyle name="Percent 22" xfId="4254"/>
    <cellStyle name="Percent 22 2" xfId="4598"/>
    <cellStyle name="Percent 22 2 2" xfId="5051"/>
    <cellStyle name="Percent 22 2 2 2" xfId="8794"/>
    <cellStyle name="Percent 22 2 2 2 2" xfId="15342"/>
    <cellStyle name="Percent 22 2 2 3" xfId="7075"/>
    <cellStyle name="Percent 22 2 2 3 2" xfId="13761"/>
    <cellStyle name="Percent 22 2 2 4" xfId="11976"/>
    <cellStyle name="Percent 22 2 3" xfId="5425"/>
    <cellStyle name="Percent 22 2 3 2" xfId="9168"/>
    <cellStyle name="Percent 22 2 3 2 2" xfId="15712"/>
    <cellStyle name="Percent 22 2 3 3" xfId="7449"/>
    <cellStyle name="Percent 22 2 3 3 2" xfId="14131"/>
    <cellStyle name="Percent 22 2 3 4" xfId="12346"/>
    <cellStyle name="Percent 22 2 4" xfId="5863"/>
    <cellStyle name="Percent 22 2 4 2" xfId="9604"/>
    <cellStyle name="Percent 22 2 4 2 2" xfId="16106"/>
    <cellStyle name="Percent 22 2 4 3" xfId="7885"/>
    <cellStyle name="Percent 22 2 4 3 2" xfId="14525"/>
    <cellStyle name="Percent 22 2 4 4" xfId="12756"/>
    <cellStyle name="Percent 22 2 5" xfId="10047"/>
    <cellStyle name="Percent 22 2 5 2" xfId="16528"/>
    <cellStyle name="Percent 22 2 6" xfId="8362"/>
    <cellStyle name="Percent 22 2 6 2" xfId="14919"/>
    <cellStyle name="Percent 22 2 7" xfId="6643"/>
    <cellStyle name="Percent 22 2 7 2" xfId="13333"/>
    <cellStyle name="Percent 22 2 8" xfId="11543"/>
    <cellStyle name="Percent 22 3" xfId="4740"/>
    <cellStyle name="Percent 22 3 2" xfId="8483"/>
    <cellStyle name="Percent 22 3 2 2" xfId="15035"/>
    <cellStyle name="Percent 22 3 3" xfId="6764"/>
    <cellStyle name="Percent 22 3 3 2" xfId="13454"/>
    <cellStyle name="Percent 22 3 4" xfId="11669"/>
    <cellStyle name="Percent 22 4" xfId="5228"/>
    <cellStyle name="Percent 22 4 2" xfId="8971"/>
    <cellStyle name="Percent 22 4 2 2" xfId="15515"/>
    <cellStyle name="Percent 22 4 3" xfId="7252"/>
    <cellStyle name="Percent 22 4 3 2" xfId="13934"/>
    <cellStyle name="Percent 22 4 4" xfId="12149"/>
    <cellStyle name="Percent 22 5" xfId="5661"/>
    <cellStyle name="Percent 22 5 2" xfId="9402"/>
    <cellStyle name="Percent 22 5 2 2" xfId="15909"/>
    <cellStyle name="Percent 22 5 3" xfId="7683"/>
    <cellStyle name="Percent 22 5 3 2" xfId="14328"/>
    <cellStyle name="Percent 22 5 4" xfId="12554"/>
    <cellStyle name="Percent 22 6" xfId="9728"/>
    <cellStyle name="Percent 22 6 2" xfId="16221"/>
    <cellStyle name="Percent 22 7" xfId="8124"/>
    <cellStyle name="Percent 22 7 2" xfId="14722"/>
    <cellStyle name="Percent 22 8" xfId="6406"/>
    <cellStyle name="Percent 22 8 2" xfId="13127"/>
    <cellStyle name="Percent 22 9" xfId="11337"/>
    <cellStyle name="Percent 23" xfId="4255"/>
    <cellStyle name="Percent 23 2" xfId="4599"/>
    <cellStyle name="Percent 23 2 2" xfId="5052"/>
    <cellStyle name="Percent 23 2 2 2" xfId="8795"/>
    <cellStyle name="Percent 23 2 2 2 2" xfId="15343"/>
    <cellStyle name="Percent 23 2 2 3" xfId="7076"/>
    <cellStyle name="Percent 23 2 2 3 2" xfId="13762"/>
    <cellStyle name="Percent 23 2 2 4" xfId="11977"/>
    <cellStyle name="Percent 23 2 3" xfId="5426"/>
    <cellStyle name="Percent 23 2 3 2" xfId="9169"/>
    <cellStyle name="Percent 23 2 3 2 2" xfId="15713"/>
    <cellStyle name="Percent 23 2 3 3" xfId="7450"/>
    <cellStyle name="Percent 23 2 3 3 2" xfId="14132"/>
    <cellStyle name="Percent 23 2 3 4" xfId="12347"/>
    <cellStyle name="Percent 23 2 4" xfId="5864"/>
    <cellStyle name="Percent 23 2 4 2" xfId="9605"/>
    <cellStyle name="Percent 23 2 4 2 2" xfId="16107"/>
    <cellStyle name="Percent 23 2 4 3" xfId="7886"/>
    <cellStyle name="Percent 23 2 4 3 2" xfId="14526"/>
    <cellStyle name="Percent 23 2 4 4" xfId="12757"/>
    <cellStyle name="Percent 23 2 5" xfId="10048"/>
    <cellStyle name="Percent 23 2 5 2" xfId="16529"/>
    <cellStyle name="Percent 23 2 6" xfId="8363"/>
    <cellStyle name="Percent 23 2 6 2" xfId="14920"/>
    <cellStyle name="Percent 23 2 7" xfId="6644"/>
    <cellStyle name="Percent 23 2 7 2" xfId="13334"/>
    <cellStyle name="Percent 23 2 8" xfId="11544"/>
    <cellStyle name="Percent 23 3" xfId="4742"/>
    <cellStyle name="Percent 23 3 2" xfId="8485"/>
    <cellStyle name="Percent 23 3 2 2" xfId="15037"/>
    <cellStyle name="Percent 23 3 3" xfId="6766"/>
    <cellStyle name="Percent 23 3 3 2" xfId="13456"/>
    <cellStyle name="Percent 23 3 4" xfId="11671"/>
    <cellStyle name="Percent 23 4" xfId="5229"/>
    <cellStyle name="Percent 23 4 2" xfId="8972"/>
    <cellStyle name="Percent 23 4 2 2" xfId="15516"/>
    <cellStyle name="Percent 23 4 3" xfId="7253"/>
    <cellStyle name="Percent 23 4 3 2" xfId="13935"/>
    <cellStyle name="Percent 23 4 4" xfId="12150"/>
    <cellStyle name="Percent 23 5" xfId="5662"/>
    <cellStyle name="Percent 23 5 2" xfId="9403"/>
    <cellStyle name="Percent 23 5 2 2" xfId="15910"/>
    <cellStyle name="Percent 23 5 3" xfId="7684"/>
    <cellStyle name="Percent 23 5 3 2" xfId="14329"/>
    <cellStyle name="Percent 23 5 4" xfId="12555"/>
    <cellStyle name="Percent 23 6" xfId="9730"/>
    <cellStyle name="Percent 23 6 2" xfId="16223"/>
    <cellStyle name="Percent 23 7" xfId="8125"/>
    <cellStyle name="Percent 23 7 2" xfId="14723"/>
    <cellStyle name="Percent 23 8" xfId="6407"/>
    <cellStyle name="Percent 23 8 2" xfId="13128"/>
    <cellStyle name="Percent 23 9" xfId="11338"/>
    <cellStyle name="Percent 24" xfId="4256"/>
    <cellStyle name="Percent 24 2" xfId="4600"/>
    <cellStyle name="Percent 24 2 2" xfId="5053"/>
    <cellStyle name="Percent 24 2 2 2" xfId="8796"/>
    <cellStyle name="Percent 24 2 2 2 2" xfId="15344"/>
    <cellStyle name="Percent 24 2 2 3" xfId="7077"/>
    <cellStyle name="Percent 24 2 2 3 2" xfId="13763"/>
    <cellStyle name="Percent 24 2 2 4" xfId="11978"/>
    <cellStyle name="Percent 24 2 3" xfId="5427"/>
    <cellStyle name="Percent 24 2 3 2" xfId="9170"/>
    <cellStyle name="Percent 24 2 3 2 2" xfId="15714"/>
    <cellStyle name="Percent 24 2 3 3" xfId="7451"/>
    <cellStyle name="Percent 24 2 3 3 2" xfId="14133"/>
    <cellStyle name="Percent 24 2 3 4" xfId="12348"/>
    <cellStyle name="Percent 24 2 4" xfId="5865"/>
    <cellStyle name="Percent 24 2 4 2" xfId="9606"/>
    <cellStyle name="Percent 24 2 4 2 2" xfId="16108"/>
    <cellStyle name="Percent 24 2 4 3" xfId="7887"/>
    <cellStyle name="Percent 24 2 4 3 2" xfId="14527"/>
    <cellStyle name="Percent 24 2 4 4" xfId="12758"/>
    <cellStyle name="Percent 24 2 5" xfId="10049"/>
    <cellStyle name="Percent 24 2 5 2" xfId="16530"/>
    <cellStyle name="Percent 24 2 6" xfId="8364"/>
    <cellStyle name="Percent 24 2 6 2" xfId="14921"/>
    <cellStyle name="Percent 24 2 7" xfId="6645"/>
    <cellStyle name="Percent 24 2 7 2" xfId="13335"/>
    <cellStyle name="Percent 24 2 8" xfId="11545"/>
    <cellStyle name="Percent 24 3" xfId="4744"/>
    <cellStyle name="Percent 24 3 2" xfId="8487"/>
    <cellStyle name="Percent 24 3 2 2" xfId="15039"/>
    <cellStyle name="Percent 24 3 3" xfId="6768"/>
    <cellStyle name="Percent 24 3 3 2" xfId="13458"/>
    <cellStyle name="Percent 24 3 4" xfId="11673"/>
    <cellStyle name="Percent 24 4" xfId="5230"/>
    <cellStyle name="Percent 24 4 2" xfId="8973"/>
    <cellStyle name="Percent 24 4 2 2" xfId="15517"/>
    <cellStyle name="Percent 24 4 3" xfId="7254"/>
    <cellStyle name="Percent 24 4 3 2" xfId="13936"/>
    <cellStyle name="Percent 24 4 4" xfId="12151"/>
    <cellStyle name="Percent 24 5" xfId="5663"/>
    <cellStyle name="Percent 24 5 2" xfId="9404"/>
    <cellStyle name="Percent 24 5 2 2" xfId="15911"/>
    <cellStyle name="Percent 24 5 3" xfId="7685"/>
    <cellStyle name="Percent 24 5 3 2" xfId="14330"/>
    <cellStyle name="Percent 24 5 4" xfId="12556"/>
    <cellStyle name="Percent 24 6" xfId="9732"/>
    <cellStyle name="Percent 24 6 2" xfId="16225"/>
    <cellStyle name="Percent 24 7" xfId="8126"/>
    <cellStyle name="Percent 24 7 2" xfId="14724"/>
    <cellStyle name="Percent 24 8" xfId="6408"/>
    <cellStyle name="Percent 24 8 2" xfId="13129"/>
    <cellStyle name="Percent 24 9" xfId="11339"/>
    <cellStyle name="Percent 25" xfId="4257"/>
    <cellStyle name="Percent 25 2" xfId="4601"/>
    <cellStyle name="Percent 25 2 2" xfId="5054"/>
    <cellStyle name="Percent 25 2 2 2" xfId="8797"/>
    <cellStyle name="Percent 25 2 2 2 2" xfId="15345"/>
    <cellStyle name="Percent 25 2 2 3" xfId="7078"/>
    <cellStyle name="Percent 25 2 2 3 2" xfId="13764"/>
    <cellStyle name="Percent 25 2 2 4" xfId="11979"/>
    <cellStyle name="Percent 25 2 3" xfId="5428"/>
    <cellStyle name="Percent 25 2 3 2" xfId="9171"/>
    <cellStyle name="Percent 25 2 3 2 2" xfId="15715"/>
    <cellStyle name="Percent 25 2 3 3" xfId="7452"/>
    <cellStyle name="Percent 25 2 3 3 2" xfId="14134"/>
    <cellStyle name="Percent 25 2 3 4" xfId="12349"/>
    <cellStyle name="Percent 25 2 4" xfId="5866"/>
    <cellStyle name="Percent 25 2 4 2" xfId="9607"/>
    <cellStyle name="Percent 25 2 4 2 2" xfId="16109"/>
    <cellStyle name="Percent 25 2 4 3" xfId="7888"/>
    <cellStyle name="Percent 25 2 4 3 2" xfId="14528"/>
    <cellStyle name="Percent 25 2 4 4" xfId="12759"/>
    <cellStyle name="Percent 25 2 5" xfId="10050"/>
    <cellStyle name="Percent 25 2 5 2" xfId="16531"/>
    <cellStyle name="Percent 25 2 6" xfId="8365"/>
    <cellStyle name="Percent 25 2 6 2" xfId="14922"/>
    <cellStyle name="Percent 25 2 7" xfId="6646"/>
    <cellStyle name="Percent 25 2 7 2" xfId="13336"/>
    <cellStyle name="Percent 25 2 8" xfId="11546"/>
    <cellStyle name="Percent 25 3" xfId="4746"/>
    <cellStyle name="Percent 25 3 2" xfId="8489"/>
    <cellStyle name="Percent 25 3 2 2" xfId="15041"/>
    <cellStyle name="Percent 25 3 3" xfId="6770"/>
    <cellStyle name="Percent 25 3 3 2" xfId="13460"/>
    <cellStyle name="Percent 25 3 4" xfId="11675"/>
    <cellStyle name="Percent 25 4" xfId="5231"/>
    <cellStyle name="Percent 25 4 2" xfId="8974"/>
    <cellStyle name="Percent 25 4 2 2" xfId="15518"/>
    <cellStyle name="Percent 25 4 3" xfId="7255"/>
    <cellStyle name="Percent 25 4 3 2" xfId="13937"/>
    <cellStyle name="Percent 25 4 4" xfId="12152"/>
    <cellStyle name="Percent 25 5" xfId="5664"/>
    <cellStyle name="Percent 25 5 2" xfId="9405"/>
    <cellStyle name="Percent 25 5 2 2" xfId="15912"/>
    <cellStyle name="Percent 25 5 3" xfId="7686"/>
    <cellStyle name="Percent 25 5 3 2" xfId="14331"/>
    <cellStyle name="Percent 25 5 4" xfId="12557"/>
    <cellStyle name="Percent 25 6" xfId="9734"/>
    <cellStyle name="Percent 25 6 2" xfId="16227"/>
    <cellStyle name="Percent 25 7" xfId="8127"/>
    <cellStyle name="Percent 25 7 2" xfId="14725"/>
    <cellStyle name="Percent 25 8" xfId="6409"/>
    <cellStyle name="Percent 25 8 2" xfId="13130"/>
    <cellStyle name="Percent 25 9" xfId="11340"/>
    <cellStyle name="Percent 26" xfId="4258"/>
    <cellStyle name="Percent 26 2" xfId="4602"/>
    <cellStyle name="Percent 26 2 2" xfId="5055"/>
    <cellStyle name="Percent 26 2 2 2" xfId="8798"/>
    <cellStyle name="Percent 26 2 2 2 2" xfId="15346"/>
    <cellStyle name="Percent 26 2 2 3" xfId="7079"/>
    <cellStyle name="Percent 26 2 2 3 2" xfId="13765"/>
    <cellStyle name="Percent 26 2 2 4" xfId="11980"/>
    <cellStyle name="Percent 26 2 3" xfId="5429"/>
    <cellStyle name="Percent 26 2 3 2" xfId="9172"/>
    <cellStyle name="Percent 26 2 3 2 2" xfId="15716"/>
    <cellStyle name="Percent 26 2 3 3" xfId="7453"/>
    <cellStyle name="Percent 26 2 3 3 2" xfId="14135"/>
    <cellStyle name="Percent 26 2 3 4" xfId="12350"/>
    <cellStyle name="Percent 26 2 4" xfId="5867"/>
    <cellStyle name="Percent 26 2 4 2" xfId="9608"/>
    <cellStyle name="Percent 26 2 4 2 2" xfId="16110"/>
    <cellStyle name="Percent 26 2 4 3" xfId="7889"/>
    <cellStyle name="Percent 26 2 4 3 2" xfId="14529"/>
    <cellStyle name="Percent 26 2 4 4" xfId="12760"/>
    <cellStyle name="Percent 26 2 5" xfId="10051"/>
    <cellStyle name="Percent 26 2 5 2" xfId="16532"/>
    <cellStyle name="Percent 26 2 6" xfId="8366"/>
    <cellStyle name="Percent 26 2 6 2" xfId="14923"/>
    <cellStyle name="Percent 26 2 7" xfId="6647"/>
    <cellStyle name="Percent 26 2 7 2" xfId="13337"/>
    <cellStyle name="Percent 26 2 8" xfId="11547"/>
    <cellStyle name="Percent 26 3" xfId="4748"/>
    <cellStyle name="Percent 26 3 2" xfId="8491"/>
    <cellStyle name="Percent 26 3 2 2" xfId="15043"/>
    <cellStyle name="Percent 26 3 3" xfId="6772"/>
    <cellStyle name="Percent 26 3 3 2" xfId="13462"/>
    <cellStyle name="Percent 26 3 4" xfId="11677"/>
    <cellStyle name="Percent 26 4" xfId="5232"/>
    <cellStyle name="Percent 26 4 2" xfId="8975"/>
    <cellStyle name="Percent 26 4 2 2" xfId="15519"/>
    <cellStyle name="Percent 26 4 3" xfId="7256"/>
    <cellStyle name="Percent 26 4 3 2" xfId="13938"/>
    <cellStyle name="Percent 26 4 4" xfId="12153"/>
    <cellStyle name="Percent 26 5" xfId="5665"/>
    <cellStyle name="Percent 26 5 2" xfId="9406"/>
    <cellStyle name="Percent 26 5 2 2" xfId="15913"/>
    <cellStyle name="Percent 26 5 3" xfId="7687"/>
    <cellStyle name="Percent 26 5 3 2" xfId="14332"/>
    <cellStyle name="Percent 26 5 4" xfId="12558"/>
    <cellStyle name="Percent 26 6" xfId="9736"/>
    <cellStyle name="Percent 26 6 2" xfId="16229"/>
    <cellStyle name="Percent 26 7" xfId="8128"/>
    <cellStyle name="Percent 26 7 2" xfId="14726"/>
    <cellStyle name="Percent 26 8" xfId="6410"/>
    <cellStyle name="Percent 26 8 2" xfId="13131"/>
    <cellStyle name="Percent 26 9" xfId="11341"/>
    <cellStyle name="Percent 27" xfId="4259"/>
    <cellStyle name="Percent 27 2" xfId="4603"/>
    <cellStyle name="Percent 27 2 2" xfId="5056"/>
    <cellStyle name="Percent 27 2 2 2" xfId="8799"/>
    <cellStyle name="Percent 27 2 2 2 2" xfId="15347"/>
    <cellStyle name="Percent 27 2 2 3" xfId="7080"/>
    <cellStyle name="Percent 27 2 2 3 2" xfId="13766"/>
    <cellStyle name="Percent 27 2 2 4" xfId="11981"/>
    <cellStyle name="Percent 27 2 3" xfId="5430"/>
    <cellStyle name="Percent 27 2 3 2" xfId="9173"/>
    <cellStyle name="Percent 27 2 3 2 2" xfId="15717"/>
    <cellStyle name="Percent 27 2 3 3" xfId="7454"/>
    <cellStyle name="Percent 27 2 3 3 2" xfId="14136"/>
    <cellStyle name="Percent 27 2 3 4" xfId="12351"/>
    <cellStyle name="Percent 27 2 4" xfId="5868"/>
    <cellStyle name="Percent 27 2 4 2" xfId="9609"/>
    <cellStyle name="Percent 27 2 4 2 2" xfId="16111"/>
    <cellStyle name="Percent 27 2 4 3" xfId="7890"/>
    <cellStyle name="Percent 27 2 4 3 2" xfId="14530"/>
    <cellStyle name="Percent 27 2 4 4" xfId="12761"/>
    <cellStyle name="Percent 27 2 5" xfId="10052"/>
    <cellStyle name="Percent 27 2 5 2" xfId="16533"/>
    <cellStyle name="Percent 27 2 6" xfId="8367"/>
    <cellStyle name="Percent 27 2 6 2" xfId="14924"/>
    <cellStyle name="Percent 27 2 7" xfId="6648"/>
    <cellStyle name="Percent 27 2 7 2" xfId="13338"/>
    <cellStyle name="Percent 27 2 8" xfId="11548"/>
    <cellStyle name="Percent 27 3" xfId="4751"/>
    <cellStyle name="Percent 27 3 2" xfId="8494"/>
    <cellStyle name="Percent 27 3 2 2" xfId="15046"/>
    <cellStyle name="Percent 27 3 3" xfId="6775"/>
    <cellStyle name="Percent 27 3 3 2" xfId="13465"/>
    <cellStyle name="Percent 27 3 4" xfId="11680"/>
    <cellStyle name="Percent 27 4" xfId="5233"/>
    <cellStyle name="Percent 27 4 2" xfId="8976"/>
    <cellStyle name="Percent 27 4 2 2" xfId="15520"/>
    <cellStyle name="Percent 27 4 3" xfId="7257"/>
    <cellStyle name="Percent 27 4 3 2" xfId="13939"/>
    <cellStyle name="Percent 27 4 4" xfId="12154"/>
    <cellStyle name="Percent 27 5" xfId="5666"/>
    <cellStyle name="Percent 27 5 2" xfId="9407"/>
    <cellStyle name="Percent 27 5 2 2" xfId="15914"/>
    <cellStyle name="Percent 27 5 3" xfId="7688"/>
    <cellStyle name="Percent 27 5 3 2" xfId="14333"/>
    <cellStyle name="Percent 27 5 4" xfId="12559"/>
    <cellStyle name="Percent 27 6" xfId="9739"/>
    <cellStyle name="Percent 27 6 2" xfId="16232"/>
    <cellStyle name="Percent 27 7" xfId="8129"/>
    <cellStyle name="Percent 27 7 2" xfId="14727"/>
    <cellStyle name="Percent 27 8" xfId="6411"/>
    <cellStyle name="Percent 27 8 2" xfId="13132"/>
    <cellStyle name="Percent 27 9" xfId="11342"/>
    <cellStyle name="Percent 28" xfId="4260"/>
    <cellStyle name="Percent 28 2" xfId="4604"/>
    <cellStyle name="Percent 28 2 2" xfId="5057"/>
    <cellStyle name="Percent 28 2 2 2" xfId="8800"/>
    <cellStyle name="Percent 28 2 2 2 2" xfId="15348"/>
    <cellStyle name="Percent 28 2 2 3" xfId="7081"/>
    <cellStyle name="Percent 28 2 2 3 2" xfId="13767"/>
    <cellStyle name="Percent 28 2 2 4" xfId="11982"/>
    <cellStyle name="Percent 28 2 3" xfId="5431"/>
    <cellStyle name="Percent 28 2 3 2" xfId="9174"/>
    <cellStyle name="Percent 28 2 3 2 2" xfId="15718"/>
    <cellStyle name="Percent 28 2 3 3" xfId="7455"/>
    <cellStyle name="Percent 28 2 3 3 2" xfId="14137"/>
    <cellStyle name="Percent 28 2 3 4" xfId="12352"/>
    <cellStyle name="Percent 28 2 4" xfId="5869"/>
    <cellStyle name="Percent 28 2 4 2" xfId="9610"/>
    <cellStyle name="Percent 28 2 4 2 2" xfId="16112"/>
    <cellStyle name="Percent 28 2 4 3" xfId="7891"/>
    <cellStyle name="Percent 28 2 4 3 2" xfId="14531"/>
    <cellStyle name="Percent 28 2 4 4" xfId="12762"/>
    <cellStyle name="Percent 28 2 5" xfId="10053"/>
    <cellStyle name="Percent 28 2 5 2" xfId="16534"/>
    <cellStyle name="Percent 28 2 6" xfId="8368"/>
    <cellStyle name="Percent 28 2 6 2" xfId="14925"/>
    <cellStyle name="Percent 28 2 7" xfId="6649"/>
    <cellStyle name="Percent 28 2 7 2" xfId="13339"/>
    <cellStyle name="Percent 28 2 8" xfId="11549"/>
    <cellStyle name="Percent 28 3" xfId="4752"/>
    <cellStyle name="Percent 28 3 2" xfId="8495"/>
    <cellStyle name="Percent 28 3 2 2" xfId="15047"/>
    <cellStyle name="Percent 28 3 3" xfId="6776"/>
    <cellStyle name="Percent 28 3 3 2" xfId="13466"/>
    <cellStyle name="Percent 28 3 4" xfId="11681"/>
    <cellStyle name="Percent 28 4" xfId="5234"/>
    <cellStyle name="Percent 28 4 2" xfId="8977"/>
    <cellStyle name="Percent 28 4 2 2" xfId="15521"/>
    <cellStyle name="Percent 28 4 3" xfId="7258"/>
    <cellStyle name="Percent 28 4 3 2" xfId="13940"/>
    <cellStyle name="Percent 28 4 4" xfId="12155"/>
    <cellStyle name="Percent 28 5" xfId="5667"/>
    <cellStyle name="Percent 28 5 2" xfId="9408"/>
    <cellStyle name="Percent 28 5 2 2" xfId="15915"/>
    <cellStyle name="Percent 28 5 3" xfId="7689"/>
    <cellStyle name="Percent 28 5 3 2" xfId="14334"/>
    <cellStyle name="Percent 28 5 4" xfId="12560"/>
    <cellStyle name="Percent 28 6" xfId="9740"/>
    <cellStyle name="Percent 28 6 2" xfId="16233"/>
    <cellStyle name="Percent 28 7" xfId="8130"/>
    <cellStyle name="Percent 28 7 2" xfId="14728"/>
    <cellStyle name="Percent 28 8" xfId="6412"/>
    <cellStyle name="Percent 28 8 2" xfId="13133"/>
    <cellStyle name="Percent 28 9" xfId="11343"/>
    <cellStyle name="Percent 29" xfId="4261"/>
    <cellStyle name="Percent 29 2" xfId="4605"/>
    <cellStyle name="Percent 29 2 2" xfId="5058"/>
    <cellStyle name="Percent 29 2 2 2" xfId="8801"/>
    <cellStyle name="Percent 29 2 2 2 2" xfId="15349"/>
    <cellStyle name="Percent 29 2 2 3" xfId="7082"/>
    <cellStyle name="Percent 29 2 2 3 2" xfId="13768"/>
    <cellStyle name="Percent 29 2 2 4" xfId="11983"/>
    <cellStyle name="Percent 29 2 3" xfId="5432"/>
    <cellStyle name="Percent 29 2 3 2" xfId="9175"/>
    <cellStyle name="Percent 29 2 3 2 2" xfId="15719"/>
    <cellStyle name="Percent 29 2 3 3" xfId="7456"/>
    <cellStyle name="Percent 29 2 3 3 2" xfId="14138"/>
    <cellStyle name="Percent 29 2 3 4" xfId="12353"/>
    <cellStyle name="Percent 29 2 4" xfId="5870"/>
    <cellStyle name="Percent 29 2 4 2" xfId="9611"/>
    <cellStyle name="Percent 29 2 4 2 2" xfId="16113"/>
    <cellStyle name="Percent 29 2 4 3" xfId="7892"/>
    <cellStyle name="Percent 29 2 4 3 2" xfId="14532"/>
    <cellStyle name="Percent 29 2 4 4" xfId="12763"/>
    <cellStyle name="Percent 29 2 5" xfId="10054"/>
    <cellStyle name="Percent 29 2 5 2" xfId="16535"/>
    <cellStyle name="Percent 29 2 6" xfId="8369"/>
    <cellStyle name="Percent 29 2 6 2" xfId="14926"/>
    <cellStyle name="Percent 29 2 7" xfId="6650"/>
    <cellStyle name="Percent 29 2 7 2" xfId="13340"/>
    <cellStyle name="Percent 29 2 8" xfId="11550"/>
    <cellStyle name="Percent 29 3" xfId="4820"/>
    <cellStyle name="Percent 29 3 2" xfId="8563"/>
    <cellStyle name="Percent 29 3 2 2" xfId="15111"/>
    <cellStyle name="Percent 29 3 3" xfId="6844"/>
    <cellStyle name="Percent 29 3 3 2" xfId="13530"/>
    <cellStyle name="Percent 29 3 4" xfId="11745"/>
    <cellStyle name="Percent 29 4" xfId="5235"/>
    <cellStyle name="Percent 29 4 2" xfId="8978"/>
    <cellStyle name="Percent 29 4 2 2" xfId="15522"/>
    <cellStyle name="Percent 29 4 3" xfId="7259"/>
    <cellStyle name="Percent 29 4 3 2" xfId="13941"/>
    <cellStyle name="Percent 29 4 4" xfId="12156"/>
    <cellStyle name="Percent 29 5" xfId="5668"/>
    <cellStyle name="Percent 29 5 2" xfId="9409"/>
    <cellStyle name="Percent 29 5 2 2" xfId="15916"/>
    <cellStyle name="Percent 29 5 3" xfId="7690"/>
    <cellStyle name="Percent 29 5 3 2" xfId="14335"/>
    <cellStyle name="Percent 29 5 4" xfId="12561"/>
    <cellStyle name="Percent 29 6" xfId="9811"/>
    <cellStyle name="Percent 29 6 2" xfId="16297"/>
    <cellStyle name="Percent 29 7" xfId="8131"/>
    <cellStyle name="Percent 29 7 2" xfId="14729"/>
    <cellStyle name="Percent 29 8" xfId="6413"/>
    <cellStyle name="Percent 29 8 2" xfId="13134"/>
    <cellStyle name="Percent 29 9" xfId="11344"/>
    <cellStyle name="Percent 3" xfId="4262"/>
    <cellStyle name="Percent 30" xfId="4447"/>
    <cellStyle name="Percent 30 2" xfId="4645"/>
    <cellStyle name="Percent 30 2 2" xfId="5059"/>
    <cellStyle name="Percent 30 2 2 2" xfId="8802"/>
    <cellStyle name="Percent 30 2 2 2 2" xfId="15350"/>
    <cellStyle name="Percent 30 2 2 3" xfId="7083"/>
    <cellStyle name="Percent 30 2 2 3 2" xfId="13769"/>
    <cellStyle name="Percent 30 2 2 4" xfId="11984"/>
    <cellStyle name="Percent 30 2 3" xfId="5472"/>
    <cellStyle name="Percent 30 2 3 2" xfId="9215"/>
    <cellStyle name="Percent 30 2 3 2 2" xfId="15759"/>
    <cellStyle name="Percent 30 2 3 3" xfId="7496"/>
    <cellStyle name="Percent 30 2 3 3 2" xfId="14178"/>
    <cellStyle name="Percent 30 2 3 4" xfId="12393"/>
    <cellStyle name="Percent 30 2 4" xfId="5910"/>
    <cellStyle name="Percent 30 2 4 2" xfId="9651"/>
    <cellStyle name="Percent 30 2 4 2 2" xfId="16153"/>
    <cellStyle name="Percent 30 2 4 3" xfId="7932"/>
    <cellStyle name="Percent 30 2 4 3 2" xfId="14572"/>
    <cellStyle name="Percent 30 2 4 4" xfId="12803"/>
    <cellStyle name="Percent 30 2 5" xfId="10055"/>
    <cellStyle name="Percent 30 2 5 2" xfId="16536"/>
    <cellStyle name="Percent 30 2 6" xfId="8409"/>
    <cellStyle name="Percent 30 2 6 2" xfId="14966"/>
    <cellStyle name="Percent 30 2 7" xfId="6690"/>
    <cellStyle name="Percent 30 2 7 2" xfId="13380"/>
    <cellStyle name="Percent 30 2 8" xfId="11590"/>
    <cellStyle name="Percent 30 3" xfId="4847"/>
    <cellStyle name="Percent 30 3 2" xfId="8590"/>
    <cellStyle name="Percent 30 3 2 2" xfId="15138"/>
    <cellStyle name="Percent 30 3 3" xfId="6871"/>
    <cellStyle name="Percent 30 3 3 2" xfId="13557"/>
    <cellStyle name="Percent 30 3 4" xfId="11772"/>
    <cellStyle name="Percent 30 4" xfId="5275"/>
    <cellStyle name="Percent 30 4 2" xfId="9018"/>
    <cellStyle name="Percent 30 4 2 2" xfId="15562"/>
    <cellStyle name="Percent 30 4 3" xfId="7299"/>
    <cellStyle name="Percent 30 4 3 2" xfId="13981"/>
    <cellStyle name="Percent 30 4 4" xfId="12196"/>
    <cellStyle name="Percent 30 5" xfId="5713"/>
    <cellStyle name="Percent 30 5 2" xfId="9454"/>
    <cellStyle name="Percent 30 5 2 2" xfId="15956"/>
    <cellStyle name="Percent 30 5 3" xfId="7735"/>
    <cellStyle name="Percent 30 5 3 2" xfId="14375"/>
    <cellStyle name="Percent 30 5 4" xfId="12606"/>
    <cellStyle name="Percent 30 6" xfId="9838"/>
    <cellStyle name="Percent 30 6 2" xfId="16324"/>
    <cellStyle name="Percent 30 7" xfId="8212"/>
    <cellStyle name="Percent 30 7 2" xfId="14769"/>
    <cellStyle name="Percent 30 8" xfId="6493"/>
    <cellStyle name="Percent 30 8 2" xfId="13183"/>
    <cellStyle name="Percent 30 9" xfId="11392"/>
    <cellStyle name="Percent 31" xfId="4655"/>
    <cellStyle name="Percent 32" xfId="4656"/>
    <cellStyle name="Percent 33" xfId="4657"/>
    <cellStyle name="Percent 34" xfId="4658"/>
    <cellStyle name="Percent 35" xfId="4659"/>
    <cellStyle name="Percent 36" xfId="4660"/>
    <cellStyle name="Percent 37" xfId="4661"/>
    <cellStyle name="Percent 38" xfId="4662"/>
    <cellStyle name="Percent 39" xfId="4669"/>
    <cellStyle name="Percent 39 2" xfId="5073"/>
    <cellStyle name="Percent 39 2 2" xfId="8816"/>
    <cellStyle name="Percent 39 2 2 2" xfId="15364"/>
    <cellStyle name="Percent 39 2 3" xfId="7097"/>
    <cellStyle name="Percent 39 2 3 2" xfId="13783"/>
    <cellStyle name="Percent 39 2 4" xfId="11998"/>
    <cellStyle name="Percent 39 3" xfId="10069"/>
    <cellStyle name="Percent 39 3 2" xfId="16550"/>
    <cellStyle name="Percent 39 4" xfId="8416"/>
    <cellStyle name="Percent 39 4 2" xfId="14968"/>
    <cellStyle name="Percent 39 5" xfId="6697"/>
    <cellStyle name="Percent 39 5 2" xfId="13387"/>
    <cellStyle name="Percent 39 6" xfId="11601"/>
    <cellStyle name="Percent 4" xfId="4263"/>
    <cellStyle name="Percent 4 10" xfId="11345"/>
    <cellStyle name="Percent 4 2" xfId="4264"/>
    <cellStyle name="Percent 4 2 2" xfId="4607"/>
    <cellStyle name="Percent 4 2 2 2" xfId="5060"/>
    <cellStyle name="Percent 4 2 2 2 2" xfId="8803"/>
    <cellStyle name="Percent 4 2 2 2 2 2" xfId="15351"/>
    <cellStyle name="Percent 4 2 2 2 3" xfId="7084"/>
    <cellStyle name="Percent 4 2 2 2 3 2" xfId="13770"/>
    <cellStyle name="Percent 4 2 2 2 4" xfId="11985"/>
    <cellStyle name="Percent 4 2 2 3" xfId="5434"/>
    <cellStyle name="Percent 4 2 2 3 2" xfId="9177"/>
    <cellStyle name="Percent 4 2 2 3 2 2" xfId="15721"/>
    <cellStyle name="Percent 4 2 2 3 3" xfId="7458"/>
    <cellStyle name="Percent 4 2 2 3 3 2" xfId="14140"/>
    <cellStyle name="Percent 4 2 2 3 4" xfId="12355"/>
    <cellStyle name="Percent 4 2 2 4" xfId="5872"/>
    <cellStyle name="Percent 4 2 2 4 2" xfId="9613"/>
    <cellStyle name="Percent 4 2 2 4 2 2" xfId="16115"/>
    <cellStyle name="Percent 4 2 2 4 3" xfId="7894"/>
    <cellStyle name="Percent 4 2 2 4 3 2" xfId="14534"/>
    <cellStyle name="Percent 4 2 2 4 4" xfId="12765"/>
    <cellStyle name="Percent 4 2 2 5" xfId="10056"/>
    <cellStyle name="Percent 4 2 2 5 2" xfId="16537"/>
    <cellStyle name="Percent 4 2 2 6" xfId="8371"/>
    <cellStyle name="Percent 4 2 2 6 2" xfId="14928"/>
    <cellStyle name="Percent 4 2 2 7" xfId="6652"/>
    <cellStyle name="Percent 4 2 2 7 2" xfId="13342"/>
    <cellStyle name="Percent 4 2 2 8" xfId="11552"/>
    <cellStyle name="Percent 4 2 3" xfId="4813"/>
    <cellStyle name="Percent 4 2 3 2" xfId="8556"/>
    <cellStyle name="Percent 4 2 3 2 2" xfId="15108"/>
    <cellStyle name="Percent 4 2 3 3" xfId="6837"/>
    <cellStyle name="Percent 4 2 3 3 2" xfId="13527"/>
    <cellStyle name="Percent 4 2 3 4" xfId="11742"/>
    <cellStyle name="Percent 4 2 4" xfId="5237"/>
    <cellStyle name="Percent 4 2 4 2" xfId="8980"/>
    <cellStyle name="Percent 4 2 4 2 2" xfId="15524"/>
    <cellStyle name="Percent 4 2 4 3" xfId="7261"/>
    <cellStyle name="Percent 4 2 4 3 2" xfId="13943"/>
    <cellStyle name="Percent 4 2 4 4" xfId="12158"/>
    <cellStyle name="Percent 4 2 5" xfId="5670"/>
    <cellStyle name="Percent 4 2 5 2" xfId="9411"/>
    <cellStyle name="Percent 4 2 5 2 2" xfId="15918"/>
    <cellStyle name="Percent 4 2 5 3" xfId="7692"/>
    <cellStyle name="Percent 4 2 5 3 2" xfId="14337"/>
    <cellStyle name="Percent 4 2 5 4" xfId="12563"/>
    <cellStyle name="Percent 4 2 6" xfId="9803"/>
    <cellStyle name="Percent 4 2 6 2" xfId="16294"/>
    <cellStyle name="Percent 4 2 7" xfId="8133"/>
    <cellStyle name="Percent 4 2 7 2" xfId="14731"/>
    <cellStyle name="Percent 4 2 8" xfId="6415"/>
    <cellStyle name="Percent 4 2 8 2" xfId="13136"/>
    <cellStyle name="Percent 4 2 9" xfId="11346"/>
    <cellStyle name="Percent 4 3" xfId="4606"/>
    <cellStyle name="Percent 4 3 2" xfId="5061"/>
    <cellStyle name="Percent 4 3 2 2" xfId="8804"/>
    <cellStyle name="Percent 4 3 2 2 2" xfId="15352"/>
    <cellStyle name="Percent 4 3 2 3" xfId="7085"/>
    <cellStyle name="Percent 4 3 2 3 2" xfId="13771"/>
    <cellStyle name="Percent 4 3 2 4" xfId="11986"/>
    <cellStyle name="Percent 4 3 3" xfId="5433"/>
    <cellStyle name="Percent 4 3 3 2" xfId="9176"/>
    <cellStyle name="Percent 4 3 3 2 2" xfId="15720"/>
    <cellStyle name="Percent 4 3 3 3" xfId="7457"/>
    <cellStyle name="Percent 4 3 3 3 2" xfId="14139"/>
    <cellStyle name="Percent 4 3 3 4" xfId="12354"/>
    <cellStyle name="Percent 4 3 4" xfId="5871"/>
    <cellStyle name="Percent 4 3 4 2" xfId="9612"/>
    <cellStyle name="Percent 4 3 4 2 2" xfId="16114"/>
    <cellStyle name="Percent 4 3 4 3" xfId="7893"/>
    <cellStyle name="Percent 4 3 4 3 2" xfId="14533"/>
    <cellStyle name="Percent 4 3 4 4" xfId="12764"/>
    <cellStyle name="Percent 4 3 5" xfId="10057"/>
    <cellStyle name="Percent 4 3 5 2" xfId="16538"/>
    <cellStyle name="Percent 4 3 6" xfId="8370"/>
    <cellStyle name="Percent 4 3 6 2" xfId="14927"/>
    <cellStyle name="Percent 4 3 7" xfId="6651"/>
    <cellStyle name="Percent 4 3 7 2" xfId="13341"/>
    <cellStyle name="Percent 4 3 8" xfId="11551"/>
    <cellStyle name="Percent 4 4" xfId="4731"/>
    <cellStyle name="Percent 4 4 2" xfId="8475"/>
    <cellStyle name="Percent 4 4 2 2" xfId="15027"/>
    <cellStyle name="Percent 4 4 3" xfId="6756"/>
    <cellStyle name="Percent 4 4 3 2" xfId="13446"/>
    <cellStyle name="Percent 4 4 4" xfId="11660"/>
    <cellStyle name="Percent 4 5" xfId="5236"/>
    <cellStyle name="Percent 4 5 2" xfId="8979"/>
    <cellStyle name="Percent 4 5 2 2" xfId="15523"/>
    <cellStyle name="Percent 4 5 3" xfId="7260"/>
    <cellStyle name="Percent 4 5 3 2" xfId="13942"/>
    <cellStyle name="Percent 4 5 4" xfId="12157"/>
    <cellStyle name="Percent 4 6" xfId="5669"/>
    <cellStyle name="Percent 4 6 2" xfId="9410"/>
    <cellStyle name="Percent 4 6 2 2" xfId="15917"/>
    <cellStyle name="Percent 4 6 3" xfId="7691"/>
    <cellStyle name="Percent 4 6 3 2" xfId="14336"/>
    <cellStyle name="Percent 4 6 4" xfId="12562"/>
    <cellStyle name="Percent 4 7" xfId="9719"/>
    <cellStyle name="Percent 4 7 2" xfId="16212"/>
    <cellStyle name="Percent 4 8" xfId="8132"/>
    <cellStyle name="Percent 4 8 2" xfId="14730"/>
    <cellStyle name="Percent 4 9" xfId="6414"/>
    <cellStyle name="Percent 4 9 2" xfId="13135"/>
    <cellStyle name="Percent 5" xfId="4265"/>
    <cellStyle name="Percent 5 10" xfId="11347"/>
    <cellStyle name="Percent 5 2" xfId="4266"/>
    <cellStyle name="Percent 5 2 2" xfId="4609"/>
    <cellStyle name="Percent 5 2 2 2" xfId="5062"/>
    <cellStyle name="Percent 5 2 2 2 2" xfId="8805"/>
    <cellStyle name="Percent 5 2 2 2 2 2" xfId="15353"/>
    <cellStyle name="Percent 5 2 2 2 3" xfId="7086"/>
    <cellStyle name="Percent 5 2 2 2 3 2" xfId="13772"/>
    <cellStyle name="Percent 5 2 2 2 4" xfId="11987"/>
    <cellStyle name="Percent 5 2 2 3" xfId="5436"/>
    <cellStyle name="Percent 5 2 2 3 2" xfId="9179"/>
    <cellStyle name="Percent 5 2 2 3 2 2" xfId="15723"/>
    <cellStyle name="Percent 5 2 2 3 3" xfId="7460"/>
    <cellStyle name="Percent 5 2 2 3 3 2" xfId="14142"/>
    <cellStyle name="Percent 5 2 2 3 4" xfId="12357"/>
    <cellStyle name="Percent 5 2 2 4" xfId="5874"/>
    <cellStyle name="Percent 5 2 2 4 2" xfId="9615"/>
    <cellStyle name="Percent 5 2 2 4 2 2" xfId="16117"/>
    <cellStyle name="Percent 5 2 2 4 3" xfId="7896"/>
    <cellStyle name="Percent 5 2 2 4 3 2" xfId="14536"/>
    <cellStyle name="Percent 5 2 2 4 4" xfId="12767"/>
    <cellStyle name="Percent 5 2 2 5" xfId="10058"/>
    <cellStyle name="Percent 5 2 2 5 2" xfId="16539"/>
    <cellStyle name="Percent 5 2 2 6" xfId="8373"/>
    <cellStyle name="Percent 5 2 2 6 2" xfId="14930"/>
    <cellStyle name="Percent 5 2 2 7" xfId="6654"/>
    <cellStyle name="Percent 5 2 2 7 2" xfId="13344"/>
    <cellStyle name="Percent 5 2 2 8" xfId="11554"/>
    <cellStyle name="Percent 5 2 3" xfId="4812"/>
    <cellStyle name="Percent 5 2 3 2" xfId="8555"/>
    <cellStyle name="Percent 5 2 3 2 2" xfId="15107"/>
    <cellStyle name="Percent 5 2 3 3" xfId="6836"/>
    <cellStyle name="Percent 5 2 3 3 2" xfId="13526"/>
    <cellStyle name="Percent 5 2 3 4" xfId="11741"/>
    <cellStyle name="Percent 5 2 4" xfId="5239"/>
    <cellStyle name="Percent 5 2 4 2" xfId="8982"/>
    <cellStyle name="Percent 5 2 4 2 2" xfId="15526"/>
    <cellStyle name="Percent 5 2 4 3" xfId="7263"/>
    <cellStyle name="Percent 5 2 4 3 2" xfId="13945"/>
    <cellStyle name="Percent 5 2 4 4" xfId="12160"/>
    <cellStyle name="Percent 5 2 5" xfId="5672"/>
    <cellStyle name="Percent 5 2 5 2" xfId="9413"/>
    <cellStyle name="Percent 5 2 5 2 2" xfId="15920"/>
    <cellStyle name="Percent 5 2 5 3" xfId="7694"/>
    <cellStyle name="Percent 5 2 5 3 2" xfId="14339"/>
    <cellStyle name="Percent 5 2 5 4" xfId="12565"/>
    <cellStyle name="Percent 5 2 6" xfId="9802"/>
    <cellStyle name="Percent 5 2 6 2" xfId="16293"/>
    <cellStyle name="Percent 5 2 7" xfId="8135"/>
    <cellStyle name="Percent 5 2 7 2" xfId="14733"/>
    <cellStyle name="Percent 5 2 8" xfId="6417"/>
    <cellStyle name="Percent 5 2 8 2" xfId="13138"/>
    <cellStyle name="Percent 5 2 9" xfId="11348"/>
    <cellStyle name="Percent 5 3" xfId="4608"/>
    <cellStyle name="Percent 5 3 2" xfId="5063"/>
    <cellStyle name="Percent 5 3 2 2" xfId="8806"/>
    <cellStyle name="Percent 5 3 2 2 2" xfId="15354"/>
    <cellStyle name="Percent 5 3 2 3" xfId="7087"/>
    <cellStyle name="Percent 5 3 2 3 2" xfId="13773"/>
    <cellStyle name="Percent 5 3 2 4" xfId="11988"/>
    <cellStyle name="Percent 5 3 3" xfId="5435"/>
    <cellStyle name="Percent 5 3 3 2" xfId="9178"/>
    <cellStyle name="Percent 5 3 3 2 2" xfId="15722"/>
    <cellStyle name="Percent 5 3 3 3" xfId="7459"/>
    <cellStyle name="Percent 5 3 3 3 2" xfId="14141"/>
    <cellStyle name="Percent 5 3 3 4" xfId="12356"/>
    <cellStyle name="Percent 5 3 4" xfId="5873"/>
    <cellStyle name="Percent 5 3 4 2" xfId="9614"/>
    <cellStyle name="Percent 5 3 4 2 2" xfId="16116"/>
    <cellStyle name="Percent 5 3 4 3" xfId="7895"/>
    <cellStyle name="Percent 5 3 4 3 2" xfId="14535"/>
    <cellStyle name="Percent 5 3 4 4" xfId="12766"/>
    <cellStyle name="Percent 5 3 5" xfId="10059"/>
    <cellStyle name="Percent 5 3 5 2" xfId="16540"/>
    <cellStyle name="Percent 5 3 6" xfId="8372"/>
    <cellStyle name="Percent 5 3 6 2" xfId="14929"/>
    <cellStyle name="Percent 5 3 7" xfId="6653"/>
    <cellStyle name="Percent 5 3 7 2" xfId="13343"/>
    <cellStyle name="Percent 5 3 8" xfId="11553"/>
    <cellStyle name="Percent 5 4" xfId="4730"/>
    <cellStyle name="Percent 5 4 2" xfId="8474"/>
    <cellStyle name="Percent 5 4 2 2" xfId="15026"/>
    <cellStyle name="Percent 5 4 3" xfId="6755"/>
    <cellStyle name="Percent 5 4 3 2" xfId="13445"/>
    <cellStyle name="Percent 5 4 4" xfId="11659"/>
    <cellStyle name="Percent 5 5" xfId="5238"/>
    <cellStyle name="Percent 5 5 2" xfId="8981"/>
    <cellStyle name="Percent 5 5 2 2" xfId="15525"/>
    <cellStyle name="Percent 5 5 3" xfId="7262"/>
    <cellStyle name="Percent 5 5 3 2" xfId="13944"/>
    <cellStyle name="Percent 5 5 4" xfId="12159"/>
    <cellStyle name="Percent 5 6" xfId="5671"/>
    <cellStyle name="Percent 5 6 2" xfId="9412"/>
    <cellStyle name="Percent 5 6 2 2" xfId="15919"/>
    <cellStyle name="Percent 5 6 3" xfId="7693"/>
    <cellStyle name="Percent 5 6 3 2" xfId="14338"/>
    <cellStyle name="Percent 5 6 4" xfId="12564"/>
    <cellStyle name="Percent 5 7" xfId="9718"/>
    <cellStyle name="Percent 5 7 2" xfId="16211"/>
    <cellStyle name="Percent 5 8" xfId="8134"/>
    <cellStyle name="Percent 5 8 2" xfId="14732"/>
    <cellStyle name="Percent 5 9" xfId="6416"/>
    <cellStyle name="Percent 5 9 2" xfId="13137"/>
    <cellStyle name="Percent 6" xfId="4267"/>
    <cellStyle name="Percent 6 10" xfId="11349"/>
    <cellStyle name="Percent 6 2" xfId="4268"/>
    <cellStyle name="Percent 6 2 2" xfId="4611"/>
    <cellStyle name="Percent 6 2 2 2" xfId="5064"/>
    <cellStyle name="Percent 6 2 2 2 2" xfId="8807"/>
    <cellStyle name="Percent 6 2 2 2 2 2" xfId="15355"/>
    <cellStyle name="Percent 6 2 2 2 3" xfId="7088"/>
    <cellStyle name="Percent 6 2 2 2 3 2" xfId="13774"/>
    <cellStyle name="Percent 6 2 2 2 4" xfId="11989"/>
    <cellStyle name="Percent 6 2 2 3" xfId="5438"/>
    <cellStyle name="Percent 6 2 2 3 2" xfId="9181"/>
    <cellStyle name="Percent 6 2 2 3 2 2" xfId="15725"/>
    <cellStyle name="Percent 6 2 2 3 3" xfId="7462"/>
    <cellStyle name="Percent 6 2 2 3 3 2" xfId="14144"/>
    <cellStyle name="Percent 6 2 2 3 4" xfId="12359"/>
    <cellStyle name="Percent 6 2 2 4" xfId="5876"/>
    <cellStyle name="Percent 6 2 2 4 2" xfId="9617"/>
    <cellStyle name="Percent 6 2 2 4 2 2" xfId="16119"/>
    <cellStyle name="Percent 6 2 2 4 3" xfId="7898"/>
    <cellStyle name="Percent 6 2 2 4 3 2" xfId="14538"/>
    <cellStyle name="Percent 6 2 2 4 4" xfId="12769"/>
    <cellStyle name="Percent 6 2 2 5" xfId="10060"/>
    <cellStyle name="Percent 6 2 2 5 2" xfId="16541"/>
    <cellStyle name="Percent 6 2 2 6" xfId="8375"/>
    <cellStyle name="Percent 6 2 2 6 2" xfId="14932"/>
    <cellStyle name="Percent 6 2 2 7" xfId="6656"/>
    <cellStyle name="Percent 6 2 2 7 2" xfId="13346"/>
    <cellStyle name="Percent 6 2 2 8" xfId="11556"/>
    <cellStyle name="Percent 6 2 3" xfId="4783"/>
    <cellStyle name="Percent 6 2 3 2" xfId="8526"/>
    <cellStyle name="Percent 6 2 3 2 2" xfId="15078"/>
    <cellStyle name="Percent 6 2 3 3" xfId="6807"/>
    <cellStyle name="Percent 6 2 3 3 2" xfId="13497"/>
    <cellStyle name="Percent 6 2 3 4" xfId="11712"/>
    <cellStyle name="Percent 6 2 4" xfId="5241"/>
    <cellStyle name="Percent 6 2 4 2" xfId="8984"/>
    <cellStyle name="Percent 6 2 4 2 2" xfId="15528"/>
    <cellStyle name="Percent 6 2 4 3" xfId="7265"/>
    <cellStyle name="Percent 6 2 4 3 2" xfId="13947"/>
    <cellStyle name="Percent 6 2 4 4" xfId="12162"/>
    <cellStyle name="Percent 6 2 5" xfId="5674"/>
    <cellStyle name="Percent 6 2 5 2" xfId="9415"/>
    <cellStyle name="Percent 6 2 5 2 2" xfId="15922"/>
    <cellStyle name="Percent 6 2 5 3" xfId="7696"/>
    <cellStyle name="Percent 6 2 5 3 2" xfId="14341"/>
    <cellStyle name="Percent 6 2 5 4" xfId="12567"/>
    <cellStyle name="Percent 6 2 6" xfId="9773"/>
    <cellStyle name="Percent 6 2 6 2" xfId="16264"/>
    <cellStyle name="Percent 6 2 7" xfId="8137"/>
    <cellStyle name="Percent 6 2 7 2" xfId="14735"/>
    <cellStyle name="Percent 6 2 8" xfId="6419"/>
    <cellStyle name="Percent 6 2 8 2" xfId="13140"/>
    <cellStyle name="Percent 6 2 9" xfId="11350"/>
    <cellStyle name="Percent 6 3" xfId="4610"/>
    <cellStyle name="Percent 6 3 2" xfId="5065"/>
    <cellStyle name="Percent 6 3 2 2" xfId="8808"/>
    <cellStyle name="Percent 6 3 2 2 2" xfId="15356"/>
    <cellStyle name="Percent 6 3 2 3" xfId="7089"/>
    <cellStyle name="Percent 6 3 2 3 2" xfId="13775"/>
    <cellStyle name="Percent 6 3 2 4" xfId="11990"/>
    <cellStyle name="Percent 6 3 3" xfId="5437"/>
    <cellStyle name="Percent 6 3 3 2" xfId="9180"/>
    <cellStyle name="Percent 6 3 3 2 2" xfId="15724"/>
    <cellStyle name="Percent 6 3 3 3" xfId="7461"/>
    <cellStyle name="Percent 6 3 3 3 2" xfId="14143"/>
    <cellStyle name="Percent 6 3 3 4" xfId="12358"/>
    <cellStyle name="Percent 6 3 4" xfId="5875"/>
    <cellStyle name="Percent 6 3 4 2" xfId="9616"/>
    <cellStyle name="Percent 6 3 4 2 2" xfId="16118"/>
    <cellStyle name="Percent 6 3 4 3" xfId="7897"/>
    <cellStyle name="Percent 6 3 4 3 2" xfId="14537"/>
    <cellStyle name="Percent 6 3 4 4" xfId="12768"/>
    <cellStyle name="Percent 6 3 5" xfId="10061"/>
    <cellStyle name="Percent 6 3 5 2" xfId="16542"/>
    <cellStyle name="Percent 6 3 6" xfId="8374"/>
    <cellStyle name="Percent 6 3 6 2" xfId="14931"/>
    <cellStyle name="Percent 6 3 7" xfId="6655"/>
    <cellStyle name="Percent 6 3 7 2" xfId="13345"/>
    <cellStyle name="Percent 6 3 8" xfId="11555"/>
    <cellStyle name="Percent 6 4" xfId="4701"/>
    <cellStyle name="Percent 6 4 2" xfId="8445"/>
    <cellStyle name="Percent 6 4 2 2" xfId="14997"/>
    <cellStyle name="Percent 6 4 3" xfId="6726"/>
    <cellStyle name="Percent 6 4 3 2" xfId="13416"/>
    <cellStyle name="Percent 6 4 4" xfId="11630"/>
    <cellStyle name="Percent 6 5" xfId="5240"/>
    <cellStyle name="Percent 6 5 2" xfId="8983"/>
    <cellStyle name="Percent 6 5 2 2" xfId="15527"/>
    <cellStyle name="Percent 6 5 3" xfId="7264"/>
    <cellStyle name="Percent 6 5 3 2" xfId="13946"/>
    <cellStyle name="Percent 6 5 4" xfId="12161"/>
    <cellStyle name="Percent 6 6" xfId="5673"/>
    <cellStyle name="Percent 6 6 2" xfId="9414"/>
    <cellStyle name="Percent 6 6 2 2" xfId="15921"/>
    <cellStyle name="Percent 6 6 3" xfId="7695"/>
    <cellStyle name="Percent 6 6 3 2" xfId="14340"/>
    <cellStyle name="Percent 6 6 4" xfId="12566"/>
    <cellStyle name="Percent 6 7" xfId="9689"/>
    <cellStyle name="Percent 6 7 2" xfId="16182"/>
    <cellStyle name="Percent 6 8" xfId="8136"/>
    <cellStyle name="Percent 6 8 2" xfId="14734"/>
    <cellStyle name="Percent 6 9" xfId="6418"/>
    <cellStyle name="Percent 6 9 2" xfId="13139"/>
    <cellStyle name="Percent 7" xfId="4269"/>
    <cellStyle name="Percent 7 10" xfId="11351"/>
    <cellStyle name="Percent 7 2" xfId="4270"/>
    <cellStyle name="Percent 7 2 2" xfId="4613"/>
    <cellStyle name="Percent 7 2 2 2" xfId="5066"/>
    <cellStyle name="Percent 7 2 2 2 2" xfId="8809"/>
    <cellStyle name="Percent 7 2 2 2 2 2" xfId="15357"/>
    <cellStyle name="Percent 7 2 2 2 3" xfId="7090"/>
    <cellStyle name="Percent 7 2 2 2 3 2" xfId="13776"/>
    <cellStyle name="Percent 7 2 2 2 4" xfId="11991"/>
    <cellStyle name="Percent 7 2 2 3" xfId="5440"/>
    <cellStyle name="Percent 7 2 2 3 2" xfId="9183"/>
    <cellStyle name="Percent 7 2 2 3 2 2" xfId="15727"/>
    <cellStyle name="Percent 7 2 2 3 3" xfId="7464"/>
    <cellStyle name="Percent 7 2 2 3 3 2" xfId="14146"/>
    <cellStyle name="Percent 7 2 2 3 4" xfId="12361"/>
    <cellStyle name="Percent 7 2 2 4" xfId="5878"/>
    <cellStyle name="Percent 7 2 2 4 2" xfId="9619"/>
    <cellStyle name="Percent 7 2 2 4 2 2" xfId="16121"/>
    <cellStyle name="Percent 7 2 2 4 3" xfId="7900"/>
    <cellStyle name="Percent 7 2 2 4 3 2" xfId="14540"/>
    <cellStyle name="Percent 7 2 2 4 4" xfId="12771"/>
    <cellStyle name="Percent 7 2 2 5" xfId="10062"/>
    <cellStyle name="Percent 7 2 2 5 2" xfId="16543"/>
    <cellStyle name="Percent 7 2 2 6" xfId="8377"/>
    <cellStyle name="Percent 7 2 2 6 2" xfId="14934"/>
    <cellStyle name="Percent 7 2 2 7" xfId="6658"/>
    <cellStyle name="Percent 7 2 2 7 2" xfId="13348"/>
    <cellStyle name="Percent 7 2 2 8" xfId="11558"/>
    <cellStyle name="Percent 7 2 3" xfId="4786"/>
    <cellStyle name="Percent 7 2 3 2" xfId="8529"/>
    <cellStyle name="Percent 7 2 3 2 2" xfId="15081"/>
    <cellStyle name="Percent 7 2 3 3" xfId="6810"/>
    <cellStyle name="Percent 7 2 3 3 2" xfId="13500"/>
    <cellStyle name="Percent 7 2 3 4" xfId="11715"/>
    <cellStyle name="Percent 7 2 4" xfId="5243"/>
    <cellStyle name="Percent 7 2 4 2" xfId="8986"/>
    <cellStyle name="Percent 7 2 4 2 2" xfId="15530"/>
    <cellStyle name="Percent 7 2 4 3" xfId="7267"/>
    <cellStyle name="Percent 7 2 4 3 2" xfId="13949"/>
    <cellStyle name="Percent 7 2 4 4" xfId="12164"/>
    <cellStyle name="Percent 7 2 5" xfId="5676"/>
    <cellStyle name="Percent 7 2 5 2" xfId="9417"/>
    <cellStyle name="Percent 7 2 5 2 2" xfId="15924"/>
    <cellStyle name="Percent 7 2 5 3" xfId="7698"/>
    <cellStyle name="Percent 7 2 5 3 2" xfId="14343"/>
    <cellStyle name="Percent 7 2 5 4" xfId="12569"/>
    <cellStyle name="Percent 7 2 6" xfId="9776"/>
    <cellStyle name="Percent 7 2 6 2" xfId="16267"/>
    <cellStyle name="Percent 7 2 7" xfId="8139"/>
    <cellStyle name="Percent 7 2 7 2" xfId="14737"/>
    <cellStyle name="Percent 7 2 8" xfId="6421"/>
    <cellStyle name="Percent 7 2 8 2" xfId="13142"/>
    <cellStyle name="Percent 7 2 9" xfId="11352"/>
    <cellStyle name="Percent 7 3" xfId="4612"/>
    <cellStyle name="Percent 7 3 2" xfId="5067"/>
    <cellStyle name="Percent 7 3 2 2" xfId="8810"/>
    <cellStyle name="Percent 7 3 2 2 2" xfId="15358"/>
    <cellStyle name="Percent 7 3 2 3" xfId="7091"/>
    <cellStyle name="Percent 7 3 2 3 2" xfId="13777"/>
    <cellStyle name="Percent 7 3 2 4" xfId="11992"/>
    <cellStyle name="Percent 7 3 3" xfId="5439"/>
    <cellStyle name="Percent 7 3 3 2" xfId="9182"/>
    <cellStyle name="Percent 7 3 3 2 2" xfId="15726"/>
    <cellStyle name="Percent 7 3 3 3" xfId="7463"/>
    <cellStyle name="Percent 7 3 3 3 2" xfId="14145"/>
    <cellStyle name="Percent 7 3 3 4" xfId="12360"/>
    <cellStyle name="Percent 7 3 4" xfId="5877"/>
    <cellStyle name="Percent 7 3 4 2" xfId="9618"/>
    <cellStyle name="Percent 7 3 4 2 2" xfId="16120"/>
    <cellStyle name="Percent 7 3 4 3" xfId="7899"/>
    <cellStyle name="Percent 7 3 4 3 2" xfId="14539"/>
    <cellStyle name="Percent 7 3 4 4" xfId="12770"/>
    <cellStyle name="Percent 7 3 5" xfId="10063"/>
    <cellStyle name="Percent 7 3 5 2" xfId="16544"/>
    <cellStyle name="Percent 7 3 6" xfId="8376"/>
    <cellStyle name="Percent 7 3 6 2" xfId="14933"/>
    <cellStyle name="Percent 7 3 7" xfId="6657"/>
    <cellStyle name="Percent 7 3 7 2" xfId="13347"/>
    <cellStyle name="Percent 7 3 8" xfId="11557"/>
    <cellStyle name="Percent 7 4" xfId="4704"/>
    <cellStyle name="Percent 7 4 2" xfId="8448"/>
    <cellStyle name="Percent 7 4 2 2" xfId="15000"/>
    <cellStyle name="Percent 7 4 3" xfId="6729"/>
    <cellStyle name="Percent 7 4 3 2" xfId="13419"/>
    <cellStyle name="Percent 7 4 4" xfId="11633"/>
    <cellStyle name="Percent 7 5" xfId="5242"/>
    <cellStyle name="Percent 7 5 2" xfId="8985"/>
    <cellStyle name="Percent 7 5 2 2" xfId="15529"/>
    <cellStyle name="Percent 7 5 3" xfId="7266"/>
    <cellStyle name="Percent 7 5 3 2" xfId="13948"/>
    <cellStyle name="Percent 7 5 4" xfId="12163"/>
    <cellStyle name="Percent 7 6" xfId="5675"/>
    <cellStyle name="Percent 7 6 2" xfId="9416"/>
    <cellStyle name="Percent 7 6 2 2" xfId="15923"/>
    <cellStyle name="Percent 7 6 3" xfId="7697"/>
    <cellStyle name="Percent 7 6 3 2" xfId="14342"/>
    <cellStyle name="Percent 7 6 4" xfId="12568"/>
    <cellStyle name="Percent 7 7" xfId="9692"/>
    <cellStyle name="Percent 7 7 2" xfId="16185"/>
    <cellStyle name="Percent 7 8" xfId="8138"/>
    <cellStyle name="Percent 7 8 2" xfId="14736"/>
    <cellStyle name="Percent 7 9" xfId="6420"/>
    <cellStyle name="Percent 7 9 2" xfId="13141"/>
    <cellStyle name="Percent 8" xfId="4271"/>
    <cellStyle name="Percent 8 10" xfId="11353"/>
    <cellStyle name="Percent 8 2" xfId="4272"/>
    <cellStyle name="Percent 8 2 2" xfId="4615"/>
    <cellStyle name="Percent 8 2 2 2" xfId="5068"/>
    <cellStyle name="Percent 8 2 2 2 2" xfId="8811"/>
    <cellStyle name="Percent 8 2 2 2 2 2" xfId="15359"/>
    <cellStyle name="Percent 8 2 2 2 3" xfId="7092"/>
    <cellStyle name="Percent 8 2 2 2 3 2" xfId="13778"/>
    <cellStyle name="Percent 8 2 2 2 4" xfId="11993"/>
    <cellStyle name="Percent 8 2 2 3" xfId="5442"/>
    <cellStyle name="Percent 8 2 2 3 2" xfId="9185"/>
    <cellStyle name="Percent 8 2 2 3 2 2" xfId="15729"/>
    <cellStyle name="Percent 8 2 2 3 3" xfId="7466"/>
    <cellStyle name="Percent 8 2 2 3 3 2" xfId="14148"/>
    <cellStyle name="Percent 8 2 2 3 4" xfId="12363"/>
    <cellStyle name="Percent 8 2 2 4" xfId="5880"/>
    <cellStyle name="Percent 8 2 2 4 2" xfId="9621"/>
    <cellStyle name="Percent 8 2 2 4 2 2" xfId="16123"/>
    <cellStyle name="Percent 8 2 2 4 3" xfId="7902"/>
    <cellStyle name="Percent 8 2 2 4 3 2" xfId="14542"/>
    <cellStyle name="Percent 8 2 2 4 4" xfId="12773"/>
    <cellStyle name="Percent 8 2 2 5" xfId="10064"/>
    <cellStyle name="Percent 8 2 2 5 2" xfId="16545"/>
    <cellStyle name="Percent 8 2 2 6" xfId="8379"/>
    <cellStyle name="Percent 8 2 2 6 2" xfId="14936"/>
    <cellStyle name="Percent 8 2 2 7" xfId="6660"/>
    <cellStyle name="Percent 8 2 2 7 2" xfId="13350"/>
    <cellStyle name="Percent 8 2 2 8" xfId="11560"/>
    <cellStyle name="Percent 8 2 3" xfId="4788"/>
    <cellStyle name="Percent 8 2 3 2" xfId="8531"/>
    <cellStyle name="Percent 8 2 3 2 2" xfId="15083"/>
    <cellStyle name="Percent 8 2 3 3" xfId="6812"/>
    <cellStyle name="Percent 8 2 3 3 2" xfId="13502"/>
    <cellStyle name="Percent 8 2 3 4" xfId="11717"/>
    <cellStyle name="Percent 8 2 4" xfId="5245"/>
    <cellStyle name="Percent 8 2 4 2" xfId="8988"/>
    <cellStyle name="Percent 8 2 4 2 2" xfId="15532"/>
    <cellStyle name="Percent 8 2 4 3" xfId="7269"/>
    <cellStyle name="Percent 8 2 4 3 2" xfId="13951"/>
    <cellStyle name="Percent 8 2 4 4" xfId="12166"/>
    <cellStyle name="Percent 8 2 5" xfId="5678"/>
    <cellStyle name="Percent 8 2 5 2" xfId="9419"/>
    <cellStyle name="Percent 8 2 5 2 2" xfId="15926"/>
    <cellStyle name="Percent 8 2 5 3" xfId="7700"/>
    <cellStyle name="Percent 8 2 5 3 2" xfId="14345"/>
    <cellStyle name="Percent 8 2 5 4" xfId="12571"/>
    <cellStyle name="Percent 8 2 6" xfId="9778"/>
    <cellStyle name="Percent 8 2 6 2" xfId="16269"/>
    <cellStyle name="Percent 8 2 7" xfId="8141"/>
    <cellStyle name="Percent 8 2 7 2" xfId="14739"/>
    <cellStyle name="Percent 8 2 8" xfId="6423"/>
    <cellStyle name="Percent 8 2 8 2" xfId="13144"/>
    <cellStyle name="Percent 8 2 9" xfId="11354"/>
    <cellStyle name="Percent 8 3" xfId="4614"/>
    <cellStyle name="Percent 8 3 2" xfId="5069"/>
    <cellStyle name="Percent 8 3 2 2" xfId="8812"/>
    <cellStyle name="Percent 8 3 2 2 2" xfId="15360"/>
    <cellStyle name="Percent 8 3 2 3" xfId="7093"/>
    <cellStyle name="Percent 8 3 2 3 2" xfId="13779"/>
    <cellStyle name="Percent 8 3 2 4" xfId="11994"/>
    <cellStyle name="Percent 8 3 3" xfId="5441"/>
    <cellStyle name="Percent 8 3 3 2" xfId="9184"/>
    <cellStyle name="Percent 8 3 3 2 2" xfId="15728"/>
    <cellStyle name="Percent 8 3 3 3" xfId="7465"/>
    <cellStyle name="Percent 8 3 3 3 2" xfId="14147"/>
    <cellStyle name="Percent 8 3 3 4" xfId="12362"/>
    <cellStyle name="Percent 8 3 4" xfId="5879"/>
    <cellStyle name="Percent 8 3 4 2" xfId="9620"/>
    <cellStyle name="Percent 8 3 4 2 2" xfId="16122"/>
    <cellStyle name="Percent 8 3 4 3" xfId="7901"/>
    <cellStyle name="Percent 8 3 4 3 2" xfId="14541"/>
    <cellStyle name="Percent 8 3 4 4" xfId="12772"/>
    <cellStyle name="Percent 8 3 5" xfId="10065"/>
    <cellStyle name="Percent 8 3 5 2" xfId="16546"/>
    <cellStyle name="Percent 8 3 6" xfId="8378"/>
    <cellStyle name="Percent 8 3 6 2" xfId="14935"/>
    <cellStyle name="Percent 8 3 7" xfId="6659"/>
    <cellStyle name="Percent 8 3 7 2" xfId="13349"/>
    <cellStyle name="Percent 8 3 8" xfId="11559"/>
    <cellStyle name="Percent 8 4" xfId="4706"/>
    <cellStyle name="Percent 8 4 2" xfId="8450"/>
    <cellStyle name="Percent 8 4 2 2" xfId="15002"/>
    <cellStyle name="Percent 8 4 3" xfId="6731"/>
    <cellStyle name="Percent 8 4 3 2" xfId="13421"/>
    <cellStyle name="Percent 8 4 4" xfId="11635"/>
    <cellStyle name="Percent 8 5" xfId="5244"/>
    <cellStyle name="Percent 8 5 2" xfId="8987"/>
    <cellStyle name="Percent 8 5 2 2" xfId="15531"/>
    <cellStyle name="Percent 8 5 3" xfId="7268"/>
    <cellStyle name="Percent 8 5 3 2" xfId="13950"/>
    <cellStyle name="Percent 8 5 4" xfId="12165"/>
    <cellStyle name="Percent 8 6" xfId="5677"/>
    <cellStyle name="Percent 8 6 2" xfId="9418"/>
    <cellStyle name="Percent 8 6 2 2" xfId="15925"/>
    <cellStyle name="Percent 8 6 3" xfId="7699"/>
    <cellStyle name="Percent 8 6 3 2" xfId="14344"/>
    <cellStyle name="Percent 8 6 4" xfId="12570"/>
    <cellStyle name="Percent 8 7" xfId="9694"/>
    <cellStyle name="Percent 8 7 2" xfId="16187"/>
    <cellStyle name="Percent 8 8" xfId="8140"/>
    <cellStyle name="Percent 8 8 2" xfId="14738"/>
    <cellStyle name="Percent 8 9" xfId="6422"/>
    <cellStyle name="Percent 8 9 2" xfId="13143"/>
    <cellStyle name="Percent 9" xfId="4273"/>
    <cellStyle name="Percent 9 10" xfId="11355"/>
    <cellStyle name="Percent 9 2" xfId="4274"/>
    <cellStyle name="Percent 9 2 2" xfId="4617"/>
    <cellStyle name="Percent 9 2 2 2" xfId="5070"/>
    <cellStyle name="Percent 9 2 2 2 2" xfId="8813"/>
    <cellStyle name="Percent 9 2 2 2 2 2" xfId="15361"/>
    <cellStyle name="Percent 9 2 2 2 3" xfId="7094"/>
    <cellStyle name="Percent 9 2 2 2 3 2" xfId="13780"/>
    <cellStyle name="Percent 9 2 2 2 4" xfId="11995"/>
    <cellStyle name="Percent 9 2 2 3" xfId="5444"/>
    <cellStyle name="Percent 9 2 2 3 2" xfId="9187"/>
    <cellStyle name="Percent 9 2 2 3 2 2" xfId="15731"/>
    <cellStyle name="Percent 9 2 2 3 3" xfId="7468"/>
    <cellStyle name="Percent 9 2 2 3 3 2" xfId="14150"/>
    <cellStyle name="Percent 9 2 2 3 4" xfId="12365"/>
    <cellStyle name="Percent 9 2 2 4" xfId="5882"/>
    <cellStyle name="Percent 9 2 2 4 2" xfId="9623"/>
    <cellStyle name="Percent 9 2 2 4 2 2" xfId="16125"/>
    <cellStyle name="Percent 9 2 2 4 3" xfId="7904"/>
    <cellStyle name="Percent 9 2 2 4 3 2" xfId="14544"/>
    <cellStyle name="Percent 9 2 2 4 4" xfId="12775"/>
    <cellStyle name="Percent 9 2 2 5" xfId="10066"/>
    <cellStyle name="Percent 9 2 2 5 2" xfId="16547"/>
    <cellStyle name="Percent 9 2 2 6" xfId="8381"/>
    <cellStyle name="Percent 9 2 2 6 2" xfId="14938"/>
    <cellStyle name="Percent 9 2 2 7" xfId="6662"/>
    <cellStyle name="Percent 9 2 2 7 2" xfId="13352"/>
    <cellStyle name="Percent 9 2 2 8" xfId="11562"/>
    <cellStyle name="Percent 9 2 3" xfId="4789"/>
    <cellStyle name="Percent 9 2 3 2" xfId="8532"/>
    <cellStyle name="Percent 9 2 3 2 2" xfId="15084"/>
    <cellStyle name="Percent 9 2 3 3" xfId="6813"/>
    <cellStyle name="Percent 9 2 3 3 2" xfId="13503"/>
    <cellStyle name="Percent 9 2 3 4" xfId="11718"/>
    <cellStyle name="Percent 9 2 4" xfId="5247"/>
    <cellStyle name="Percent 9 2 4 2" xfId="8990"/>
    <cellStyle name="Percent 9 2 4 2 2" xfId="15534"/>
    <cellStyle name="Percent 9 2 4 3" xfId="7271"/>
    <cellStyle name="Percent 9 2 4 3 2" xfId="13953"/>
    <cellStyle name="Percent 9 2 4 4" xfId="12168"/>
    <cellStyle name="Percent 9 2 5" xfId="5680"/>
    <cellStyle name="Percent 9 2 5 2" xfId="9421"/>
    <cellStyle name="Percent 9 2 5 2 2" xfId="15928"/>
    <cellStyle name="Percent 9 2 5 3" xfId="7702"/>
    <cellStyle name="Percent 9 2 5 3 2" xfId="14347"/>
    <cellStyle name="Percent 9 2 5 4" xfId="12573"/>
    <cellStyle name="Percent 9 2 6" xfId="9779"/>
    <cellStyle name="Percent 9 2 6 2" xfId="16270"/>
    <cellStyle name="Percent 9 2 7" xfId="8143"/>
    <cellStyle name="Percent 9 2 7 2" xfId="14741"/>
    <cellStyle name="Percent 9 2 8" xfId="6425"/>
    <cellStyle name="Percent 9 2 8 2" xfId="13146"/>
    <cellStyle name="Percent 9 2 9" xfId="11356"/>
    <cellStyle name="Percent 9 3" xfId="4616"/>
    <cellStyle name="Percent 9 3 2" xfId="5071"/>
    <cellStyle name="Percent 9 3 2 2" xfId="8814"/>
    <cellStyle name="Percent 9 3 2 2 2" xfId="15362"/>
    <cellStyle name="Percent 9 3 2 3" xfId="7095"/>
    <cellStyle name="Percent 9 3 2 3 2" xfId="13781"/>
    <cellStyle name="Percent 9 3 2 4" xfId="11996"/>
    <cellStyle name="Percent 9 3 3" xfId="5443"/>
    <cellStyle name="Percent 9 3 3 2" xfId="9186"/>
    <cellStyle name="Percent 9 3 3 2 2" xfId="15730"/>
    <cellStyle name="Percent 9 3 3 3" xfId="7467"/>
    <cellStyle name="Percent 9 3 3 3 2" xfId="14149"/>
    <cellStyle name="Percent 9 3 3 4" xfId="12364"/>
    <cellStyle name="Percent 9 3 4" xfId="5881"/>
    <cellStyle name="Percent 9 3 4 2" xfId="9622"/>
    <cellStyle name="Percent 9 3 4 2 2" xfId="16124"/>
    <cellStyle name="Percent 9 3 4 3" xfId="7903"/>
    <cellStyle name="Percent 9 3 4 3 2" xfId="14543"/>
    <cellStyle name="Percent 9 3 4 4" xfId="12774"/>
    <cellStyle name="Percent 9 3 5" xfId="10067"/>
    <cellStyle name="Percent 9 3 5 2" xfId="16548"/>
    <cellStyle name="Percent 9 3 6" xfId="8380"/>
    <cellStyle name="Percent 9 3 6 2" xfId="14937"/>
    <cellStyle name="Percent 9 3 7" xfId="6661"/>
    <cellStyle name="Percent 9 3 7 2" xfId="13351"/>
    <cellStyle name="Percent 9 3 8" xfId="11561"/>
    <cellStyle name="Percent 9 4" xfId="4707"/>
    <cellStyle name="Percent 9 4 2" xfId="8451"/>
    <cellStyle name="Percent 9 4 2 2" xfId="15003"/>
    <cellStyle name="Percent 9 4 3" xfId="6732"/>
    <cellStyle name="Percent 9 4 3 2" xfId="13422"/>
    <cellStyle name="Percent 9 4 4" xfId="11636"/>
    <cellStyle name="Percent 9 5" xfId="5246"/>
    <cellStyle name="Percent 9 5 2" xfId="8989"/>
    <cellStyle name="Percent 9 5 2 2" xfId="15533"/>
    <cellStyle name="Percent 9 5 3" xfId="7270"/>
    <cellStyle name="Percent 9 5 3 2" xfId="13952"/>
    <cellStyle name="Percent 9 5 4" xfId="12167"/>
    <cellStyle name="Percent 9 6" xfId="5679"/>
    <cellStyle name="Percent 9 6 2" xfId="9420"/>
    <cellStyle name="Percent 9 6 2 2" xfId="15927"/>
    <cellStyle name="Percent 9 6 3" xfId="7701"/>
    <cellStyle name="Percent 9 6 3 2" xfId="14346"/>
    <cellStyle name="Percent 9 6 4" xfId="12572"/>
    <cellStyle name="Percent 9 7" xfId="9695"/>
    <cellStyle name="Percent 9 7 2" xfId="16188"/>
    <cellStyle name="Percent 9 8" xfId="8142"/>
    <cellStyle name="Percent 9 8 2" xfId="14740"/>
    <cellStyle name="Percent 9 9" xfId="6424"/>
    <cellStyle name="Percent 9 9 2" xfId="13145"/>
    <cellStyle name="Percent2" xfId="4275"/>
    <cellStyle name="percnt" xfId="4276"/>
    <cellStyle name="PGavStandard" xfId="4277"/>
    <cellStyle name="phasing" xfId="4278"/>
    <cellStyle name="point variable" xfId="4279"/>
    <cellStyle name="Print" xfId="4280"/>
    <cellStyle name="RangeName" xfId="4281"/>
    <cellStyle name="Ratio" xfId="4282"/>
    <cellStyle name="RISKbigPercent" xfId="4283"/>
    <cellStyle name="RISKblandrEdge" xfId="4284"/>
    <cellStyle name="RISKblCorner" xfId="4285"/>
    <cellStyle name="RISKbottomEdge" xfId="4286"/>
    <cellStyle name="RISKbrCorner" xfId="4287"/>
    <cellStyle name="RISKdarkBoxed" xfId="4288"/>
    <cellStyle name="RISKdarkBoxed 2" xfId="4289"/>
    <cellStyle name="RISKdarkBoxed 2 2" xfId="5474"/>
    <cellStyle name="RISKdarkBoxed 2 2 2" xfId="9217"/>
    <cellStyle name="RISKdarkBoxed 2 2 2 2" xfId="6228"/>
    <cellStyle name="RISKdarkBoxed 2 2 2 2 2" xfId="12953"/>
    <cellStyle name="RISKdarkBoxed 2 2 3" xfId="7498"/>
    <cellStyle name="RISKdarkBoxed 2 3" xfId="8146"/>
    <cellStyle name="RISKdarkBoxed 2 3 2" xfId="6169"/>
    <cellStyle name="RISKdarkBoxed 2 3 2 2" xfId="12894"/>
    <cellStyle name="RISKdarkBoxed 2 4" xfId="6427"/>
    <cellStyle name="RISKdarkBoxed 3" xfId="5473"/>
    <cellStyle name="RISKdarkBoxed 3 2" xfId="9216"/>
    <cellStyle name="RISKdarkBoxed 3 2 2" xfId="6227"/>
    <cellStyle name="RISKdarkBoxed 3 2 2 2" xfId="12952"/>
    <cellStyle name="RISKdarkBoxed 3 3" xfId="7497"/>
    <cellStyle name="RISKdarkBoxed 4" xfId="8145"/>
    <cellStyle name="RISKdarkBoxed 4 2" xfId="6168"/>
    <cellStyle name="RISKdarkBoxed 4 2 2" xfId="12893"/>
    <cellStyle name="RISKdarkBoxed 5" xfId="6426"/>
    <cellStyle name="RISKdarkShade" xfId="4290"/>
    <cellStyle name="RISKdbottomEdge" xfId="4291"/>
    <cellStyle name="RISKdrightEdge" xfId="4292"/>
    <cellStyle name="RISKdurationTime" xfId="4293"/>
    <cellStyle name="RISKinNumber" xfId="4294"/>
    <cellStyle name="RISKlandrEdge" xfId="4295"/>
    <cellStyle name="RISKleftEdge" xfId="4296"/>
    <cellStyle name="RISKlightBoxed" xfId="4297"/>
    <cellStyle name="RISKlightBoxed 2" xfId="10141"/>
    <cellStyle name="RISKltandbEdge" xfId="4298"/>
    <cellStyle name="RISKltandbEdge 2" xfId="4299"/>
    <cellStyle name="RISKltandbEdge 2 2" xfId="5476"/>
    <cellStyle name="RISKltandbEdge 2 2 2" xfId="9219"/>
    <cellStyle name="RISKltandbEdge 2 2 2 2" xfId="6230"/>
    <cellStyle name="RISKltandbEdge 2 2 2 2 2" xfId="12955"/>
    <cellStyle name="RISKltandbEdge 2 2 3" xfId="7500"/>
    <cellStyle name="RISKltandbEdge 2 3" xfId="8148"/>
    <cellStyle name="RISKltandbEdge 2 3 2" xfId="6171"/>
    <cellStyle name="RISKltandbEdge 2 3 2 2" xfId="12896"/>
    <cellStyle name="RISKltandbEdge 2 4" xfId="6429"/>
    <cellStyle name="RISKltandbEdge 3" xfId="5475"/>
    <cellStyle name="RISKltandbEdge 3 2" xfId="9218"/>
    <cellStyle name="RISKltandbEdge 3 2 2" xfId="6229"/>
    <cellStyle name="RISKltandbEdge 3 2 2 2" xfId="12954"/>
    <cellStyle name="RISKltandbEdge 3 3" xfId="7499"/>
    <cellStyle name="RISKltandbEdge 4" xfId="8147"/>
    <cellStyle name="RISKltandbEdge 4 2" xfId="6170"/>
    <cellStyle name="RISKltandbEdge 4 2 2" xfId="12895"/>
    <cellStyle name="RISKltandbEdge 5" xfId="6428"/>
    <cellStyle name="RISKnormBoxed" xfId="4300"/>
    <cellStyle name="RISKnormBoxed 2" xfId="10142"/>
    <cellStyle name="RISKnormCenter" xfId="4301"/>
    <cellStyle name="RISKnormHeading" xfId="4302"/>
    <cellStyle name="RISKnormItal" xfId="4303"/>
    <cellStyle name="RISKnormLabel" xfId="4304"/>
    <cellStyle name="RISKnormShade" xfId="4305"/>
    <cellStyle name="RISKnormTitle" xfId="4306"/>
    <cellStyle name="RISKoutNumber" xfId="4307"/>
    <cellStyle name="RISKrightEdge" xfId="4308"/>
    <cellStyle name="RISKrtandbEdge" xfId="4309"/>
    <cellStyle name="RISKrtandbEdge 2" xfId="4310"/>
    <cellStyle name="RISKrtandbEdge 2 2" xfId="5478"/>
    <cellStyle name="RISKrtandbEdge 2 2 2" xfId="9221"/>
    <cellStyle name="RISKrtandbEdge 2 2 2 2" xfId="6232"/>
    <cellStyle name="RISKrtandbEdge 2 2 2 2 2" xfId="12957"/>
    <cellStyle name="RISKrtandbEdge 2 2 3" xfId="7502"/>
    <cellStyle name="RISKrtandbEdge 2 3" xfId="8150"/>
    <cellStyle name="RISKrtandbEdge 2 3 2" xfId="6173"/>
    <cellStyle name="RISKrtandbEdge 2 3 2 2" xfId="12898"/>
    <cellStyle name="RISKrtandbEdge 2 4" xfId="6431"/>
    <cellStyle name="RISKrtandbEdge 3" xfId="5477"/>
    <cellStyle name="RISKrtandbEdge 3 2" xfId="9220"/>
    <cellStyle name="RISKrtandbEdge 3 2 2" xfId="6231"/>
    <cellStyle name="RISKrtandbEdge 3 2 2 2" xfId="12956"/>
    <cellStyle name="RISKrtandbEdge 3 3" xfId="7501"/>
    <cellStyle name="RISKrtandbEdge 4" xfId="8149"/>
    <cellStyle name="RISKrtandbEdge 4 2" xfId="6172"/>
    <cellStyle name="RISKrtandbEdge 4 2 2" xfId="12897"/>
    <cellStyle name="RISKrtandbEdge 5" xfId="6430"/>
    <cellStyle name="RISKssTime" xfId="4311"/>
    <cellStyle name="RISKtandbEdge" xfId="4312"/>
    <cellStyle name="RISKtandbEdge 2" xfId="4313"/>
    <cellStyle name="RISKtandbEdge 2 2" xfId="5480"/>
    <cellStyle name="RISKtandbEdge 2 2 2" xfId="9223"/>
    <cellStyle name="RISKtandbEdge 2 2 2 2" xfId="6234"/>
    <cellStyle name="RISKtandbEdge 2 2 2 2 2" xfId="12959"/>
    <cellStyle name="RISKtandbEdge 2 2 3" xfId="7504"/>
    <cellStyle name="RISKtandbEdge 2 3" xfId="8152"/>
    <cellStyle name="RISKtandbEdge 2 3 2" xfId="6175"/>
    <cellStyle name="RISKtandbEdge 2 3 2 2" xfId="12900"/>
    <cellStyle name="RISKtandbEdge 2 4" xfId="6433"/>
    <cellStyle name="RISKtandbEdge 3" xfId="5479"/>
    <cellStyle name="RISKtandbEdge 3 2" xfId="9222"/>
    <cellStyle name="RISKtandbEdge 3 2 2" xfId="6233"/>
    <cellStyle name="RISKtandbEdge 3 2 2 2" xfId="12958"/>
    <cellStyle name="RISKtandbEdge 3 3" xfId="7503"/>
    <cellStyle name="RISKtandbEdge 4" xfId="8151"/>
    <cellStyle name="RISKtandbEdge 4 2" xfId="6174"/>
    <cellStyle name="RISKtandbEdge 4 2 2" xfId="12899"/>
    <cellStyle name="RISKtandbEdge 5" xfId="6432"/>
    <cellStyle name="RISKtlandrEdge" xfId="4314"/>
    <cellStyle name="RISKtlandrEdge 2" xfId="4315"/>
    <cellStyle name="RISKtlandrEdge 2 2" xfId="5482"/>
    <cellStyle name="RISKtlandrEdge 2 2 2" xfId="9225"/>
    <cellStyle name="RISKtlandrEdge 2 2 2 2" xfId="6236"/>
    <cellStyle name="RISKtlandrEdge 2 2 2 2 2" xfId="12961"/>
    <cellStyle name="RISKtlandrEdge 2 2 3" xfId="7506"/>
    <cellStyle name="RISKtlandrEdge 2 3" xfId="8154"/>
    <cellStyle name="RISKtlandrEdge 2 3 2" xfId="6177"/>
    <cellStyle name="RISKtlandrEdge 2 3 2 2" xfId="12902"/>
    <cellStyle name="RISKtlandrEdge 2 4" xfId="6435"/>
    <cellStyle name="RISKtlandrEdge 3" xfId="5481"/>
    <cellStyle name="RISKtlandrEdge 3 2" xfId="9224"/>
    <cellStyle name="RISKtlandrEdge 3 2 2" xfId="6235"/>
    <cellStyle name="RISKtlandrEdge 3 2 2 2" xfId="12960"/>
    <cellStyle name="RISKtlandrEdge 3 3" xfId="7505"/>
    <cellStyle name="RISKtlandrEdge 4" xfId="8153"/>
    <cellStyle name="RISKtlandrEdge 4 2" xfId="6176"/>
    <cellStyle name="RISKtlandrEdge 4 2 2" xfId="12901"/>
    <cellStyle name="RISKtlandrEdge 5" xfId="6434"/>
    <cellStyle name="RISKtlCorner" xfId="4316"/>
    <cellStyle name="RISKtlCorner 2" xfId="4317"/>
    <cellStyle name="RISKtlCorner 2 2" xfId="5484"/>
    <cellStyle name="RISKtlCorner 2 2 2" xfId="9227"/>
    <cellStyle name="RISKtlCorner 2 2 2 2" xfId="6238"/>
    <cellStyle name="RISKtlCorner 2 2 2 2 2" xfId="12963"/>
    <cellStyle name="RISKtlCorner 2 2 3" xfId="7508"/>
    <cellStyle name="RISKtlCorner 2 3" xfId="8156"/>
    <cellStyle name="RISKtlCorner 2 3 2" xfId="6179"/>
    <cellStyle name="RISKtlCorner 2 3 2 2" xfId="12904"/>
    <cellStyle name="RISKtlCorner 2 4" xfId="6437"/>
    <cellStyle name="RISKtlCorner 3" xfId="5483"/>
    <cellStyle name="RISKtlCorner 3 2" xfId="9226"/>
    <cellStyle name="RISKtlCorner 3 2 2" xfId="6237"/>
    <cellStyle name="RISKtlCorner 3 2 2 2" xfId="12962"/>
    <cellStyle name="RISKtlCorner 3 3" xfId="7507"/>
    <cellStyle name="RISKtlCorner 4" xfId="8155"/>
    <cellStyle name="RISKtlCorner 4 2" xfId="6178"/>
    <cellStyle name="RISKtlCorner 4 2 2" xfId="12903"/>
    <cellStyle name="RISKtlCorner 5" xfId="6436"/>
    <cellStyle name="RISKtopEdge" xfId="4318"/>
    <cellStyle name="RISKtopEdge 2" xfId="4319"/>
    <cellStyle name="RISKtopEdge 2 2" xfId="5486"/>
    <cellStyle name="RISKtopEdge 2 2 2" xfId="9229"/>
    <cellStyle name="RISKtopEdge 2 2 2 2" xfId="6240"/>
    <cellStyle name="RISKtopEdge 2 2 2 2 2" xfId="12965"/>
    <cellStyle name="RISKtopEdge 2 2 3" xfId="7510"/>
    <cellStyle name="RISKtopEdge 2 3" xfId="8158"/>
    <cellStyle name="RISKtopEdge 2 3 2" xfId="6181"/>
    <cellStyle name="RISKtopEdge 2 3 2 2" xfId="12906"/>
    <cellStyle name="RISKtopEdge 2 4" xfId="6439"/>
    <cellStyle name="RISKtopEdge 3" xfId="5485"/>
    <cellStyle name="RISKtopEdge 3 2" xfId="9228"/>
    <cellStyle name="RISKtopEdge 3 2 2" xfId="6239"/>
    <cellStyle name="RISKtopEdge 3 2 2 2" xfId="12964"/>
    <cellStyle name="RISKtopEdge 3 3" xfId="7509"/>
    <cellStyle name="RISKtopEdge 4" xfId="8157"/>
    <cellStyle name="RISKtopEdge 4 2" xfId="6180"/>
    <cellStyle name="RISKtopEdge 4 2 2" xfId="12905"/>
    <cellStyle name="RISKtopEdge 5" xfId="6438"/>
    <cellStyle name="RISKtrCorner" xfId="4320"/>
    <cellStyle name="RISKtrCorner 2" xfId="4321"/>
    <cellStyle name="RISKtrCorner 2 2" xfId="5488"/>
    <cellStyle name="RISKtrCorner 2 2 2" xfId="9231"/>
    <cellStyle name="RISKtrCorner 2 2 2 2" xfId="6242"/>
    <cellStyle name="RISKtrCorner 2 2 2 2 2" xfId="12967"/>
    <cellStyle name="RISKtrCorner 2 2 3" xfId="7512"/>
    <cellStyle name="RISKtrCorner 2 3" xfId="8160"/>
    <cellStyle name="RISKtrCorner 2 3 2" xfId="6183"/>
    <cellStyle name="RISKtrCorner 2 3 2 2" xfId="12908"/>
    <cellStyle name="RISKtrCorner 2 4" xfId="6441"/>
    <cellStyle name="RISKtrCorner 3" xfId="5487"/>
    <cellStyle name="RISKtrCorner 3 2" xfId="9230"/>
    <cellStyle name="RISKtrCorner 3 2 2" xfId="6241"/>
    <cellStyle name="RISKtrCorner 3 2 2 2" xfId="12966"/>
    <cellStyle name="RISKtrCorner 3 3" xfId="7511"/>
    <cellStyle name="RISKtrCorner 4" xfId="8159"/>
    <cellStyle name="RISKtrCorner 4 2" xfId="6182"/>
    <cellStyle name="RISKtrCorner 4 2 2" xfId="12907"/>
    <cellStyle name="RISKtrCorner 5" xfId="6440"/>
    <cellStyle name="Sect_Title" xfId="4322"/>
    <cellStyle name="Section Heading" xfId="4323"/>
    <cellStyle name="Section Title no wrap" xfId="4324"/>
    <cellStyle name="Section Title wrap" xfId="4325"/>
    <cellStyle name="sheet background" xfId="4326"/>
    <cellStyle name="Sheet Title" xfId="4327"/>
    <cellStyle name="Sheet_Title" xfId="4328"/>
    <cellStyle name="Sous-Total" xfId="4329"/>
    <cellStyle name="Standard_RESULTS" xfId="4330"/>
    <cellStyle name="Std_%" xfId="4331"/>
    <cellStyle name="String point input" xfId="4332"/>
    <cellStyle name="stu" xfId="4333"/>
    <cellStyle name="Style 1" xfId="4334"/>
    <cellStyle name="Sub Heading 1" xfId="4335"/>
    <cellStyle name="Sub Heading 2" xfId="4336"/>
    <cellStyle name="Sub Heading 3" xfId="4337"/>
    <cellStyle name="Sub_sub_title" xfId="4338"/>
    <cellStyle name="Subheading" xfId="4339"/>
    <cellStyle name="SubHeading1" xfId="4340"/>
    <cellStyle name="SubHeading2" xfId="4341"/>
    <cellStyle name="Subsection Heading" xfId="4342"/>
    <cellStyle name="Sub-section heading" xfId="4343"/>
    <cellStyle name="subtitle" xfId="4344"/>
    <cellStyle name="subtotal" xfId="4345"/>
    <cellStyle name="Sub-Total" xfId="4346"/>
    <cellStyle name="subtotal 10" xfId="7977"/>
    <cellStyle name="Sub-Total 10" xfId="7967"/>
    <cellStyle name="subtotal 10 2" xfId="6139"/>
    <cellStyle name="Sub-Total 10 2" xfId="6131"/>
    <cellStyle name="subtotal 10 2 2" xfId="12864"/>
    <cellStyle name="Sub-Total 10 2 2" xfId="12856"/>
    <cellStyle name="subtotal 11" xfId="7968"/>
    <cellStyle name="Sub-Total 11" xfId="7973"/>
    <cellStyle name="subtotal 11 2" xfId="6132"/>
    <cellStyle name="Sub-Total 11 2" xfId="6135"/>
    <cellStyle name="subtotal 11 2 2" xfId="12857"/>
    <cellStyle name="Sub-Total 11 2 2" xfId="12860"/>
    <cellStyle name="subtotal 12" xfId="7972"/>
    <cellStyle name="Sub-Total 12" xfId="10103"/>
    <cellStyle name="subtotal 12 2" xfId="6134"/>
    <cellStyle name="Sub-Total 12 2" xfId="10205"/>
    <cellStyle name="subtotal 12 2 2" xfId="12859"/>
    <cellStyle name="Sub-Total 12 2 2" xfId="16590"/>
    <cellStyle name="subtotal 13" xfId="10093"/>
    <cellStyle name="Sub-Total 13" xfId="6443"/>
    <cellStyle name="subtotal 13 2" xfId="10195"/>
    <cellStyle name="subtotal 13 2 2" xfId="16580"/>
    <cellStyle name="subtotal 14" xfId="6442"/>
    <cellStyle name="Sub-Total 14" xfId="10144"/>
    <cellStyle name="subtotal 15" xfId="10143"/>
    <cellStyle name="Sub-Total 15" xfId="5946"/>
    <cellStyle name="Sub-Total 15 2" xfId="12834"/>
    <cellStyle name="subtotal 16" xfId="5945"/>
    <cellStyle name="Sub-Total 16" xfId="11358"/>
    <cellStyle name="subtotal 16 2" xfId="12833"/>
    <cellStyle name="subtotal 17" xfId="11357"/>
    <cellStyle name="Sub-Total 17" xfId="16638"/>
    <cellStyle name="subtotal 18" xfId="16637"/>
    <cellStyle name="subtotal 2" xfId="4347"/>
    <cellStyle name="Sub-Total 2" xfId="4348"/>
    <cellStyle name="subtotal 2 10" xfId="8163"/>
    <cellStyle name="Sub-Total 2 10" xfId="7974"/>
    <cellStyle name="subtotal 2 10 2" xfId="6186"/>
    <cellStyle name="Sub-Total 2 10 2" xfId="6136"/>
    <cellStyle name="subtotal 2 10 2 2" xfId="12911"/>
    <cellStyle name="Sub-Total 2 10 2 2" xfId="12861"/>
    <cellStyle name="subtotal 2 11" xfId="6444"/>
    <cellStyle name="Sub-Total 2 11" xfId="10083"/>
    <cellStyle name="subtotal 2 11 2" xfId="13147"/>
    <cellStyle name="Sub-Total 2 11 2" xfId="10185"/>
    <cellStyle name="Sub-Total 2 11 2 2" xfId="16570"/>
    <cellStyle name="subtotal 2 12" xfId="10145"/>
    <cellStyle name="Sub-Total 2 12" xfId="6445"/>
    <cellStyle name="subtotal 2 12 2" xfId="16552"/>
    <cellStyle name="Sub-Total 2 13" xfId="10146"/>
    <cellStyle name="Sub-Total 2 14" xfId="5947"/>
    <cellStyle name="Sub-Total 2 14 2" xfId="12835"/>
    <cellStyle name="Sub-Total 2 15" xfId="11359"/>
    <cellStyle name="Sub-Total 2 16" xfId="16641"/>
    <cellStyle name="subtotal 2 2" xfId="4349"/>
    <cellStyle name="Sub-Total 2 2" xfId="5492"/>
    <cellStyle name="subtotal 2 2 10" xfId="7975"/>
    <cellStyle name="subtotal 2 2 10 2" xfId="6137"/>
    <cellStyle name="subtotal 2 2 10 2 2" xfId="12862"/>
    <cellStyle name="subtotal 2 2 11" xfId="10091"/>
    <cellStyle name="subtotal 2 2 11 2" xfId="10193"/>
    <cellStyle name="subtotal 2 2 11 2 2" xfId="16578"/>
    <cellStyle name="subtotal 2 2 12" xfId="6446"/>
    <cellStyle name="subtotal 2 2 13" xfId="10147"/>
    <cellStyle name="subtotal 2 2 14" xfId="5948"/>
    <cellStyle name="subtotal 2 2 14 2" xfId="12836"/>
    <cellStyle name="subtotal 2 2 15" xfId="11360"/>
    <cellStyle name="subtotal 2 2 16" xfId="16649"/>
    <cellStyle name="subtotal 2 2 2" xfId="5493"/>
    <cellStyle name="Sub-Total 2 2 2" xfId="9235"/>
    <cellStyle name="subtotal 2 2 2 2" xfId="9236"/>
    <cellStyle name="Sub-Total 2 2 2 2" xfId="6246"/>
    <cellStyle name="subtotal 2 2 2 2 2" xfId="6247"/>
    <cellStyle name="Sub-Total 2 2 2 2 2" xfId="12971"/>
    <cellStyle name="subtotal 2 2 2 2 2 2" xfId="12972"/>
    <cellStyle name="subtotal 2 2 2 3" xfId="7517"/>
    <cellStyle name="subtotal 2 2 2 4" xfId="10162"/>
    <cellStyle name="subtotal 2 2 2 5" xfId="12398"/>
    <cellStyle name="subtotal 2 2 3" xfId="5684"/>
    <cellStyle name="Sub-Total 2 2 3" xfId="7516"/>
    <cellStyle name="subtotal 2 2 3 2" xfId="9425"/>
    <cellStyle name="subtotal 2 2 3 2 2" xfId="6267"/>
    <cellStyle name="subtotal 2 2 3 2 2 2" xfId="12992"/>
    <cellStyle name="subtotal 2 2 3 3" xfId="7706"/>
    <cellStyle name="subtotal 2 2 3 4" xfId="10170"/>
    <cellStyle name="subtotal 2 2 3 5" xfId="12577"/>
    <cellStyle name="subtotal 2 2 4" xfId="9805"/>
    <cellStyle name="Sub-Total 2 2 4" xfId="10161"/>
    <cellStyle name="subtotal 2 2 4 2" xfId="10119"/>
    <cellStyle name="subtotal 2 2 4 2 2" xfId="10221"/>
    <cellStyle name="subtotal 2 2 4 2 2 2" xfId="16606"/>
    <cellStyle name="subtotal 2 2 4 3" xfId="6367"/>
    <cellStyle name="subtotal 2 2 4 3 2" xfId="13090"/>
    <cellStyle name="subtotal 2 2 5" xfId="10073"/>
    <cellStyle name="Sub-Total 2 2 5" xfId="12397"/>
    <cellStyle name="subtotal 2 2 5 2" xfId="10134"/>
    <cellStyle name="subtotal 2 2 5 2 2" xfId="10236"/>
    <cellStyle name="subtotal 2 2 5 2 2 2" xfId="16621"/>
    <cellStyle name="subtotal 2 2 5 3" xfId="10175"/>
    <cellStyle name="subtotal 2 2 5 3 2" xfId="16560"/>
    <cellStyle name="subtotal 2 2 6" xfId="8165"/>
    <cellStyle name="subtotal 2 2 6 2" xfId="6188"/>
    <cellStyle name="subtotal 2 2 6 2 2" xfId="12913"/>
    <cellStyle name="subtotal 2 2 7" xfId="10080"/>
    <cellStyle name="subtotal 2 2 7 2" xfId="10182"/>
    <cellStyle name="subtotal 2 2 7 2 2" xfId="16567"/>
    <cellStyle name="subtotal 2 2 8" xfId="7980"/>
    <cellStyle name="subtotal 2 2 8 2" xfId="6142"/>
    <cellStyle name="subtotal 2 2 8 2 2" xfId="12867"/>
    <cellStyle name="subtotal 2 2 9" xfId="7965"/>
    <cellStyle name="subtotal 2 2 9 2" xfId="6129"/>
    <cellStyle name="subtotal 2 2 9 2 2" xfId="12854"/>
    <cellStyle name="subtotal 2 3" xfId="4663"/>
    <cellStyle name="Sub-Total 2 3" xfId="5683"/>
    <cellStyle name="subtotal 2 3 2" xfId="5506"/>
    <cellStyle name="Sub-Total 2 3 2" xfId="9424"/>
    <cellStyle name="subtotal 2 3 2 10" xfId="6120"/>
    <cellStyle name="subtotal 2 3 2 10 2" xfId="12845"/>
    <cellStyle name="subtotal 2 3 2 11" xfId="12400"/>
    <cellStyle name="subtotal 2 3 2 2" xfId="9248"/>
    <cellStyle name="Sub-Total 2 3 2 2" xfId="6266"/>
    <cellStyle name="subtotal 2 3 2 2 2" xfId="6259"/>
    <cellStyle name="Sub-Total 2 3 2 2 2" xfId="12991"/>
    <cellStyle name="subtotal 2 3 2 2 2 2" xfId="12984"/>
    <cellStyle name="subtotal 2 3 2 3" xfId="10097"/>
    <cellStyle name="subtotal 2 3 2 3 2" xfId="10199"/>
    <cellStyle name="subtotal 2 3 2 3 2 2" xfId="16584"/>
    <cellStyle name="subtotal 2 3 2 4" xfId="7995"/>
    <cellStyle name="subtotal 2 3 2 4 2" xfId="6151"/>
    <cellStyle name="subtotal 2 3 2 4 2 2" xfId="12876"/>
    <cellStyle name="subtotal 2 3 2 5" xfId="7963"/>
    <cellStyle name="subtotal 2 3 2 5 2" xfId="6127"/>
    <cellStyle name="subtotal 2 3 2 5 2 2" xfId="12852"/>
    <cellStyle name="subtotal 2 3 2 6" xfId="8144"/>
    <cellStyle name="subtotal 2 3 2 6 2" xfId="6167"/>
    <cellStyle name="subtotal 2 3 2 6 2 2" xfId="12892"/>
    <cellStyle name="subtotal 2 3 2 7" xfId="10094"/>
    <cellStyle name="subtotal 2 3 2 7 2" xfId="10196"/>
    <cellStyle name="subtotal 2 3 2 7 2 2" xfId="16581"/>
    <cellStyle name="subtotal 2 3 2 8" xfId="7529"/>
    <cellStyle name="subtotal 2 3 2 9" xfId="10164"/>
    <cellStyle name="subtotal 2 3 3" xfId="9840"/>
    <cellStyle name="Sub-Total 2 3 3" xfId="7705"/>
    <cellStyle name="subtotal 2 3 3 2" xfId="10125"/>
    <cellStyle name="subtotal 2 3 3 2 2" xfId="10227"/>
    <cellStyle name="subtotal 2 3 3 2 2 2" xfId="16612"/>
    <cellStyle name="subtotal 2 3 3 3" xfId="6374"/>
    <cellStyle name="subtotal 2 3 3 3 2" xfId="13095"/>
    <cellStyle name="subtotal 2 3 4" xfId="8410"/>
    <cellStyle name="Sub-Total 2 3 4" xfId="10169"/>
    <cellStyle name="subtotal 2 3 4 2" xfId="6208"/>
    <cellStyle name="subtotal 2 3 4 2 2" xfId="12933"/>
    <cellStyle name="subtotal 2 3 5" xfId="6691"/>
    <cellStyle name="Sub-Total 2 3 5" xfId="12576"/>
    <cellStyle name="subtotal 2 3 5 2" xfId="13381"/>
    <cellStyle name="subtotal 2 3 6" xfId="10153"/>
    <cellStyle name="subtotal 2 3 6 2" xfId="16553"/>
    <cellStyle name="subtotal 2 4" xfId="4664"/>
    <cellStyle name="Sub-Total 2 4" xfId="9743"/>
    <cellStyle name="subtotal 2 4 2" xfId="5507"/>
    <cellStyle name="Sub-Total 2 4 2" xfId="10115"/>
    <cellStyle name="subtotal 2 4 2 10" xfId="6121"/>
    <cellStyle name="subtotal 2 4 2 10 2" xfId="12846"/>
    <cellStyle name="subtotal 2 4 2 11" xfId="12401"/>
    <cellStyle name="subtotal 2 4 2 2" xfId="9249"/>
    <cellStyle name="Sub-Total 2 4 2 2" xfId="10217"/>
    <cellStyle name="subtotal 2 4 2 2 2" xfId="6260"/>
    <cellStyle name="Sub-Total 2 4 2 2 2" xfId="16602"/>
    <cellStyle name="subtotal 2 4 2 2 2 2" xfId="12985"/>
    <cellStyle name="subtotal 2 4 2 3" xfId="10098"/>
    <cellStyle name="subtotal 2 4 2 3 2" xfId="10200"/>
    <cellStyle name="subtotal 2 4 2 3 2 2" xfId="16585"/>
    <cellStyle name="subtotal 2 4 2 4" xfId="7996"/>
    <cellStyle name="subtotal 2 4 2 4 2" xfId="6152"/>
    <cellStyle name="subtotal 2 4 2 4 2 2" xfId="12877"/>
    <cellStyle name="subtotal 2 4 2 5" xfId="7962"/>
    <cellStyle name="subtotal 2 4 2 5 2" xfId="6126"/>
    <cellStyle name="subtotal 2 4 2 5 2 2" xfId="12851"/>
    <cellStyle name="subtotal 2 4 2 6" xfId="7982"/>
    <cellStyle name="subtotal 2 4 2 6 2" xfId="6144"/>
    <cellStyle name="subtotal 2 4 2 6 2 2" xfId="12869"/>
    <cellStyle name="subtotal 2 4 2 7" xfId="10092"/>
    <cellStyle name="subtotal 2 4 2 7 2" xfId="10194"/>
    <cellStyle name="subtotal 2 4 2 7 2 2" xfId="16579"/>
    <cellStyle name="subtotal 2 4 2 8" xfId="7530"/>
    <cellStyle name="subtotal 2 4 2 9" xfId="10165"/>
    <cellStyle name="subtotal 2 4 3" xfId="9841"/>
    <cellStyle name="Sub-Total 2 4 3" xfId="8016"/>
    <cellStyle name="subtotal 2 4 3 2" xfId="10126"/>
    <cellStyle name="Sub-Total 2 4 3 2" xfId="6162"/>
    <cellStyle name="subtotal 2 4 3 2 2" xfId="10228"/>
    <cellStyle name="Sub-Total 2 4 3 2 2" xfId="12887"/>
    <cellStyle name="subtotal 2 4 3 2 2 2" xfId="16613"/>
    <cellStyle name="subtotal 2 4 3 3" xfId="10131"/>
    <cellStyle name="subtotal 2 4 3 3 2" xfId="10233"/>
    <cellStyle name="subtotal 2 4 3 3 2 2" xfId="16618"/>
    <cellStyle name="subtotal 2 4 3 4" xfId="7984"/>
    <cellStyle name="subtotal 2 4 3 4 2" xfId="6146"/>
    <cellStyle name="subtotal 2 4 3 4 2 2" xfId="12871"/>
    <cellStyle name="subtotal 2 4 3 5" xfId="10130"/>
    <cellStyle name="subtotal 2 4 3 5 2" xfId="10232"/>
    <cellStyle name="subtotal 2 4 3 5 2 2" xfId="16617"/>
    <cellStyle name="subtotal 2 4 3 6" xfId="6375"/>
    <cellStyle name="subtotal 2 4 3 6 2" xfId="13096"/>
    <cellStyle name="subtotal 2 4 4" xfId="8411"/>
    <cellStyle name="Sub-Total 2 4 4" xfId="10124"/>
    <cellStyle name="subtotal 2 4 4 2" xfId="6209"/>
    <cellStyle name="Sub-Total 2 4 4 2" xfId="10226"/>
    <cellStyle name="subtotal 2 4 4 2 2" xfId="12934"/>
    <cellStyle name="Sub-Total 2 4 4 2 2" xfId="16611"/>
    <cellStyle name="subtotal 2 4 5" xfId="6692"/>
    <cellStyle name="Sub-Total 2 4 5" xfId="8000"/>
    <cellStyle name="subtotal 2 4 5 2" xfId="13382"/>
    <cellStyle name="Sub-Total 2 4 5 2" xfId="6156"/>
    <cellStyle name="Sub-Total 2 4 5 2 2" xfId="12881"/>
    <cellStyle name="subtotal 2 4 6" xfId="10154"/>
    <cellStyle name="Sub-Total 2 4 6" xfId="10090"/>
    <cellStyle name="subtotal 2 4 6 2" xfId="16554"/>
    <cellStyle name="Sub-Total 2 4 6 2" xfId="10192"/>
    <cellStyle name="Sub-Total 2 4 6 2 2" xfId="16577"/>
    <cellStyle name="Sub-Total 2 4 7" xfId="6290"/>
    <cellStyle name="Sub-Total 2 4 7 2" xfId="13013"/>
    <cellStyle name="subtotal 2 5" xfId="4665"/>
    <cellStyle name="Sub-Total 2 5" xfId="10071"/>
    <cellStyle name="subtotal 2 5 2" xfId="5508"/>
    <cellStyle name="Sub-Total 2 5 2" xfId="10132"/>
    <cellStyle name="subtotal 2 5 2 10" xfId="6122"/>
    <cellStyle name="subtotal 2 5 2 10 2" xfId="12847"/>
    <cellStyle name="subtotal 2 5 2 11" xfId="12402"/>
    <cellStyle name="subtotal 2 5 2 2" xfId="9250"/>
    <cellStyle name="Sub-Total 2 5 2 2" xfId="10234"/>
    <cellStyle name="subtotal 2 5 2 2 2" xfId="6261"/>
    <cellStyle name="Sub-Total 2 5 2 2 2" xfId="16619"/>
    <cellStyle name="subtotal 2 5 2 2 2 2" xfId="12986"/>
    <cellStyle name="subtotal 2 5 2 3" xfId="10099"/>
    <cellStyle name="subtotal 2 5 2 3 2" xfId="10201"/>
    <cellStyle name="subtotal 2 5 2 3 2 2" xfId="16586"/>
    <cellStyle name="subtotal 2 5 2 4" xfId="7997"/>
    <cellStyle name="subtotal 2 5 2 4 2" xfId="6153"/>
    <cellStyle name="subtotal 2 5 2 4 2 2" xfId="12878"/>
    <cellStyle name="subtotal 2 5 2 5" xfId="7961"/>
    <cellStyle name="subtotal 2 5 2 5 2" xfId="6125"/>
    <cellStyle name="subtotal 2 5 2 5 2 2" xfId="12850"/>
    <cellStyle name="subtotal 2 5 2 6" xfId="7983"/>
    <cellStyle name="subtotal 2 5 2 6 2" xfId="6145"/>
    <cellStyle name="subtotal 2 5 2 6 2 2" xfId="12870"/>
    <cellStyle name="subtotal 2 5 2 7" xfId="10076"/>
    <cellStyle name="subtotal 2 5 2 7 2" xfId="10178"/>
    <cellStyle name="subtotal 2 5 2 7 2 2" xfId="16563"/>
    <cellStyle name="subtotal 2 5 2 8" xfId="7531"/>
    <cellStyle name="subtotal 2 5 2 9" xfId="10166"/>
    <cellStyle name="subtotal 2 5 3" xfId="9842"/>
    <cellStyle name="Sub-Total 2 5 3" xfId="10135"/>
    <cellStyle name="subtotal 2 5 3 2" xfId="10127"/>
    <cellStyle name="Sub-Total 2 5 3 2" xfId="10237"/>
    <cellStyle name="subtotal 2 5 3 2 2" xfId="10229"/>
    <cellStyle name="Sub-Total 2 5 3 2 2" xfId="16622"/>
    <cellStyle name="subtotal 2 5 3 2 2 2" xfId="16614"/>
    <cellStyle name="subtotal 2 5 3 3" xfId="10084"/>
    <cellStyle name="subtotal 2 5 3 3 2" xfId="10186"/>
    <cellStyle name="subtotal 2 5 3 3 2 2" xfId="16571"/>
    <cellStyle name="subtotal 2 5 3 4" xfId="7990"/>
    <cellStyle name="subtotal 2 5 3 4 2" xfId="6148"/>
    <cellStyle name="subtotal 2 5 3 4 2 2" xfId="12873"/>
    <cellStyle name="subtotal 2 5 3 5" xfId="10137"/>
    <cellStyle name="subtotal 2 5 3 5 2" xfId="10239"/>
    <cellStyle name="subtotal 2 5 3 5 2 2" xfId="16624"/>
    <cellStyle name="subtotal 2 5 3 6" xfId="6376"/>
    <cellStyle name="subtotal 2 5 3 6 2" xfId="13097"/>
    <cellStyle name="subtotal 2 5 4" xfId="8412"/>
    <cellStyle name="Sub-Total 2 5 4" xfId="10138"/>
    <cellStyle name="subtotal 2 5 4 2" xfId="6210"/>
    <cellStyle name="Sub-Total 2 5 4 2" xfId="10240"/>
    <cellStyle name="subtotal 2 5 4 2 2" xfId="12935"/>
    <cellStyle name="Sub-Total 2 5 4 2 2" xfId="16625"/>
    <cellStyle name="subtotal 2 5 5" xfId="6693"/>
    <cellStyle name="Sub-Total 2 5 5" xfId="10139"/>
    <cellStyle name="subtotal 2 5 5 2" xfId="13383"/>
    <cellStyle name="Sub-Total 2 5 5 2" xfId="10241"/>
    <cellStyle name="Sub-Total 2 5 5 2 2" xfId="16626"/>
    <cellStyle name="subtotal 2 5 6" xfId="10155"/>
    <cellStyle name="Sub-Total 2 5 6" xfId="10140"/>
    <cellStyle name="subtotal 2 5 6 2" xfId="16555"/>
    <cellStyle name="Sub-Total 2 5 6 2" xfId="10242"/>
    <cellStyle name="Sub-Total 2 5 6 2 2" xfId="16627"/>
    <cellStyle name="Sub-Total 2 5 7" xfId="10173"/>
    <cellStyle name="Sub-Total 2 5 7 2" xfId="16558"/>
    <cellStyle name="subtotal 2 6" xfId="4666"/>
    <cellStyle name="Sub-Total 2 6" xfId="8164"/>
    <cellStyle name="subtotal 2 6 2" xfId="5509"/>
    <cellStyle name="Sub-Total 2 6 2" xfId="6187"/>
    <cellStyle name="subtotal 2 6 2 2" xfId="9251"/>
    <cellStyle name="Sub-Total 2 6 2 2" xfId="12912"/>
    <cellStyle name="subtotal 2 6 2 2 2" xfId="6262"/>
    <cellStyle name="subtotal 2 6 2 2 2 2" xfId="12987"/>
    <cellStyle name="subtotal 2 6 2 3" xfId="10100"/>
    <cellStyle name="subtotal 2 6 2 3 2" xfId="10202"/>
    <cellStyle name="subtotal 2 6 2 3 2 2" xfId="16587"/>
    <cellStyle name="subtotal 2 6 2 4" xfId="7532"/>
    <cellStyle name="subtotal 2 6 2 5" xfId="6123"/>
    <cellStyle name="subtotal 2 6 2 5 2" xfId="12848"/>
    <cellStyle name="subtotal 2 6 2 6" xfId="12403"/>
    <cellStyle name="subtotal 2 6 3" xfId="9843"/>
    <cellStyle name="subtotal 2 6 3 2" xfId="10128"/>
    <cellStyle name="subtotal 2 6 3 2 2" xfId="10230"/>
    <cellStyle name="subtotal 2 6 3 2 2 2" xfId="16615"/>
    <cellStyle name="subtotal 2 6 3 3" xfId="5911"/>
    <cellStyle name="subtotal 2 6 3 3 2" xfId="12804"/>
    <cellStyle name="subtotal 2 6 4" xfId="8413"/>
    <cellStyle name="subtotal 2 6 4 2" xfId="6211"/>
    <cellStyle name="subtotal 2 6 4 2 2" xfId="12936"/>
    <cellStyle name="subtotal 2 6 5" xfId="6694"/>
    <cellStyle name="subtotal 2 6 5 2" xfId="13384"/>
    <cellStyle name="subtotal 2 6 6" xfId="10156"/>
    <cellStyle name="subtotal 2 6 6 2" xfId="16556"/>
    <cellStyle name="subtotal 2 7" xfId="4667"/>
    <cellStyle name="Sub-Total 2 7" xfId="10079"/>
    <cellStyle name="subtotal 2 7 2" xfId="5510"/>
    <cellStyle name="Sub-Total 2 7 2" xfId="10181"/>
    <cellStyle name="subtotal 2 7 2 2" xfId="9252"/>
    <cellStyle name="Sub-Total 2 7 2 2" xfId="16566"/>
    <cellStyle name="subtotal 2 7 2 2 2" xfId="6263"/>
    <cellStyle name="subtotal 2 7 2 2 2 2" xfId="12988"/>
    <cellStyle name="subtotal 2 7 2 3" xfId="10101"/>
    <cellStyle name="subtotal 2 7 2 3 2" xfId="10203"/>
    <cellStyle name="subtotal 2 7 2 3 2 2" xfId="16588"/>
    <cellStyle name="subtotal 2 7 2 4" xfId="7533"/>
    <cellStyle name="subtotal 2 7 2 5" xfId="6124"/>
    <cellStyle name="subtotal 2 7 2 5 2" xfId="12849"/>
    <cellStyle name="subtotal 2 7 2 6" xfId="12404"/>
    <cellStyle name="subtotal 2 7 3" xfId="9844"/>
    <cellStyle name="subtotal 2 7 3 2" xfId="10129"/>
    <cellStyle name="subtotal 2 7 3 2 2" xfId="10231"/>
    <cellStyle name="subtotal 2 7 3 2 2 2" xfId="16616"/>
    <cellStyle name="subtotal 2 7 3 3" xfId="6377"/>
    <cellStyle name="subtotal 2 7 3 3 2" xfId="13098"/>
    <cellStyle name="subtotal 2 7 4" xfId="8414"/>
    <cellStyle name="subtotal 2 7 4 2" xfId="6212"/>
    <cellStyle name="subtotal 2 7 4 2 2" xfId="12937"/>
    <cellStyle name="subtotal 2 7 5" xfId="6695"/>
    <cellStyle name="subtotal 2 7 5 2" xfId="13385"/>
    <cellStyle name="subtotal 2 7 6" xfId="10157"/>
    <cellStyle name="subtotal 2 7 6 2" xfId="16557"/>
    <cellStyle name="subtotal 2 8" xfId="5491"/>
    <cellStyle name="Sub-Total 2 8" xfId="7979"/>
    <cellStyle name="subtotal 2 8 10" xfId="12396"/>
    <cellStyle name="subtotal 2 8 2" xfId="9234"/>
    <cellStyle name="Sub-Total 2 8 2" xfId="6141"/>
    <cellStyle name="subtotal 2 8 2 2" xfId="6245"/>
    <cellStyle name="Sub-Total 2 8 2 2" xfId="12866"/>
    <cellStyle name="subtotal 2 8 2 2 2" xfId="12970"/>
    <cellStyle name="subtotal 2 8 3" xfId="10096"/>
    <cellStyle name="subtotal 2 8 3 2" xfId="10198"/>
    <cellStyle name="subtotal 2 8 3 2 2" xfId="16583"/>
    <cellStyle name="subtotal 2 8 4" xfId="10118"/>
    <cellStyle name="subtotal 2 8 4 2" xfId="10220"/>
    <cellStyle name="subtotal 2 8 4 2 2" xfId="16605"/>
    <cellStyle name="subtotal 2 8 5" xfId="7999"/>
    <cellStyle name="subtotal 2 8 5 2" xfId="6155"/>
    <cellStyle name="subtotal 2 8 5 2 2" xfId="12880"/>
    <cellStyle name="subtotal 2 8 6" xfId="10117"/>
    <cellStyle name="subtotal 2 8 6 2" xfId="10219"/>
    <cellStyle name="subtotal 2 8 6 2 2" xfId="16604"/>
    <cellStyle name="subtotal 2 8 7" xfId="7515"/>
    <cellStyle name="subtotal 2 8 8" xfId="10160"/>
    <cellStyle name="subtotal 2 8 9" xfId="6119"/>
    <cellStyle name="subtotal 2 8 9 2" xfId="12844"/>
    <cellStyle name="subtotal 2 9" xfId="9684"/>
    <cellStyle name="Sub-Total 2 9" xfId="7966"/>
    <cellStyle name="subtotal 2 9 2" xfId="10108"/>
    <cellStyle name="Sub-Total 2 9 2" xfId="6130"/>
    <cellStyle name="subtotal 2 9 2 2" xfId="10210"/>
    <cellStyle name="Sub-Total 2 9 2 2" xfId="12855"/>
    <cellStyle name="subtotal 2 9 2 2 2" xfId="16595"/>
    <cellStyle name="subtotal 2 9 3" xfId="8001"/>
    <cellStyle name="subtotal 2 9 3 2" xfId="6157"/>
    <cellStyle name="subtotal 2 9 3 2 2" xfId="12882"/>
    <cellStyle name="subtotal 2 9 4" xfId="7969"/>
    <cellStyle name="subtotal 2 9 4 2" xfId="6133"/>
    <cellStyle name="subtotal 2 9 4 2 2" xfId="12858"/>
    <cellStyle name="subtotal 2 9 5" xfId="6285"/>
    <cellStyle name="subtotal 2 9 5 2" xfId="13008"/>
    <cellStyle name="subtotal 3" xfId="4350"/>
    <cellStyle name="Sub-Total 3" xfId="5490"/>
    <cellStyle name="subtotal 3 10" xfId="7976"/>
    <cellStyle name="subtotal 3 10 2" xfId="6138"/>
    <cellStyle name="subtotal 3 10 2 2" xfId="12863"/>
    <cellStyle name="subtotal 3 11" xfId="10102"/>
    <cellStyle name="subtotal 3 11 2" xfId="10204"/>
    <cellStyle name="subtotal 3 11 2 2" xfId="16589"/>
    <cellStyle name="subtotal 3 12" xfId="6447"/>
    <cellStyle name="subtotal 3 13" xfId="10148"/>
    <cellStyle name="subtotal 3 14" xfId="5949"/>
    <cellStyle name="subtotal 3 14 2" xfId="12837"/>
    <cellStyle name="subtotal 3 15" xfId="11361"/>
    <cellStyle name="subtotal 3 16" xfId="16642"/>
    <cellStyle name="subtotal 3 2" xfId="5494"/>
    <cellStyle name="Sub-Total 3 2" xfId="9233"/>
    <cellStyle name="subtotal 3 2 2" xfId="9237"/>
    <cellStyle name="Sub-Total 3 2 2" xfId="6244"/>
    <cellStyle name="subtotal 3 2 2 2" xfId="6248"/>
    <cellStyle name="Sub-Total 3 2 2 2" xfId="12969"/>
    <cellStyle name="subtotal 3 2 2 2 2" xfId="12973"/>
    <cellStyle name="subtotal 3 2 3" xfId="7518"/>
    <cellStyle name="subtotal 3 2 4" xfId="10163"/>
    <cellStyle name="subtotal 3 2 5" xfId="12399"/>
    <cellStyle name="subtotal 3 3" xfId="5685"/>
    <cellStyle name="Sub-Total 3 3" xfId="7514"/>
    <cellStyle name="subtotal 3 3 2" xfId="9426"/>
    <cellStyle name="subtotal 3 3 2 2" xfId="6268"/>
    <cellStyle name="subtotal 3 3 2 2 2" xfId="12993"/>
    <cellStyle name="subtotal 3 3 3" xfId="7707"/>
    <cellStyle name="subtotal 3 3 4" xfId="10171"/>
    <cellStyle name="subtotal 3 3 5" xfId="12578"/>
    <cellStyle name="subtotal 3 4" xfId="9744"/>
    <cellStyle name="Sub-Total 3 4" xfId="10159"/>
    <cellStyle name="subtotal 3 4 2" xfId="10116"/>
    <cellStyle name="subtotal 3 4 2 2" xfId="10218"/>
    <cellStyle name="subtotal 3 4 2 2 2" xfId="16603"/>
    <cellStyle name="subtotal 3 4 3" xfId="6291"/>
    <cellStyle name="subtotal 3 4 3 2" xfId="13014"/>
    <cellStyle name="subtotal 3 5" xfId="10072"/>
    <cellStyle name="Sub-Total 3 5" xfId="12395"/>
    <cellStyle name="subtotal 3 5 2" xfId="10133"/>
    <cellStyle name="subtotal 3 5 2 2" xfId="10235"/>
    <cellStyle name="subtotal 3 5 2 2 2" xfId="16620"/>
    <cellStyle name="subtotal 3 5 3" xfId="10174"/>
    <cellStyle name="subtotal 3 5 3 2" xfId="16559"/>
    <cellStyle name="subtotal 3 6" xfId="8166"/>
    <cellStyle name="subtotal 3 6 2" xfId="6189"/>
    <cellStyle name="subtotal 3 6 2 2" xfId="12914"/>
    <cellStyle name="subtotal 3 7" xfId="10081"/>
    <cellStyle name="subtotal 3 7 2" xfId="10183"/>
    <cellStyle name="subtotal 3 7 2 2" xfId="16568"/>
    <cellStyle name="subtotal 3 8" xfId="7981"/>
    <cellStyle name="subtotal 3 8 2" xfId="6143"/>
    <cellStyle name="subtotal 3 8 2 2" xfId="12868"/>
    <cellStyle name="subtotal 3 9" xfId="7964"/>
    <cellStyle name="subtotal 3 9 2" xfId="6128"/>
    <cellStyle name="subtotal 3 9 2 2" xfId="12853"/>
    <cellStyle name="subtotal 4" xfId="5489"/>
    <cellStyle name="Sub-Total 4" xfId="5682"/>
    <cellStyle name="subtotal 4 2" xfId="9232"/>
    <cellStyle name="Sub-Total 4 2" xfId="9423"/>
    <cellStyle name="subtotal 4 2 2" xfId="6243"/>
    <cellStyle name="Sub-Total 4 2 2" xfId="6265"/>
    <cellStyle name="subtotal 4 2 2 2" xfId="12968"/>
    <cellStyle name="Sub-Total 4 2 2 2" xfId="12990"/>
    <cellStyle name="subtotal 4 3" xfId="7513"/>
    <cellStyle name="Sub-Total 4 3" xfId="7704"/>
    <cellStyle name="subtotal 4 4" xfId="10158"/>
    <cellStyle name="Sub-Total 4 4" xfId="10168"/>
    <cellStyle name="subtotal 4 5" xfId="12394"/>
    <cellStyle name="Sub-Total 4 5" xfId="12575"/>
    <cellStyle name="subtotal 5" xfId="5681"/>
    <cellStyle name="Sub-Total 5" xfId="9683"/>
    <cellStyle name="subtotal 5 2" xfId="9422"/>
    <cellStyle name="Sub-Total 5 2" xfId="10107"/>
    <cellStyle name="subtotal 5 2 2" xfId="6264"/>
    <cellStyle name="Sub-Total 5 2 2" xfId="10209"/>
    <cellStyle name="subtotal 5 2 2 2" xfId="12989"/>
    <cellStyle name="Sub-Total 5 2 2 2" xfId="16594"/>
    <cellStyle name="subtotal 5 3" xfId="7703"/>
    <cellStyle name="Sub-Total 5 3" xfId="8005"/>
    <cellStyle name="Sub-Total 5 3 2" xfId="6161"/>
    <cellStyle name="Sub-Total 5 3 2 2" xfId="12886"/>
    <cellStyle name="subtotal 5 4" xfId="10167"/>
    <cellStyle name="Sub-Total 5 4" xfId="10075"/>
    <cellStyle name="Sub-Total 5 4 2" xfId="10177"/>
    <cellStyle name="Sub-Total 5 4 2 2" xfId="16562"/>
    <cellStyle name="subtotal 5 5" xfId="12574"/>
    <cellStyle name="Sub-Total 5 5" xfId="7998"/>
    <cellStyle name="Sub-Total 5 5 2" xfId="6154"/>
    <cellStyle name="Sub-Total 5 5 2 2" xfId="12879"/>
    <cellStyle name="Sub-Total 5 6" xfId="10082"/>
    <cellStyle name="Sub-Total 5 6 2" xfId="10184"/>
    <cellStyle name="Sub-Total 5 6 2 2" xfId="16569"/>
    <cellStyle name="Sub-Total 5 7" xfId="6284"/>
    <cellStyle name="Sub-Total 5 7 2" xfId="13007"/>
    <cellStyle name="subtotal 6" xfId="9682"/>
    <cellStyle name="Sub-Total 6" xfId="9672"/>
    <cellStyle name="subtotal 6 2" xfId="10106"/>
    <cellStyle name="Sub-Total 6 2" xfId="10104"/>
    <cellStyle name="subtotal 6 2 2" xfId="10208"/>
    <cellStyle name="Sub-Total 6 2 2" xfId="10206"/>
    <cellStyle name="subtotal 6 2 2 2" xfId="16593"/>
    <cellStyle name="Sub-Total 6 2 2 2" xfId="16591"/>
    <cellStyle name="subtotal 6 3" xfId="8004"/>
    <cellStyle name="Sub-Total 6 3" xfId="8002"/>
    <cellStyle name="subtotal 6 3 2" xfId="6160"/>
    <cellStyle name="Sub-Total 6 3 2" xfId="6158"/>
    <cellStyle name="subtotal 6 3 2 2" xfId="12885"/>
    <cellStyle name="Sub-Total 6 3 2 2" xfId="12883"/>
    <cellStyle name="subtotal 6 4" xfId="10114"/>
    <cellStyle name="Sub-Total 6 4" xfId="10113"/>
    <cellStyle name="subtotal 6 4 2" xfId="10216"/>
    <cellStyle name="Sub-Total 6 4 2" xfId="10215"/>
    <cellStyle name="subtotal 6 4 2 2" xfId="16601"/>
    <cellStyle name="Sub-Total 6 4 2 2" xfId="16600"/>
    <cellStyle name="subtotal 6 5" xfId="7991"/>
    <cellStyle name="Sub-Total 6 5" xfId="7985"/>
    <cellStyle name="subtotal 6 5 2" xfId="6149"/>
    <cellStyle name="Sub-Total 6 5 2" xfId="6147"/>
    <cellStyle name="subtotal 6 5 2 2" xfId="12874"/>
    <cellStyle name="Sub-Total 6 5 2 2" xfId="12872"/>
    <cellStyle name="subtotal 6 6" xfId="10085"/>
    <cellStyle name="Sub-Total 6 6" xfId="10095"/>
    <cellStyle name="subtotal 6 6 2" xfId="10187"/>
    <cellStyle name="Sub-Total 6 6 2" xfId="10197"/>
    <cellStyle name="subtotal 6 6 2 2" xfId="16572"/>
    <cellStyle name="Sub-Total 6 6 2 2" xfId="16582"/>
    <cellStyle name="subtotal 6 7" xfId="6283"/>
    <cellStyle name="Sub-Total 6 7" xfId="6281"/>
    <cellStyle name="subtotal 6 7 2" xfId="13006"/>
    <cellStyle name="Sub-Total 6 7 2" xfId="13004"/>
    <cellStyle name="subtotal 7" xfId="9673"/>
    <cellStyle name="Sub-Total 7" xfId="8162"/>
    <cellStyle name="subtotal 7 2" xfId="10105"/>
    <cellStyle name="Sub-Total 7 2" xfId="6185"/>
    <cellStyle name="subtotal 7 2 2" xfId="10207"/>
    <cellStyle name="Sub-Total 7 2 2" xfId="12910"/>
    <cellStyle name="subtotal 7 2 2 2" xfId="16592"/>
    <cellStyle name="subtotal 7 3" xfId="8003"/>
    <cellStyle name="subtotal 7 3 2" xfId="6159"/>
    <cellStyle name="subtotal 7 3 2 2" xfId="12884"/>
    <cellStyle name="subtotal 7 4" xfId="10074"/>
    <cellStyle name="subtotal 7 4 2" xfId="10176"/>
    <cellStyle name="subtotal 7 4 2 2" xfId="16561"/>
    <cellStyle name="subtotal 7 5" xfId="7992"/>
    <cellStyle name="subtotal 7 5 2" xfId="6150"/>
    <cellStyle name="subtotal 7 5 2 2" xfId="12875"/>
    <cellStyle name="subtotal 7 6" xfId="10136"/>
    <cellStyle name="subtotal 7 6 2" xfId="10238"/>
    <cellStyle name="subtotal 7 6 2 2" xfId="16623"/>
    <cellStyle name="subtotal 7 7" xfId="6282"/>
    <cellStyle name="subtotal 7 7 2" xfId="13005"/>
    <cellStyle name="subtotal 8" xfId="8161"/>
    <cellStyle name="Sub-Total 8" xfId="10078"/>
    <cellStyle name="subtotal 8 2" xfId="6184"/>
    <cellStyle name="Sub-Total 8 2" xfId="10180"/>
    <cellStyle name="subtotal 8 2 2" xfId="12909"/>
    <cellStyle name="Sub-Total 8 2 2" xfId="16565"/>
    <cellStyle name="subtotal 9" xfId="10077"/>
    <cellStyle name="Sub-Total 9" xfId="7978"/>
    <cellStyle name="subtotal 9 2" xfId="10179"/>
    <cellStyle name="Sub-Total 9 2" xfId="6140"/>
    <cellStyle name="subtotal 9 2 2" xfId="16564"/>
    <cellStyle name="Sub-Total 9 2 2" xfId="12865"/>
    <cellStyle name="Sweep Change" xfId="4351"/>
    <cellStyle name="SYSTEM" xfId="4352"/>
    <cellStyle name="t" xfId="4353"/>
    <cellStyle name="Table Heading" xfId="4354"/>
    <cellStyle name="Text_In" xfId="4355"/>
    <cellStyle name="Thousands£" xfId="4356"/>
    <cellStyle name="Thousands£ (2dp)" xfId="4357"/>
    <cellStyle name="TIME Detail" xfId="4358"/>
    <cellStyle name="TIME Period Start" xfId="4359"/>
    <cellStyle name="time variable" xfId="4360"/>
    <cellStyle name="Title 1" xfId="4361"/>
    <cellStyle name="Title 2" xfId="4362"/>
    <cellStyle name="Title 3" xfId="4363"/>
    <cellStyle name="Title 4" xfId="4364"/>
    <cellStyle name="TitlePage" xfId="4365"/>
    <cellStyle name="Titulo" xfId="4366"/>
    <cellStyle name="To" xfId="4367"/>
    <cellStyle name="Total - Grand" xfId="4368"/>
    <cellStyle name="Total - Sub" xfId="4369"/>
    <cellStyle name="Total - Sub 2" xfId="4370"/>
    <cellStyle name="Total - Sub 2 2" xfId="5496"/>
    <cellStyle name="Total - Sub 2 2 2" xfId="9239"/>
    <cellStyle name="Total - Sub 2 2 2 2" xfId="6250"/>
    <cellStyle name="Total - Sub 2 2 2 2 2" xfId="12975"/>
    <cellStyle name="Total - Sub 2 2 3" xfId="7520"/>
    <cellStyle name="Total - Sub 2 3" xfId="8168"/>
    <cellStyle name="Total - Sub 2 3 2" xfId="6191"/>
    <cellStyle name="Total - Sub 2 3 2 2" xfId="12916"/>
    <cellStyle name="Total - Sub 2 4" xfId="6449"/>
    <cellStyle name="Total - Sub 3" xfId="5495"/>
    <cellStyle name="Total - Sub 3 2" xfId="9238"/>
    <cellStyle name="Total - Sub 3 2 2" xfId="6249"/>
    <cellStyle name="Total - Sub 3 2 2 2" xfId="12974"/>
    <cellStyle name="Total - Sub 3 3" xfId="7519"/>
    <cellStyle name="Total - Sub 4" xfId="8167"/>
    <cellStyle name="Total - Sub 4 2" xfId="6190"/>
    <cellStyle name="Total - Sub 4 2 2" xfId="12915"/>
    <cellStyle name="Total - Sub 5" xfId="6448"/>
    <cellStyle name="Total 1" xfId="4371"/>
    <cellStyle name="Total 1 2" xfId="4372"/>
    <cellStyle name="Total 1 2 2" xfId="4373"/>
    <cellStyle name="Total 1 2 2 2" xfId="4816"/>
    <cellStyle name="Total 1 2 2 2 2" xfId="8559"/>
    <cellStyle name="Total 1 2 2 2 2 2" xfId="6218"/>
    <cellStyle name="Total 1 2 2 2 2 2 2" xfId="12943"/>
    <cellStyle name="Total 1 2 2 2 3" xfId="10087"/>
    <cellStyle name="Total 1 2 2 2 3 2" xfId="10189"/>
    <cellStyle name="Total 1 2 2 2 3 2 2" xfId="16574"/>
    <cellStyle name="Total 1 2 2 2 4" xfId="6840"/>
    <cellStyle name="Total 1 2 2 2 5" xfId="5951"/>
    <cellStyle name="Total 1 2 2 2 5 2" xfId="12839"/>
    <cellStyle name="Total 1 2 2 3" xfId="9807"/>
    <cellStyle name="Total 1 2 2 3 2" xfId="10121"/>
    <cellStyle name="Total 1 2 2 3 2 2" xfId="10223"/>
    <cellStyle name="Total 1 2 2 3 2 2 2" xfId="16608"/>
    <cellStyle name="Total 1 2 2 3 3" xfId="6369"/>
    <cellStyle name="Total 1 2 2 3 3 2" xfId="13092"/>
    <cellStyle name="Total 1 2 2 4" xfId="8171"/>
    <cellStyle name="Total 1 2 2 4 2" xfId="6194"/>
    <cellStyle name="Total 1 2 2 4 2 2" xfId="12919"/>
    <cellStyle name="Total 1 2 2 5" xfId="6452"/>
    <cellStyle name="Total 1 2 2 5 2" xfId="13150"/>
    <cellStyle name="Total 1 2 3" xfId="9686"/>
    <cellStyle name="Total 1 2 3 2" xfId="10110"/>
    <cellStyle name="Total 1 2 3 2 2" xfId="10212"/>
    <cellStyle name="Total 1 2 3 2 2 2" xfId="16597"/>
    <cellStyle name="Total 1 2 3 3" xfId="6287"/>
    <cellStyle name="Total 1 2 3 3 2" xfId="13010"/>
    <cellStyle name="Total 1 2 4" xfId="8170"/>
    <cellStyle name="Total 1 2 4 2" xfId="6193"/>
    <cellStyle name="Total 1 2 4 2 2" xfId="12918"/>
    <cellStyle name="Total 1 2 5" xfId="6451"/>
    <cellStyle name="Total 1 2 5 2" xfId="13149"/>
    <cellStyle name="Total 1 3" xfId="4374"/>
    <cellStyle name="Total 1 3 2" xfId="4815"/>
    <cellStyle name="Total 1 3 2 2" xfId="8558"/>
    <cellStyle name="Total 1 3 2 2 2" xfId="6217"/>
    <cellStyle name="Total 1 3 2 2 2 2" xfId="12942"/>
    <cellStyle name="Total 1 3 2 3" xfId="10086"/>
    <cellStyle name="Total 1 3 2 3 2" xfId="10188"/>
    <cellStyle name="Total 1 3 2 3 2 2" xfId="16573"/>
    <cellStyle name="Total 1 3 2 4" xfId="6839"/>
    <cellStyle name="Total 1 3 2 5" xfId="5950"/>
    <cellStyle name="Total 1 3 2 5 2" xfId="12838"/>
    <cellStyle name="Total 1 3 3" xfId="9806"/>
    <cellStyle name="Total 1 3 3 2" xfId="10120"/>
    <cellStyle name="Total 1 3 3 2 2" xfId="10222"/>
    <cellStyle name="Total 1 3 3 2 2 2" xfId="16607"/>
    <cellStyle name="Total 1 3 3 3" xfId="6368"/>
    <cellStyle name="Total 1 3 3 3 2" xfId="13091"/>
    <cellStyle name="Total 1 3 4" xfId="8172"/>
    <cellStyle name="Total 1 3 4 2" xfId="6195"/>
    <cellStyle name="Total 1 3 4 2 2" xfId="12920"/>
    <cellStyle name="Total 1 3 5" xfId="6453"/>
    <cellStyle name="Total 1 3 5 2" xfId="13151"/>
    <cellStyle name="Total 1 4" xfId="9685"/>
    <cellStyle name="Total 1 4 2" xfId="10109"/>
    <cellStyle name="Total 1 4 2 2" xfId="10211"/>
    <cellStyle name="Total 1 4 2 2 2" xfId="16596"/>
    <cellStyle name="Total 1 4 3" xfId="6286"/>
    <cellStyle name="Total 1 4 3 2" xfId="13009"/>
    <cellStyle name="Total 1 5" xfId="8169"/>
    <cellStyle name="Total 1 5 2" xfId="6192"/>
    <cellStyle name="Total 1 5 2 2" xfId="12917"/>
    <cellStyle name="Total 1 6" xfId="6450"/>
    <cellStyle name="Total 1 6 2" xfId="13148"/>
    <cellStyle name="Total 2" xfId="4375"/>
    <cellStyle name="Total 2 2" xfId="4376"/>
    <cellStyle name="Total 2 2 2" xfId="4377"/>
    <cellStyle name="Total 2 2 2 2" xfId="5499"/>
    <cellStyle name="Total 2 2 2 2 2" xfId="9242"/>
    <cellStyle name="Total 2 2 2 2 2 2" xfId="6253"/>
    <cellStyle name="Total 2 2 2 2 2 2 2" xfId="12978"/>
    <cellStyle name="Total 2 2 2 2 3" xfId="7523"/>
    <cellStyle name="Total 2 2 2 3" xfId="8175"/>
    <cellStyle name="Total 2 2 2 3 2" xfId="6198"/>
    <cellStyle name="Total 2 2 2 3 2 2" xfId="12923"/>
    <cellStyle name="Total 2 2 2 4" xfId="6456"/>
    <cellStyle name="Total 2 2 3" xfId="5498"/>
    <cellStyle name="Total 2 2 3 2" xfId="9241"/>
    <cellStyle name="Total 2 2 3 2 2" xfId="6252"/>
    <cellStyle name="Total 2 2 3 2 2 2" xfId="12977"/>
    <cellStyle name="Total 2 2 3 3" xfId="7522"/>
    <cellStyle name="Total 2 2 4" xfId="8174"/>
    <cellStyle name="Total 2 2 4 2" xfId="6197"/>
    <cellStyle name="Total 2 2 4 2 2" xfId="12922"/>
    <cellStyle name="Total 2 2 5" xfId="6455"/>
    <cellStyle name="Total 2 3" xfId="4378"/>
    <cellStyle name="Total 2 3 2" xfId="5500"/>
    <cellStyle name="Total 2 3 2 2" xfId="9243"/>
    <cellStyle name="Total 2 3 2 2 2" xfId="6254"/>
    <cellStyle name="Total 2 3 2 2 2 2" xfId="12979"/>
    <cellStyle name="Total 2 3 2 3" xfId="7524"/>
    <cellStyle name="Total 2 3 3" xfId="8176"/>
    <cellStyle name="Total 2 3 3 2" xfId="6199"/>
    <cellStyle name="Total 2 3 3 2 2" xfId="12924"/>
    <cellStyle name="Total 2 3 4" xfId="6457"/>
    <cellStyle name="Total 2 4" xfId="5497"/>
    <cellStyle name="Total 2 4 2" xfId="9240"/>
    <cellStyle name="Total 2 4 2 2" xfId="6251"/>
    <cellStyle name="Total 2 4 2 2 2" xfId="12976"/>
    <cellStyle name="Total 2 4 3" xfId="7521"/>
    <cellStyle name="Total 2 5" xfId="8173"/>
    <cellStyle name="Total 2 5 2" xfId="6196"/>
    <cellStyle name="Total 2 5 2 2" xfId="12921"/>
    <cellStyle name="Total 2 6" xfId="6454"/>
    <cellStyle name="Total 3" xfId="4379"/>
    <cellStyle name="Total 3 2" xfId="4380"/>
    <cellStyle name="Total 3 2 2" xfId="4381"/>
    <cellStyle name="Total 3 2 2 2" xfId="4818"/>
    <cellStyle name="Total 3 2 2 2 2" xfId="8561"/>
    <cellStyle name="Total 3 2 2 2 2 2" xfId="6220"/>
    <cellStyle name="Total 3 2 2 2 2 2 2" xfId="12945"/>
    <cellStyle name="Total 3 2 2 2 3" xfId="10089"/>
    <cellStyle name="Total 3 2 2 2 3 2" xfId="10191"/>
    <cellStyle name="Total 3 2 2 2 3 2 2" xfId="16576"/>
    <cellStyle name="Total 3 2 2 2 4" xfId="6842"/>
    <cellStyle name="Total 3 2 2 2 5" xfId="5953"/>
    <cellStyle name="Total 3 2 2 2 5 2" xfId="12841"/>
    <cellStyle name="Total 3 2 2 3" xfId="9809"/>
    <cellStyle name="Total 3 2 2 3 2" xfId="10123"/>
    <cellStyle name="Total 3 2 2 3 2 2" xfId="10225"/>
    <cellStyle name="Total 3 2 2 3 2 2 2" xfId="16610"/>
    <cellStyle name="Total 3 2 2 3 3" xfId="6371"/>
    <cellStyle name="Total 3 2 2 3 3 2" xfId="13094"/>
    <cellStyle name="Total 3 2 2 4" xfId="8179"/>
    <cellStyle name="Total 3 2 2 4 2" xfId="6202"/>
    <cellStyle name="Total 3 2 2 4 2 2" xfId="12927"/>
    <cellStyle name="Total 3 2 2 5" xfId="6460"/>
    <cellStyle name="Total 3 2 2 5 2" xfId="13154"/>
    <cellStyle name="Total 3 2 3" xfId="9688"/>
    <cellStyle name="Total 3 2 3 2" xfId="10112"/>
    <cellStyle name="Total 3 2 3 2 2" xfId="10214"/>
    <cellStyle name="Total 3 2 3 2 2 2" xfId="16599"/>
    <cellStyle name="Total 3 2 3 3" xfId="6289"/>
    <cellStyle name="Total 3 2 3 3 2" xfId="13012"/>
    <cellStyle name="Total 3 2 4" xfId="8178"/>
    <cellStyle name="Total 3 2 4 2" xfId="6201"/>
    <cellStyle name="Total 3 2 4 2 2" xfId="12926"/>
    <cellStyle name="Total 3 2 5" xfId="6459"/>
    <cellStyle name="Total 3 2 5 2" xfId="13153"/>
    <cellStyle name="Total 3 3" xfId="4382"/>
    <cellStyle name="Total 3 3 2" xfId="4817"/>
    <cellStyle name="Total 3 3 2 2" xfId="8560"/>
    <cellStyle name="Total 3 3 2 2 2" xfId="6219"/>
    <cellStyle name="Total 3 3 2 2 2 2" xfId="12944"/>
    <cellStyle name="Total 3 3 2 3" xfId="10088"/>
    <cellStyle name="Total 3 3 2 3 2" xfId="10190"/>
    <cellStyle name="Total 3 3 2 3 2 2" xfId="16575"/>
    <cellStyle name="Total 3 3 2 4" xfId="6841"/>
    <cellStyle name="Total 3 3 2 5" xfId="5952"/>
    <cellStyle name="Total 3 3 2 5 2" xfId="12840"/>
    <cellStyle name="Total 3 3 3" xfId="9808"/>
    <cellStyle name="Total 3 3 3 2" xfId="10122"/>
    <cellStyle name="Total 3 3 3 2 2" xfId="10224"/>
    <cellStyle name="Total 3 3 3 2 2 2" xfId="16609"/>
    <cellStyle name="Total 3 3 3 3" xfId="6370"/>
    <cellStyle name="Total 3 3 3 3 2" xfId="13093"/>
    <cellStyle name="Total 3 3 4" xfId="8180"/>
    <cellStyle name="Total 3 3 4 2" xfId="6203"/>
    <cellStyle name="Total 3 3 4 2 2" xfId="12928"/>
    <cellStyle name="Total 3 3 5" xfId="6461"/>
    <cellStyle name="Total 3 3 5 2" xfId="13155"/>
    <cellStyle name="Total 3 4" xfId="9687"/>
    <cellStyle name="Total 3 4 2" xfId="10111"/>
    <cellStyle name="Total 3 4 2 2" xfId="10213"/>
    <cellStyle name="Total 3 4 2 2 2" xfId="16598"/>
    <cellStyle name="Total 3 4 3" xfId="6288"/>
    <cellStyle name="Total 3 4 3 2" xfId="13011"/>
    <cellStyle name="Total 3 5" xfId="8177"/>
    <cellStyle name="Total 3 5 2" xfId="6200"/>
    <cellStyle name="Total 3 5 2 2" xfId="12925"/>
    <cellStyle name="Total 3 6" xfId="6458"/>
    <cellStyle name="Total 3 6 2" xfId="13152"/>
    <cellStyle name="Total 4" xfId="4383"/>
    <cellStyle name="Total 4 2" xfId="4384"/>
    <cellStyle name="Total 4 2 2" xfId="4385"/>
    <cellStyle name="Total 4 2 2 2" xfId="5503"/>
    <cellStyle name="Total 4 2 2 2 2" xfId="9246"/>
    <cellStyle name="Total 4 2 2 2 2 2" xfId="6257"/>
    <cellStyle name="Total 4 2 2 2 2 2 2" xfId="12982"/>
    <cellStyle name="Total 4 2 2 2 3" xfId="7527"/>
    <cellStyle name="Total 4 2 2 3" xfId="8183"/>
    <cellStyle name="Total 4 2 2 3 2" xfId="6206"/>
    <cellStyle name="Total 4 2 2 3 2 2" xfId="12931"/>
    <cellStyle name="Total 4 2 2 4" xfId="6464"/>
    <cellStyle name="Total 4 2 3" xfId="5502"/>
    <cellStyle name="Total 4 2 3 2" xfId="9245"/>
    <cellStyle name="Total 4 2 3 2 2" xfId="6256"/>
    <cellStyle name="Total 4 2 3 2 2 2" xfId="12981"/>
    <cellStyle name="Total 4 2 3 3" xfId="7526"/>
    <cellStyle name="Total 4 2 4" xfId="8182"/>
    <cellStyle name="Total 4 2 4 2" xfId="6205"/>
    <cellStyle name="Total 4 2 4 2 2" xfId="12930"/>
    <cellStyle name="Total 4 2 5" xfId="6463"/>
    <cellStyle name="Total 4 3" xfId="4386"/>
    <cellStyle name="Total 4 3 2" xfId="5504"/>
    <cellStyle name="Total 4 3 2 2" xfId="9247"/>
    <cellStyle name="Total 4 3 2 2 2" xfId="6258"/>
    <cellStyle name="Total 4 3 2 2 2 2" xfId="12983"/>
    <cellStyle name="Total 4 3 2 3" xfId="7528"/>
    <cellStyle name="Total 4 3 3" xfId="8184"/>
    <cellStyle name="Total 4 3 3 2" xfId="6207"/>
    <cellStyle name="Total 4 3 3 2 2" xfId="12932"/>
    <cellStyle name="Total 4 3 4" xfId="6465"/>
    <cellStyle name="Total 4 4" xfId="5501"/>
    <cellStyle name="Total 4 4 2" xfId="9244"/>
    <cellStyle name="Total 4 4 2 2" xfId="6255"/>
    <cellStyle name="Total 4 4 2 2 2" xfId="12980"/>
    <cellStyle name="Total 4 4 3" xfId="7525"/>
    <cellStyle name="Total 4 5" xfId="8181"/>
    <cellStyle name="Total 4 5 2" xfId="6204"/>
    <cellStyle name="Total 4 5 2 2" xfId="12929"/>
    <cellStyle name="Total 4 6" xfId="6462"/>
    <cellStyle name="total label" xfId="4387"/>
    <cellStyle name="total variable" xfId="4388"/>
    <cellStyle name="total variable 2" xfId="5505"/>
    <cellStyle name="True value/switch" xfId="4389"/>
    <cellStyle name="Units" xfId="4390"/>
    <cellStyle name="Währung [0]_RESULTS" xfId="4391"/>
    <cellStyle name="Währung_RESULTS" xfId="4392"/>
    <cellStyle name="Warning" xfId="4393"/>
    <cellStyle name="WorkbookLinkCurrency" xfId="4394"/>
    <cellStyle name="WorkbookLinkCurrency 2" xfId="10149"/>
    <cellStyle name="WorkbookLinkNumber" xfId="4395"/>
    <cellStyle name="WorkbookLinkNumber 2" xfId="10150"/>
    <cellStyle name="WorkbookLinkPercent" xfId="4396"/>
    <cellStyle name="WorkbookLinkPercent 2" xfId="10151"/>
    <cellStyle name="WorkbookLinkText" xfId="4397"/>
    <cellStyle name="WorkbookLinkText 2" xfId="10152"/>
    <cellStyle name="year" xfId="4398"/>
    <cellStyle name="yeardate" xfId="4399"/>
    <cellStyle name="years" xfId="4400"/>
    <cellStyle name="yesnoformat" xfId="4401"/>
  </cellStyles>
  <dxfs count="1">
    <dxf>
      <font>
        <color rgb="FF9C0006"/>
      </font>
      <fill>
        <patternFill>
          <bgColor rgb="FFFFC7CE"/>
        </patternFill>
      </fill>
    </dxf>
  </dxfs>
  <tableStyles count="0" defaultTableStyle="TableStyleMedium9" defaultPivotStyle="PivotStyleLight16"/>
  <colors>
    <mruColors>
      <color rgb="FF66FF66"/>
      <color rgb="FF00FF00"/>
      <color rgb="FF99FF99"/>
      <color rgb="FF0066FF"/>
      <color rgb="FFFFFF99"/>
      <color rgb="FFFFFF66"/>
      <color rgb="FFFFFFCC"/>
      <color rgb="FF00FFFF"/>
      <color rgb="FF8FFC68"/>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8.png"/><Relationship Id="rId7" Type="http://schemas.openxmlformats.org/officeDocument/2006/relationships/image" Target="../media/image11.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102</xdr:row>
      <xdr:rowOff>0</xdr:rowOff>
    </xdr:from>
    <xdr:to>
      <xdr:col>0</xdr:col>
      <xdr:colOff>640080</xdr:colOff>
      <xdr:row>104</xdr:row>
      <xdr:rowOff>1953</xdr:rowOff>
    </xdr:to>
    <xdr:pic>
      <xdr:nvPicPr>
        <xdr:cNvPr id="9"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1252579</xdr:colOff>
      <xdr:row>104</xdr:row>
      <xdr:rowOff>25852</xdr:rowOff>
    </xdr:to>
    <xdr:pic>
      <xdr:nvPicPr>
        <xdr:cNvPr id="10"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1839319</xdr:colOff>
      <xdr:row>104</xdr:row>
      <xdr:rowOff>19594</xdr:rowOff>
    </xdr:to>
    <xdr:pic>
      <xdr:nvPicPr>
        <xdr:cNvPr id="11"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102</xdr:row>
      <xdr:rowOff>0</xdr:rowOff>
    </xdr:from>
    <xdr:to>
      <xdr:col>0</xdr:col>
      <xdr:colOff>640080</xdr:colOff>
      <xdr:row>104</xdr:row>
      <xdr:rowOff>1953</xdr:rowOff>
    </xdr:to>
    <xdr:pic>
      <xdr:nvPicPr>
        <xdr:cNvPr id="1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885825"/>
          <a:ext cx="1905" cy="303440"/>
        </a:xfrm>
        <a:prstGeom prst="rect">
          <a:avLst/>
        </a:prstGeom>
        <a:noFill/>
        <a:ln w="9525">
          <a:noFill/>
          <a:miter lim="800000"/>
          <a:headEnd/>
          <a:tailEnd/>
        </a:ln>
      </xdr:spPr>
    </xdr:pic>
    <xdr:clientData/>
  </xdr:twoCellAnchor>
  <xdr:twoCellAnchor editAs="oneCell">
    <xdr:from>
      <xdr:col>0</xdr:col>
      <xdr:colOff>1247775</xdr:colOff>
      <xdr:row>102</xdr:row>
      <xdr:rowOff>0</xdr:rowOff>
    </xdr:from>
    <xdr:to>
      <xdr:col>0</xdr:col>
      <xdr:colOff>1252579</xdr:colOff>
      <xdr:row>104</xdr:row>
      <xdr:rowOff>25852</xdr:rowOff>
    </xdr:to>
    <xdr:pic>
      <xdr:nvPicPr>
        <xdr:cNvPr id="13"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885825"/>
          <a:ext cx="1905" cy="330652"/>
        </a:xfrm>
        <a:prstGeom prst="rect">
          <a:avLst/>
        </a:prstGeom>
        <a:noFill/>
        <a:ln w="9525">
          <a:noFill/>
          <a:miter lim="800000"/>
          <a:headEnd/>
          <a:tailEnd/>
        </a:ln>
      </xdr:spPr>
    </xdr:pic>
    <xdr:clientData/>
  </xdr:twoCellAnchor>
  <xdr:twoCellAnchor editAs="oneCell">
    <xdr:from>
      <xdr:col>0</xdr:col>
      <xdr:colOff>1838325</xdr:colOff>
      <xdr:row>102</xdr:row>
      <xdr:rowOff>0</xdr:rowOff>
    </xdr:from>
    <xdr:to>
      <xdr:col>0</xdr:col>
      <xdr:colOff>1839319</xdr:colOff>
      <xdr:row>104</xdr:row>
      <xdr:rowOff>19594</xdr:rowOff>
    </xdr:to>
    <xdr:pic>
      <xdr:nvPicPr>
        <xdr:cNvPr id="14"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885825"/>
          <a:ext cx="1905" cy="324394"/>
        </a:xfrm>
        <a:prstGeom prst="rect">
          <a:avLst/>
        </a:prstGeom>
        <a:noFill/>
        <a:ln w="9525">
          <a:noFill/>
          <a:miter lim="800000"/>
          <a:headEnd/>
          <a:tailEnd/>
        </a:ln>
      </xdr:spPr>
    </xdr:pic>
    <xdr:clientData/>
  </xdr:twoCellAnchor>
  <xdr:twoCellAnchor editAs="oneCell">
    <xdr:from>
      <xdr:col>0</xdr:col>
      <xdr:colOff>638175</xdr:colOff>
      <xdr:row>34</xdr:row>
      <xdr:rowOff>0</xdr:rowOff>
    </xdr:from>
    <xdr:to>
      <xdr:col>0</xdr:col>
      <xdr:colOff>640080</xdr:colOff>
      <xdr:row>36</xdr:row>
      <xdr:rowOff>11976</xdr:rowOff>
    </xdr:to>
    <xdr:pic>
      <xdr:nvPicPr>
        <xdr:cNvPr id="21"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2475" y="937260"/>
          <a:ext cx="1905" cy="316775"/>
        </a:xfrm>
        <a:prstGeom prst="rect">
          <a:avLst/>
        </a:prstGeom>
        <a:noFill/>
        <a:ln w="9525">
          <a:noFill/>
          <a:miter lim="800000"/>
          <a:headEnd/>
          <a:tailEnd/>
        </a:ln>
      </xdr:spPr>
    </xdr:pic>
    <xdr:clientData/>
  </xdr:twoCellAnchor>
  <xdr:twoCellAnchor editAs="oneCell">
    <xdr:from>
      <xdr:col>0</xdr:col>
      <xdr:colOff>1247775</xdr:colOff>
      <xdr:row>34</xdr:row>
      <xdr:rowOff>0</xdr:rowOff>
    </xdr:from>
    <xdr:to>
      <xdr:col>0</xdr:col>
      <xdr:colOff>1249680</xdr:colOff>
      <xdr:row>36</xdr:row>
      <xdr:rowOff>52523</xdr:rowOff>
    </xdr:to>
    <xdr:pic>
      <xdr:nvPicPr>
        <xdr:cNvPr id="22"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2075" y="937260"/>
          <a:ext cx="1905" cy="357322"/>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1840230</xdr:colOff>
      <xdr:row>36</xdr:row>
      <xdr:rowOff>46265</xdr:rowOff>
    </xdr:to>
    <xdr:pic>
      <xdr:nvPicPr>
        <xdr:cNvPr id="23"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2625" y="937260"/>
          <a:ext cx="1905" cy="351064"/>
        </a:xfrm>
        <a:prstGeom prst="rect">
          <a:avLst/>
        </a:prstGeom>
        <a:noFill/>
        <a:ln w="9525">
          <a:noFill/>
          <a:miter lim="800000"/>
          <a:headEnd/>
          <a:tailEnd/>
        </a:ln>
      </xdr:spPr>
    </xdr:pic>
    <xdr:clientData/>
  </xdr:twoCellAnchor>
  <xdr:twoCellAnchor editAs="oneCell">
    <xdr:from>
      <xdr:col>0</xdr:col>
      <xdr:colOff>1838325</xdr:colOff>
      <xdr:row>34</xdr:row>
      <xdr:rowOff>0</xdr:rowOff>
    </xdr:from>
    <xdr:to>
      <xdr:col>0</xdr:col>
      <xdr:colOff>1840230</xdr:colOff>
      <xdr:row>36</xdr:row>
      <xdr:rowOff>46265</xdr:rowOff>
    </xdr:to>
    <xdr:pic>
      <xdr:nvPicPr>
        <xdr:cNvPr id="26"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286000"/>
          <a:ext cx="1905" cy="3510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55</xdr:row>
      <xdr:rowOff>0</xdr:rowOff>
    </xdr:from>
    <xdr:to>
      <xdr:col>0</xdr:col>
      <xdr:colOff>640080</xdr:colOff>
      <xdr:row>57</xdr:row>
      <xdr:rowOff>1954</xdr:rowOff>
    </xdr:to>
    <xdr:pic>
      <xdr:nvPicPr>
        <xdr:cNvPr id="3"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4"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5"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1954</xdr:rowOff>
    </xdr:to>
    <xdr:pic>
      <xdr:nvPicPr>
        <xdr:cNvPr id="6"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21671280"/>
          <a:ext cx="1905" cy="306753"/>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1252579</xdr:colOff>
      <xdr:row>57</xdr:row>
      <xdr:rowOff>25853</xdr:rowOff>
    </xdr:to>
    <xdr:pic>
      <xdr:nvPicPr>
        <xdr:cNvPr id="7"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21671280"/>
          <a:ext cx="4804" cy="33065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1839236</xdr:colOff>
      <xdr:row>57</xdr:row>
      <xdr:rowOff>19595</xdr:rowOff>
    </xdr:to>
    <xdr:pic>
      <xdr:nvPicPr>
        <xdr:cNvPr id="8"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21671280"/>
          <a:ext cx="994" cy="32439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9"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0"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1"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twoCellAnchor editAs="oneCell">
    <xdr:from>
      <xdr:col>0</xdr:col>
      <xdr:colOff>638175</xdr:colOff>
      <xdr:row>55</xdr:row>
      <xdr:rowOff>0</xdr:rowOff>
    </xdr:from>
    <xdr:to>
      <xdr:col>0</xdr:col>
      <xdr:colOff>640080</xdr:colOff>
      <xdr:row>57</xdr:row>
      <xdr:rowOff>11976</xdr:rowOff>
    </xdr:to>
    <xdr:pic>
      <xdr:nvPicPr>
        <xdr:cNvPr id="1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638175" y="4602480"/>
          <a:ext cx="1905" cy="316775"/>
        </a:xfrm>
        <a:prstGeom prst="rect">
          <a:avLst/>
        </a:prstGeom>
        <a:noFill/>
        <a:ln w="9525">
          <a:noFill/>
          <a:miter lim="800000"/>
          <a:headEnd/>
          <a:tailEnd/>
        </a:ln>
      </xdr:spPr>
    </xdr:pic>
    <xdr:clientData/>
  </xdr:twoCellAnchor>
  <xdr:twoCellAnchor editAs="oneCell">
    <xdr:from>
      <xdr:col>0</xdr:col>
      <xdr:colOff>1247775</xdr:colOff>
      <xdr:row>55</xdr:row>
      <xdr:rowOff>0</xdr:rowOff>
    </xdr:from>
    <xdr:to>
      <xdr:col>0</xdr:col>
      <xdr:colOff>1249680</xdr:colOff>
      <xdr:row>57</xdr:row>
      <xdr:rowOff>52523</xdr:rowOff>
    </xdr:to>
    <xdr:pic>
      <xdr:nvPicPr>
        <xdr:cNvPr id="13"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247775" y="4602480"/>
          <a:ext cx="1905" cy="357322"/>
        </a:xfrm>
        <a:prstGeom prst="rect">
          <a:avLst/>
        </a:prstGeom>
        <a:noFill/>
        <a:ln w="9525">
          <a:noFill/>
          <a:miter lim="800000"/>
          <a:headEnd/>
          <a:tailEnd/>
        </a:ln>
      </xdr:spPr>
    </xdr:pic>
    <xdr:clientData/>
  </xdr:twoCellAnchor>
  <xdr:twoCellAnchor editAs="oneCell">
    <xdr:from>
      <xdr:col>0</xdr:col>
      <xdr:colOff>1838325</xdr:colOff>
      <xdr:row>55</xdr:row>
      <xdr:rowOff>0</xdr:rowOff>
    </xdr:from>
    <xdr:to>
      <xdr:col>0</xdr:col>
      <xdr:colOff>1838325</xdr:colOff>
      <xdr:row>57</xdr:row>
      <xdr:rowOff>46265</xdr:rowOff>
    </xdr:to>
    <xdr:pic>
      <xdr:nvPicPr>
        <xdr:cNvPr id="14"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838325" y="4602480"/>
          <a:ext cx="1905" cy="3510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46</xdr:row>
      <xdr:rowOff>152400</xdr:rowOff>
    </xdr:from>
    <xdr:to>
      <xdr:col>1</xdr:col>
      <xdr:colOff>3853367</xdr:colOff>
      <xdr:row>50</xdr:row>
      <xdr:rowOff>156674</xdr:rowOff>
    </xdr:to>
    <xdr:pic>
      <xdr:nvPicPr>
        <xdr:cNvPr id="2"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55" r="2154" b="64717"/>
        <a:stretch/>
      </xdr:blipFill>
      <xdr:spPr bwMode="auto">
        <a:xfrm>
          <a:off x="333375" y="8153400"/>
          <a:ext cx="384765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276225</xdr:colOff>
      <xdr:row>56</xdr:row>
      <xdr:rowOff>85725</xdr:rowOff>
    </xdr:from>
    <xdr:to>
      <xdr:col>1</xdr:col>
      <xdr:colOff>1740812</xdr:colOff>
      <xdr:row>60</xdr:row>
      <xdr:rowOff>89999</xdr:rowOff>
    </xdr:to>
    <xdr:pic>
      <xdr:nvPicPr>
        <xdr:cNvPr id="3"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759" r="45672" b="64717"/>
        <a:stretch/>
      </xdr:blipFill>
      <xdr:spPr bwMode="auto">
        <a:xfrm>
          <a:off x="901065" y="9763125"/>
          <a:ext cx="1464587"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1809042</xdr:colOff>
      <xdr:row>87</xdr:row>
      <xdr:rowOff>51899</xdr:rowOff>
    </xdr:to>
    <xdr:pic>
      <xdr:nvPicPr>
        <xdr:cNvPr id="4" name="Picture 3">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7850" r="4788" b="64717"/>
        <a:stretch/>
      </xdr:blipFill>
      <xdr:spPr bwMode="auto">
        <a:xfrm>
          <a:off x="643890" y="14251305"/>
          <a:ext cx="1789992" cy="67483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5</xdr:col>
      <xdr:colOff>495300</xdr:colOff>
      <xdr:row>4</xdr:row>
      <xdr:rowOff>123825</xdr:rowOff>
    </xdr:from>
    <xdr:to>
      <xdr:col>13</xdr:col>
      <xdr:colOff>630555</xdr:colOff>
      <xdr:row>16</xdr:row>
      <xdr:rowOff>0</xdr:rowOff>
    </xdr:to>
    <xdr:pic>
      <xdr:nvPicPr>
        <xdr:cNvPr id="5" name="Picture 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8560" y="901065"/>
          <a:ext cx="4928235" cy="191071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2057400</xdr:colOff>
      <xdr:row>56</xdr:row>
      <xdr:rowOff>95250</xdr:rowOff>
    </xdr:from>
    <xdr:to>
      <xdr:col>13</xdr:col>
      <xdr:colOff>476250</xdr:colOff>
      <xdr:row>60</xdr:row>
      <xdr:rowOff>66675</xdr:rowOff>
    </xdr:to>
    <xdr:sp macro="" textlink="">
      <xdr:nvSpPr>
        <xdr:cNvPr id="6" name="TextBox 5">
          <a:extLst>
            <a:ext uri="{FF2B5EF4-FFF2-40B4-BE49-F238E27FC236}">
              <a16:creationId xmlns:a16="http://schemas.microsoft.com/office/drawing/2014/main" id="{00000000-0008-0000-0000-000002000000}"/>
            </a:ext>
          </a:extLst>
        </xdr:cNvPr>
        <xdr:cNvSpPr txBox="1"/>
      </xdr:nvSpPr>
      <xdr:spPr>
        <a:xfrm>
          <a:off x="2682240" y="9772650"/>
          <a:ext cx="10146030" cy="64198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1</xdr:col>
      <xdr:colOff>1914525</xdr:colOff>
      <xdr:row>84</xdr:row>
      <xdr:rowOff>9525</xdr:rowOff>
    </xdr:from>
    <xdr:to>
      <xdr:col>13</xdr:col>
      <xdr:colOff>333375</xdr:colOff>
      <xdr:row>87</xdr:row>
      <xdr:rowOff>142875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539365" y="14380845"/>
          <a:ext cx="10146030" cy="6362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1</xdr:col>
      <xdr:colOff>968681</xdr:colOff>
      <xdr:row>53</xdr:row>
      <xdr:rowOff>130481</xdr:rowOff>
    </xdr:to>
    <xdr:sp macro="" textlink="">
      <xdr:nvSpPr>
        <xdr:cNvPr id="8" name="Oval 7">
          <a:extLst>
            <a:ext uri="{FF2B5EF4-FFF2-40B4-BE49-F238E27FC236}">
              <a16:creationId xmlns:a16="http://schemas.microsoft.com/office/drawing/2014/main" id="{00000000-0008-0000-0000-00000A000000}"/>
            </a:ext>
          </a:extLst>
        </xdr:cNvPr>
        <xdr:cNvSpPr/>
      </xdr:nvSpPr>
      <xdr:spPr bwMode="gray">
        <a:xfrm>
          <a:off x="1177290" y="887730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a:extLst>
            <a:ext uri="{FF2B5EF4-FFF2-40B4-BE49-F238E27FC236}">
              <a16:creationId xmlns:a16="http://schemas.microsoft.com/office/drawing/2014/main" id="{00000000-0008-0000-0000-00000B000000}"/>
            </a:ext>
          </a:extLst>
        </xdr:cNvPr>
        <xdr:cNvSpPr/>
      </xdr:nvSpPr>
      <xdr:spPr bwMode="gray">
        <a:xfrm>
          <a:off x="2977658" y="886777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a:extLst>
            <a:ext uri="{FF2B5EF4-FFF2-40B4-BE49-F238E27FC236}">
              <a16:creationId xmlns:a16="http://schemas.microsoft.com/office/drawing/2014/main" id="{00000000-0008-0000-0000-00000C000000}"/>
            </a:ext>
          </a:extLst>
        </xdr:cNvPr>
        <xdr:cNvSpPr/>
      </xdr:nvSpPr>
      <xdr:spPr>
        <a:xfrm>
          <a:off x="2034683" y="8886825"/>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a:extLst>
            <a:ext uri="{FF2B5EF4-FFF2-40B4-BE49-F238E27FC236}">
              <a16:creationId xmlns:a16="http://schemas.microsoft.com/office/drawing/2014/main" id="{00000000-0008-0000-0000-00000D000000}"/>
            </a:ext>
          </a:extLst>
        </xdr:cNvPr>
        <xdr:cNvSpPr/>
      </xdr:nvSpPr>
      <xdr:spPr bwMode="gray">
        <a:xfrm>
          <a:off x="409575" y="9873615"/>
          <a:ext cx="43147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a:extLst>
            <a:ext uri="{FF2B5EF4-FFF2-40B4-BE49-F238E27FC236}">
              <a16:creationId xmlns:a16="http://schemas.microsoft.com/office/drawing/2014/main" id="{00000000-0008-0000-0000-00000E000000}"/>
            </a:ext>
          </a:extLst>
        </xdr:cNvPr>
        <xdr:cNvSpPr/>
      </xdr:nvSpPr>
      <xdr:spPr bwMode="gray">
        <a:xfrm>
          <a:off x="76200" y="14371320"/>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2430870</xdr:colOff>
      <xdr:row>120</xdr:row>
      <xdr:rowOff>5074</xdr:rowOff>
    </xdr:to>
    <xdr:pic>
      <xdr:nvPicPr>
        <xdr:cNvPr id="13" name="Picture 12">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0" r="32341" b="5256"/>
        <a:stretch/>
      </xdr:blipFill>
      <xdr:spPr bwMode="auto">
        <a:xfrm>
          <a:off x="561975" y="19305270"/>
          <a:ext cx="2425155" cy="115950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a:extLst>
            <a:ext uri="{FF2B5EF4-FFF2-40B4-BE49-F238E27FC236}">
              <a16:creationId xmlns:a16="http://schemas.microsoft.com/office/drawing/2014/main" id="{00000000-0008-0000-0000-000011000000}"/>
            </a:ext>
          </a:extLst>
        </xdr:cNvPr>
        <xdr:cNvSpPr/>
      </xdr:nvSpPr>
      <xdr:spPr bwMode="gray">
        <a:xfrm>
          <a:off x="3120390" y="19333845"/>
          <a:ext cx="416231"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a:extLst>
            <a:ext uri="{FF2B5EF4-FFF2-40B4-BE49-F238E27FC236}">
              <a16:creationId xmlns:a16="http://schemas.microsoft.com/office/drawing/2014/main" id="{00000000-0008-0000-0000-000012000000}"/>
            </a:ext>
          </a:extLst>
        </xdr:cNvPr>
        <xdr:cNvSpPr/>
      </xdr:nvSpPr>
      <xdr:spPr bwMode="gray">
        <a:xfrm>
          <a:off x="3110865" y="200425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a:extLst>
            <a:ext uri="{FF2B5EF4-FFF2-40B4-BE49-F238E27FC236}">
              <a16:creationId xmlns:a16="http://schemas.microsoft.com/office/drawing/2014/main" id="{00000000-0008-0000-0000-000013000000}"/>
            </a:ext>
          </a:extLst>
        </xdr:cNvPr>
        <xdr:cNvSpPr/>
      </xdr:nvSpPr>
      <xdr:spPr>
        <a:xfrm>
          <a:off x="3139440" y="19697700"/>
          <a:ext cx="360000" cy="37143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a:extLst>
            <a:ext uri="{FF2B5EF4-FFF2-40B4-BE49-F238E27FC236}">
              <a16:creationId xmlns:a16="http://schemas.microsoft.com/office/drawing/2014/main" id="{00000000-0008-0000-0000-000014000000}"/>
            </a:ext>
          </a:extLst>
        </xdr:cNvPr>
        <xdr:cNvSpPr/>
      </xdr:nvSpPr>
      <xdr:spPr bwMode="gray">
        <a:xfrm>
          <a:off x="57150" y="20918805"/>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2495640</xdr:colOff>
      <xdr:row>126</xdr:row>
      <xdr:rowOff>31187</xdr:rowOff>
    </xdr:to>
    <xdr:pic>
      <xdr:nvPicPr>
        <xdr:cNvPr id="18" name="Picture 17">
          <a:extLst>
            <a:ext uri="{FF2B5EF4-FFF2-40B4-BE49-F238E27FC236}">
              <a16:creationId xmlns:a16="http://schemas.microsoft.com/office/drawing/2014/main" id="{00000000-0008-0000-0000-00001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34161" r="32341" b="35547"/>
        <a:stretch/>
      </xdr:blipFill>
      <xdr:spPr bwMode="auto">
        <a:xfrm>
          <a:off x="710565" y="20914118"/>
          <a:ext cx="2409915" cy="58260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123</xdr:row>
      <xdr:rowOff>9525</xdr:rowOff>
    </xdr:from>
    <xdr:to>
      <xdr:col>14</xdr:col>
      <xdr:colOff>590550</xdr:colOff>
      <xdr:row>125</xdr:row>
      <xdr:rowOff>152400</xdr:rowOff>
    </xdr:to>
    <xdr:sp macro="" textlink="">
      <xdr:nvSpPr>
        <xdr:cNvPr id="19" name="TextBox 18">
          <a:extLst>
            <a:ext uri="{FF2B5EF4-FFF2-40B4-BE49-F238E27FC236}">
              <a16:creationId xmlns:a16="http://schemas.microsoft.com/office/drawing/2014/main" id="{00000000-0008-0000-0000-000017000000}"/>
            </a:ext>
          </a:extLst>
        </xdr:cNvPr>
        <xdr:cNvSpPr txBox="1"/>
      </xdr:nvSpPr>
      <xdr:spPr>
        <a:xfrm>
          <a:off x="3406140" y="20972145"/>
          <a:ext cx="10161270" cy="478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a:extLst>
            <a:ext uri="{FF2B5EF4-FFF2-40B4-BE49-F238E27FC236}">
              <a16:creationId xmlns:a16="http://schemas.microsoft.com/office/drawing/2014/main" id="{00000000-0008-0000-0000-000018000000}"/>
            </a:ext>
          </a:extLst>
        </xdr:cNvPr>
        <xdr:cNvSpPr/>
      </xdr:nvSpPr>
      <xdr:spPr bwMode="gray">
        <a:xfrm>
          <a:off x="85725" y="2796921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2428965</xdr:colOff>
      <xdr:row>168</xdr:row>
      <xdr:rowOff>7300</xdr:rowOff>
    </xdr:to>
    <xdr:pic>
      <xdr:nvPicPr>
        <xdr:cNvPr id="21" name="Picture 20">
          <a:extLst>
            <a:ext uri="{FF2B5EF4-FFF2-40B4-BE49-F238E27FC236}">
              <a16:creationId xmlns:a16="http://schemas.microsoft.com/office/drawing/2014/main" id="{00000000-0008-0000-0000-00001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58" t="64453" r="32341" b="5255"/>
        <a:stretch/>
      </xdr:blipFill>
      <xdr:spPr bwMode="auto">
        <a:xfrm>
          <a:off x="643890" y="27931110"/>
          <a:ext cx="2409915" cy="58261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2781300</xdr:colOff>
      <xdr:row>164</xdr:row>
      <xdr:rowOff>142875</xdr:rowOff>
    </xdr:from>
    <xdr:to>
      <xdr:col>14</xdr:col>
      <xdr:colOff>590550</xdr:colOff>
      <xdr:row>167</xdr:row>
      <xdr:rowOff>123825</xdr:rowOff>
    </xdr:to>
    <xdr:sp macro="" textlink="">
      <xdr:nvSpPr>
        <xdr:cNvPr id="22" name="TextBox 21">
          <a:extLst>
            <a:ext uri="{FF2B5EF4-FFF2-40B4-BE49-F238E27FC236}">
              <a16:creationId xmlns:a16="http://schemas.microsoft.com/office/drawing/2014/main" id="{00000000-0008-0000-0000-00001C000000}"/>
            </a:ext>
          </a:extLst>
        </xdr:cNvPr>
        <xdr:cNvSpPr txBox="1"/>
      </xdr:nvSpPr>
      <xdr:spPr>
        <a:xfrm>
          <a:off x="3406140" y="27978735"/>
          <a:ext cx="10161270" cy="48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8</xdr:col>
      <xdr:colOff>352425</xdr:colOff>
      <xdr:row>1</xdr:row>
      <xdr:rowOff>47625</xdr:rowOff>
    </xdr:from>
    <xdr:to>
      <xdr:col>9</xdr:col>
      <xdr:colOff>159056</xdr:colOff>
      <xdr:row>3</xdr:row>
      <xdr:rowOff>130481</xdr:rowOff>
    </xdr:to>
    <xdr:sp macro="" textlink="">
      <xdr:nvSpPr>
        <xdr:cNvPr id="23" name="Oval 22">
          <a:extLst>
            <a:ext uri="{FF2B5EF4-FFF2-40B4-BE49-F238E27FC236}">
              <a16:creationId xmlns:a16="http://schemas.microsoft.com/office/drawing/2014/main" id="{00000000-0008-0000-0000-00001E000000}"/>
            </a:ext>
          </a:extLst>
        </xdr:cNvPr>
        <xdr:cNvSpPr/>
      </xdr:nvSpPr>
      <xdr:spPr bwMode="gray">
        <a:xfrm>
          <a:off x="9580245" y="314325"/>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11</xdr:col>
      <xdr:colOff>304800</xdr:colOff>
      <xdr:row>1</xdr:row>
      <xdr:rowOff>19050</xdr:rowOff>
    </xdr:from>
    <xdr:to>
      <xdr:col>12</xdr:col>
      <xdr:colOff>111431</xdr:colOff>
      <xdr:row>3</xdr:row>
      <xdr:rowOff>101906</xdr:rowOff>
    </xdr:to>
    <xdr:sp macro="" textlink="">
      <xdr:nvSpPr>
        <xdr:cNvPr id="24" name="Oval 23">
          <a:extLst>
            <a:ext uri="{FF2B5EF4-FFF2-40B4-BE49-F238E27FC236}">
              <a16:creationId xmlns:a16="http://schemas.microsoft.com/office/drawing/2014/main" id="{00000000-0008-0000-0000-00001F000000}"/>
            </a:ext>
          </a:extLst>
        </xdr:cNvPr>
        <xdr:cNvSpPr/>
      </xdr:nvSpPr>
      <xdr:spPr bwMode="gray">
        <a:xfrm>
          <a:off x="11407140" y="285750"/>
          <a:ext cx="43147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10</xdr:col>
      <xdr:colOff>314325</xdr:colOff>
      <xdr:row>9</xdr:row>
      <xdr:rowOff>19050</xdr:rowOff>
    </xdr:from>
    <xdr:to>
      <xdr:col>11</xdr:col>
      <xdr:colOff>120956</xdr:colOff>
      <xdr:row>11</xdr:row>
      <xdr:rowOff>120956</xdr:rowOff>
    </xdr:to>
    <xdr:sp macro="" textlink="">
      <xdr:nvSpPr>
        <xdr:cNvPr id="25" name="Oval 24">
          <a:extLst>
            <a:ext uri="{FF2B5EF4-FFF2-40B4-BE49-F238E27FC236}">
              <a16:creationId xmlns:a16="http://schemas.microsoft.com/office/drawing/2014/main" id="{00000000-0008-0000-0000-000022000000}"/>
            </a:ext>
          </a:extLst>
        </xdr:cNvPr>
        <xdr:cNvSpPr/>
      </xdr:nvSpPr>
      <xdr:spPr bwMode="gray">
        <a:xfrm>
          <a:off x="10791825" y="1642110"/>
          <a:ext cx="431471" cy="4448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11</xdr:col>
      <xdr:colOff>190500</xdr:colOff>
      <xdr:row>16</xdr:row>
      <xdr:rowOff>114300</xdr:rowOff>
    </xdr:from>
    <xdr:to>
      <xdr:col>11</xdr:col>
      <xdr:colOff>606731</xdr:colOff>
      <xdr:row>19</xdr:row>
      <xdr:rowOff>44756</xdr:rowOff>
    </xdr:to>
    <xdr:sp macro="" textlink="">
      <xdr:nvSpPr>
        <xdr:cNvPr id="26" name="Oval 25">
          <a:extLst>
            <a:ext uri="{FF2B5EF4-FFF2-40B4-BE49-F238E27FC236}">
              <a16:creationId xmlns:a16="http://schemas.microsoft.com/office/drawing/2014/main" id="{00000000-0008-0000-0000-000024000000}"/>
            </a:ext>
          </a:extLst>
        </xdr:cNvPr>
        <xdr:cNvSpPr/>
      </xdr:nvSpPr>
      <xdr:spPr bwMode="gray">
        <a:xfrm>
          <a:off x="11292840" y="2926080"/>
          <a:ext cx="41623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10</xdr:col>
      <xdr:colOff>114300</xdr:colOff>
      <xdr:row>8</xdr:row>
      <xdr:rowOff>152399</xdr:rowOff>
    </xdr:from>
    <xdr:to>
      <xdr:col>10</xdr:col>
      <xdr:colOff>160019</xdr:colOff>
      <xdr:row>12</xdr:row>
      <xdr:rowOff>19049</xdr:rowOff>
    </xdr:to>
    <xdr:sp macro="" textlink="">
      <xdr:nvSpPr>
        <xdr:cNvPr id="27" name="Right Brace 26">
          <a:extLst>
            <a:ext uri="{FF2B5EF4-FFF2-40B4-BE49-F238E27FC236}">
              <a16:creationId xmlns:a16="http://schemas.microsoft.com/office/drawing/2014/main" id="{00000000-0008-0000-0000-000004000000}"/>
            </a:ext>
          </a:extLst>
        </xdr:cNvPr>
        <xdr:cNvSpPr/>
      </xdr:nvSpPr>
      <xdr:spPr>
        <a:xfrm>
          <a:off x="10591800" y="1600199"/>
          <a:ext cx="45719" cy="56007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428624</xdr:colOff>
      <xdr:row>4</xdr:row>
      <xdr:rowOff>28574</xdr:rowOff>
    </xdr:from>
    <xdr:to>
      <xdr:col>10</xdr:col>
      <xdr:colOff>38100</xdr:colOff>
      <xdr:row>4</xdr:row>
      <xdr:rowOff>161924</xdr:rowOff>
    </xdr:to>
    <xdr:sp macro="" textlink="">
      <xdr:nvSpPr>
        <xdr:cNvPr id="28" name="Right Brace 27">
          <a:extLst>
            <a:ext uri="{FF2B5EF4-FFF2-40B4-BE49-F238E27FC236}">
              <a16:creationId xmlns:a16="http://schemas.microsoft.com/office/drawing/2014/main" id="{00000000-0008-0000-0000-000025000000}"/>
            </a:ext>
          </a:extLst>
        </xdr:cNvPr>
        <xdr:cNvSpPr/>
      </xdr:nvSpPr>
      <xdr:spPr>
        <a:xfrm rot="16200000">
          <a:off x="9706927" y="130491"/>
          <a:ext cx="133350" cy="148399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10</xdr:col>
      <xdr:colOff>266700</xdr:colOff>
      <xdr:row>3</xdr:row>
      <xdr:rowOff>152400</xdr:rowOff>
    </xdr:from>
    <xdr:to>
      <xdr:col>13</xdr:col>
      <xdr:colOff>152400</xdr:colOff>
      <xdr:row>4</xdr:row>
      <xdr:rowOff>123825</xdr:rowOff>
    </xdr:to>
    <xdr:sp macro="" textlink="">
      <xdr:nvSpPr>
        <xdr:cNvPr id="29" name="Right Brace 28">
          <a:extLst>
            <a:ext uri="{FF2B5EF4-FFF2-40B4-BE49-F238E27FC236}">
              <a16:creationId xmlns:a16="http://schemas.microsoft.com/office/drawing/2014/main" id="{00000000-0008-0000-0000-000026000000}"/>
            </a:ext>
          </a:extLst>
        </xdr:cNvPr>
        <xdr:cNvSpPr/>
      </xdr:nvSpPr>
      <xdr:spPr>
        <a:xfrm rot="16200000">
          <a:off x="11554777" y="-48577"/>
          <a:ext cx="139065" cy="176022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227645</xdr:colOff>
      <xdr:row>15</xdr:row>
      <xdr:rowOff>105728</xdr:rowOff>
    </xdr:from>
    <xdr:to>
      <xdr:col>11</xdr:col>
      <xdr:colOff>57148</xdr:colOff>
      <xdr:row>16</xdr:row>
      <xdr:rowOff>57150</xdr:rowOff>
    </xdr:to>
    <xdr:sp macro="" textlink="">
      <xdr:nvSpPr>
        <xdr:cNvPr id="30" name="Right Brace 29">
          <a:extLst>
            <a:ext uri="{FF2B5EF4-FFF2-40B4-BE49-F238E27FC236}">
              <a16:creationId xmlns:a16="http://schemas.microsoft.com/office/drawing/2014/main" id="{00000000-0008-0000-0000-000027000000}"/>
            </a:ext>
          </a:extLst>
        </xdr:cNvPr>
        <xdr:cNvSpPr/>
      </xdr:nvSpPr>
      <xdr:spPr>
        <a:xfrm rot="5400000">
          <a:off x="9935526" y="1644967"/>
          <a:ext cx="119062" cy="232886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238123</xdr:colOff>
      <xdr:row>15</xdr:row>
      <xdr:rowOff>85726</xdr:rowOff>
    </xdr:from>
    <xdr:to>
      <xdr:col>11</xdr:col>
      <xdr:colOff>561975</xdr:colOff>
      <xdr:row>16</xdr:row>
      <xdr:rowOff>57151</xdr:rowOff>
    </xdr:to>
    <xdr:sp macro="" textlink="">
      <xdr:nvSpPr>
        <xdr:cNvPr id="31" name="Right Brace 30">
          <a:extLst>
            <a:ext uri="{FF2B5EF4-FFF2-40B4-BE49-F238E27FC236}">
              <a16:creationId xmlns:a16="http://schemas.microsoft.com/office/drawing/2014/main" id="{00000000-0008-0000-0000-000028000000}"/>
            </a:ext>
          </a:extLst>
        </xdr:cNvPr>
        <xdr:cNvSpPr/>
      </xdr:nvSpPr>
      <xdr:spPr>
        <a:xfrm rot="5400000">
          <a:off x="11432856" y="2637473"/>
          <a:ext cx="13906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552450</xdr:colOff>
      <xdr:row>16</xdr:row>
      <xdr:rowOff>104775</xdr:rowOff>
    </xdr:from>
    <xdr:to>
      <xdr:col>9</xdr:col>
      <xdr:colOff>359081</xdr:colOff>
      <xdr:row>19</xdr:row>
      <xdr:rowOff>35231</xdr:rowOff>
    </xdr:to>
    <xdr:sp macro="" textlink="">
      <xdr:nvSpPr>
        <xdr:cNvPr id="32" name="Oval 31">
          <a:extLst>
            <a:ext uri="{FF2B5EF4-FFF2-40B4-BE49-F238E27FC236}">
              <a16:creationId xmlns:a16="http://schemas.microsoft.com/office/drawing/2014/main" id="{00000000-0008-0000-0000-000029000000}"/>
            </a:ext>
          </a:extLst>
        </xdr:cNvPr>
        <xdr:cNvSpPr/>
      </xdr:nvSpPr>
      <xdr:spPr bwMode="gray">
        <a:xfrm>
          <a:off x="9780270" y="2916555"/>
          <a:ext cx="431471"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3673837</xdr:colOff>
      <xdr:row>215</xdr:row>
      <xdr:rowOff>47625</xdr:rowOff>
    </xdr:to>
    <xdr:pic>
      <xdr:nvPicPr>
        <xdr:cNvPr id="33" name="Picture 32">
          <a:extLst>
            <a:ext uri="{FF2B5EF4-FFF2-40B4-BE49-F238E27FC236}">
              <a16:creationId xmlns:a16="http://schemas.microsoft.com/office/drawing/2014/main" id="{00000000-0008-0000-0000-00002A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72"/>
        <a:stretch/>
      </xdr:blipFill>
      <xdr:spPr bwMode="auto">
        <a:xfrm>
          <a:off x="581025" y="34987230"/>
          <a:ext cx="3664312" cy="149923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3609975</xdr:colOff>
      <xdr:row>207</xdr:row>
      <xdr:rowOff>66675</xdr:rowOff>
    </xdr:from>
    <xdr:to>
      <xdr:col>3</xdr:col>
      <xdr:colOff>16181</xdr:colOff>
      <xdr:row>209</xdr:row>
      <xdr:rowOff>159056</xdr:rowOff>
    </xdr:to>
    <xdr:sp macro="" textlink="">
      <xdr:nvSpPr>
        <xdr:cNvPr id="34" name="Oval 33">
          <a:extLst>
            <a:ext uri="{FF2B5EF4-FFF2-40B4-BE49-F238E27FC236}">
              <a16:creationId xmlns:a16="http://schemas.microsoft.com/office/drawing/2014/main" id="{00000000-0008-0000-0000-00002B000000}"/>
            </a:ext>
          </a:extLst>
        </xdr:cNvPr>
        <xdr:cNvSpPr/>
      </xdr:nvSpPr>
      <xdr:spPr bwMode="gray">
        <a:xfrm>
          <a:off x="4234815" y="35164395"/>
          <a:ext cx="1427786" cy="42766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a:extLst>
            <a:ext uri="{FF2B5EF4-FFF2-40B4-BE49-F238E27FC236}">
              <a16:creationId xmlns:a16="http://schemas.microsoft.com/office/drawing/2014/main" id="{00000000-0008-0000-0000-00002C000000}"/>
            </a:ext>
          </a:extLst>
        </xdr:cNvPr>
        <xdr:cNvSpPr/>
      </xdr:nvSpPr>
      <xdr:spPr>
        <a:xfrm>
          <a:off x="4263390" y="35619690"/>
          <a:ext cx="360000" cy="37143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1</xdr:col>
      <xdr:colOff>3629025</xdr:colOff>
      <xdr:row>212</xdr:row>
      <xdr:rowOff>76200</xdr:rowOff>
    </xdr:from>
    <xdr:to>
      <xdr:col>3</xdr:col>
      <xdr:colOff>35231</xdr:colOff>
      <xdr:row>215</xdr:row>
      <xdr:rowOff>6656</xdr:rowOff>
    </xdr:to>
    <xdr:sp macro="" textlink="">
      <xdr:nvSpPr>
        <xdr:cNvPr id="36" name="Oval 35">
          <a:extLst>
            <a:ext uri="{FF2B5EF4-FFF2-40B4-BE49-F238E27FC236}">
              <a16:creationId xmlns:a16="http://schemas.microsoft.com/office/drawing/2014/main" id="{00000000-0008-0000-0000-00002D000000}"/>
            </a:ext>
          </a:extLst>
        </xdr:cNvPr>
        <xdr:cNvSpPr/>
      </xdr:nvSpPr>
      <xdr:spPr bwMode="gray">
        <a:xfrm>
          <a:off x="4253865" y="36012120"/>
          <a:ext cx="1427786" cy="43337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3</xdr:col>
      <xdr:colOff>419100</xdr:colOff>
      <xdr:row>208</xdr:row>
      <xdr:rowOff>19050</xdr:rowOff>
    </xdr:from>
    <xdr:to>
      <xdr:col>17</xdr:col>
      <xdr:colOff>409575</xdr:colOff>
      <xdr:row>209</xdr:row>
      <xdr:rowOff>152400</xdr:rowOff>
    </xdr:to>
    <xdr:sp macro="" textlink="">
      <xdr:nvSpPr>
        <xdr:cNvPr id="37" name="TextBox 36">
          <a:extLst>
            <a:ext uri="{FF2B5EF4-FFF2-40B4-BE49-F238E27FC236}">
              <a16:creationId xmlns:a16="http://schemas.microsoft.com/office/drawing/2014/main" id="{00000000-0008-0000-0000-00002E000000}"/>
            </a:ext>
          </a:extLst>
        </xdr:cNvPr>
        <xdr:cNvSpPr txBox="1"/>
      </xdr:nvSpPr>
      <xdr:spPr>
        <a:xfrm>
          <a:off x="6065520" y="35284410"/>
          <a:ext cx="9195435" cy="300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3</xdr:col>
      <xdr:colOff>419100</xdr:colOff>
      <xdr:row>210</xdr:row>
      <xdr:rowOff>152400</xdr:rowOff>
    </xdr:from>
    <xdr:to>
      <xdr:col>17</xdr:col>
      <xdr:colOff>409575</xdr:colOff>
      <xdr:row>212</xdr:row>
      <xdr:rowOff>123825</xdr:rowOff>
    </xdr:to>
    <xdr:sp macro="" textlink="">
      <xdr:nvSpPr>
        <xdr:cNvPr id="38" name="TextBox 37">
          <a:extLst>
            <a:ext uri="{FF2B5EF4-FFF2-40B4-BE49-F238E27FC236}">
              <a16:creationId xmlns:a16="http://schemas.microsoft.com/office/drawing/2014/main" id="{00000000-0008-0000-0000-00002F000000}"/>
            </a:ext>
          </a:extLst>
        </xdr:cNvPr>
        <xdr:cNvSpPr txBox="1"/>
      </xdr:nvSpPr>
      <xdr:spPr>
        <a:xfrm>
          <a:off x="6065520" y="35753040"/>
          <a:ext cx="9195435" cy="306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46</xdr:row>
      <xdr:rowOff>152400</xdr:rowOff>
    </xdr:from>
    <xdr:to>
      <xdr:col>1</xdr:col>
      <xdr:colOff>3879191</xdr:colOff>
      <xdr:row>50</xdr:row>
      <xdr:rowOff>156674</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95275" y="8020050"/>
          <a:ext cx="390861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276224</xdr:colOff>
      <xdr:row>56</xdr:row>
      <xdr:rowOff>85725</xdr:rowOff>
    </xdr:from>
    <xdr:to>
      <xdr:col>1</xdr:col>
      <xdr:colOff>2046816</xdr:colOff>
      <xdr:row>60</xdr:row>
      <xdr:rowOff>89999</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17574" y="9540875"/>
          <a:ext cx="1787525"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xdr:col>
      <xdr:colOff>19050</xdr:colOff>
      <xdr:row>83</xdr:row>
      <xdr:rowOff>47625</xdr:rowOff>
    </xdr:from>
    <xdr:to>
      <xdr:col>1</xdr:col>
      <xdr:colOff>1836559</xdr:colOff>
      <xdr:row>87</xdr:row>
      <xdr:rowOff>51899</xdr:rowOff>
    </xdr:to>
    <xdr:pic>
      <xdr:nvPicPr>
        <xdr:cNvPr id="4"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660400" y="13890625"/>
          <a:ext cx="1834442" cy="639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495300</xdr:colOff>
      <xdr:row>4</xdr:row>
      <xdr:rowOff>98425</xdr:rowOff>
    </xdr:from>
    <xdr:to>
      <xdr:col>16384</xdr:col>
      <xdr:colOff>400261</xdr:colOff>
      <xdr:row>15</xdr:row>
      <xdr:rowOff>143933</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77767" y="885825"/>
          <a:ext cx="4994275" cy="19335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1247775</xdr:colOff>
      <xdr:row>56</xdr:row>
      <xdr:rowOff>104775</xdr:rowOff>
    </xdr:from>
    <xdr:to>
      <xdr:col>13</xdr:col>
      <xdr:colOff>371475</xdr:colOff>
      <xdr:row>60</xdr:row>
      <xdr:rowOff>76200</xdr:rowOff>
    </xdr:to>
    <xdr:sp macro="" textlink="">
      <xdr:nvSpPr>
        <xdr:cNvPr id="6" name="TextBox 5"/>
        <xdr:cNvSpPr txBox="1"/>
      </xdr:nvSpPr>
      <xdr:spPr>
        <a:xfrm>
          <a:off x="2905125" y="9559925"/>
          <a:ext cx="9963150" cy="606425"/>
        </a:xfrm>
        <a:prstGeom prst="rect">
          <a:avLst/>
        </a:prstGeom>
        <a:solidFill>
          <a:schemeClr val="lt1"/>
        </a:solidFill>
        <a:ln w="9525" cmpd="sng">
          <a:solidFill>
            <a:srgbClr val="E83F3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before the Licensee has had w Formula Years of benefit from any saving in Capital Expenditure, the Capital Rolling Incentive therefore adds to the Total Regulatory Value an amount equal to that saving in Capital Expenduture that would have been made in the remaining Formula Years of period w."</a:t>
          </a:r>
          <a:endParaRPr lang="en-GB" sz="1100" i="1"/>
        </a:p>
      </xdr:txBody>
    </xdr:sp>
    <xdr:clientData/>
  </xdr:twoCellAnchor>
  <xdr:twoCellAnchor>
    <xdr:from>
      <xdr:col>2</xdr:col>
      <xdr:colOff>971550</xdr:colOff>
      <xdr:row>83</xdr:row>
      <xdr:rowOff>66675</xdr:rowOff>
    </xdr:from>
    <xdr:to>
      <xdr:col>13</xdr:col>
      <xdr:colOff>542925</xdr:colOff>
      <xdr:row>87</xdr:row>
      <xdr:rowOff>38100</xdr:rowOff>
    </xdr:to>
    <xdr:sp macro="" textlink="">
      <xdr:nvSpPr>
        <xdr:cNvPr id="7" name="TextBox 6"/>
        <xdr:cNvSpPr txBox="1"/>
      </xdr:nvSpPr>
      <xdr:spPr>
        <a:xfrm>
          <a:off x="2628900" y="13909675"/>
          <a:ext cx="10410825" cy="60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a:t>
          </a:r>
          <a:r>
            <a:rPr lang="en-GB" sz="1100" b="1" baseline="0"/>
            <a:t> Definition: </a:t>
          </a:r>
          <a:r>
            <a:rPr lang="en-GB" sz="1100" i="1" baseline="0"/>
            <a:t>"Where Formula Year n+1 occurs after the Licensee has had w Formula Years of benefit from any saving in Capital Expenditure, the Capital Rolling Incentive therefore subtracts from the total regulatory value an amount equal to that saving in Capital Expenditure that was made in the Formula Years after completion of period w."</a:t>
          </a:r>
          <a:endParaRPr lang="en-GB" sz="1100" i="1"/>
        </a:p>
      </xdr:txBody>
    </xdr:sp>
    <xdr:clientData/>
  </xdr:twoCellAnchor>
  <xdr:twoCellAnchor>
    <xdr:from>
      <xdr:col>1</xdr:col>
      <xdr:colOff>552450</xdr:colOff>
      <xdr:row>51</xdr:row>
      <xdr:rowOff>38100</xdr:rowOff>
    </xdr:from>
    <xdr:to>
      <xdr:col>2</xdr:col>
      <xdr:colOff>0</xdr:colOff>
      <xdr:row>53</xdr:row>
      <xdr:rowOff>130481</xdr:rowOff>
    </xdr:to>
    <xdr:sp macro="" textlink="">
      <xdr:nvSpPr>
        <xdr:cNvPr id="8" name="Oval 7"/>
        <xdr:cNvSpPr/>
      </xdr:nvSpPr>
      <xdr:spPr bwMode="gray">
        <a:xfrm>
          <a:off x="1193800" y="8699500"/>
          <a:ext cx="46355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xdr:col>
      <xdr:colOff>2352818</xdr:colOff>
      <xdr:row>51</xdr:row>
      <xdr:rowOff>28575</xdr:rowOff>
    </xdr:from>
    <xdr:to>
      <xdr:col>1</xdr:col>
      <xdr:colOff>2769049</xdr:colOff>
      <xdr:row>53</xdr:row>
      <xdr:rowOff>120956</xdr:rowOff>
    </xdr:to>
    <xdr:sp macro="" textlink="">
      <xdr:nvSpPr>
        <xdr:cNvPr id="9" name="Oval 8"/>
        <xdr:cNvSpPr/>
      </xdr:nvSpPr>
      <xdr:spPr bwMode="gray">
        <a:xfrm>
          <a:off x="1654318" y="8689975"/>
          <a:ext cx="34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xdr:col>
      <xdr:colOff>1409843</xdr:colOff>
      <xdr:row>51</xdr:row>
      <xdr:rowOff>47625</xdr:rowOff>
    </xdr:from>
    <xdr:to>
      <xdr:col>1</xdr:col>
      <xdr:colOff>1769843</xdr:colOff>
      <xdr:row>53</xdr:row>
      <xdr:rowOff>83775</xdr:rowOff>
    </xdr:to>
    <xdr:sp macro="" textlink="">
      <xdr:nvSpPr>
        <xdr:cNvPr id="10" name="Minus 9"/>
        <xdr:cNvSpPr/>
      </xdr:nvSpPr>
      <xdr:spPr>
        <a:xfrm>
          <a:off x="1657493" y="8709025"/>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409575</xdr:colOff>
      <xdr:row>57</xdr:row>
      <xdr:rowOff>28575</xdr:rowOff>
    </xdr:from>
    <xdr:to>
      <xdr:col>1</xdr:col>
      <xdr:colOff>216206</xdr:colOff>
      <xdr:row>59</xdr:row>
      <xdr:rowOff>120956</xdr:rowOff>
    </xdr:to>
    <xdr:sp macro="" textlink="">
      <xdr:nvSpPr>
        <xdr:cNvPr id="11" name="Oval 10"/>
        <xdr:cNvSpPr/>
      </xdr:nvSpPr>
      <xdr:spPr bwMode="gray">
        <a:xfrm>
          <a:off x="409575" y="9642475"/>
          <a:ext cx="44798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0</xdr:col>
      <xdr:colOff>76200</xdr:colOff>
      <xdr:row>84</xdr:row>
      <xdr:rowOff>0</xdr:rowOff>
    </xdr:from>
    <xdr:to>
      <xdr:col>0</xdr:col>
      <xdr:colOff>492431</xdr:colOff>
      <xdr:row>86</xdr:row>
      <xdr:rowOff>92381</xdr:rowOff>
    </xdr:to>
    <xdr:sp macro="" textlink="">
      <xdr:nvSpPr>
        <xdr:cNvPr id="12" name="Oval 11"/>
        <xdr:cNvSpPr/>
      </xdr:nvSpPr>
      <xdr:spPr bwMode="gray">
        <a:xfrm>
          <a:off x="76200" y="14001750"/>
          <a:ext cx="416231"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editAs="oneCell">
    <xdr:from>
      <xdr:col>0</xdr:col>
      <xdr:colOff>561975</xdr:colOff>
      <xdr:row>113</xdr:row>
      <xdr:rowOff>19050</xdr:rowOff>
    </xdr:from>
    <xdr:to>
      <xdr:col>1</xdr:col>
      <xdr:colOff>2456694</xdr:colOff>
      <xdr:row>120</xdr:row>
      <xdr:rowOff>5074</xdr:rowOff>
    </xdr:to>
    <xdr:pic>
      <xdr:nvPicPr>
        <xdr:cNvPr id="13" name="Picture 12"/>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561975" y="18815050"/>
          <a:ext cx="2486115" cy="1097274"/>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xdr:col>
      <xdr:colOff>2495550</xdr:colOff>
      <xdr:row>113</xdr:row>
      <xdr:rowOff>47625</xdr:rowOff>
    </xdr:from>
    <xdr:to>
      <xdr:col>1</xdr:col>
      <xdr:colOff>2911781</xdr:colOff>
      <xdr:row>115</xdr:row>
      <xdr:rowOff>140006</xdr:rowOff>
    </xdr:to>
    <xdr:sp macro="" textlink="">
      <xdr:nvSpPr>
        <xdr:cNvPr id="14" name="Oval 13"/>
        <xdr:cNvSpPr/>
      </xdr:nvSpPr>
      <xdr:spPr bwMode="gray">
        <a:xfrm>
          <a:off x="1657350" y="18843625"/>
          <a:ext cx="0" cy="409881"/>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xdr:col>
      <xdr:colOff>2486025</xdr:colOff>
      <xdr:row>117</xdr:row>
      <xdr:rowOff>85725</xdr:rowOff>
    </xdr:from>
    <xdr:to>
      <xdr:col>1</xdr:col>
      <xdr:colOff>2902256</xdr:colOff>
      <xdr:row>120</xdr:row>
      <xdr:rowOff>16181</xdr:rowOff>
    </xdr:to>
    <xdr:sp macro="" textlink="">
      <xdr:nvSpPr>
        <xdr:cNvPr id="15" name="Oval 14"/>
        <xdr:cNvSpPr/>
      </xdr:nvSpPr>
      <xdr:spPr bwMode="gray">
        <a:xfrm>
          <a:off x="1654175" y="19516725"/>
          <a:ext cx="348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xdr:from>
      <xdr:col>1</xdr:col>
      <xdr:colOff>2514600</xdr:colOff>
      <xdr:row>115</xdr:row>
      <xdr:rowOff>76200</xdr:rowOff>
    </xdr:from>
    <xdr:to>
      <xdr:col>1</xdr:col>
      <xdr:colOff>2874600</xdr:colOff>
      <xdr:row>117</xdr:row>
      <xdr:rowOff>112350</xdr:rowOff>
    </xdr:to>
    <xdr:sp macro="" textlink="">
      <xdr:nvSpPr>
        <xdr:cNvPr id="16" name="Minus 15"/>
        <xdr:cNvSpPr/>
      </xdr:nvSpPr>
      <xdr:spPr>
        <a:xfrm>
          <a:off x="1657350" y="19189700"/>
          <a:ext cx="0" cy="353650"/>
        </a:xfrm>
        <a:prstGeom prst="mathMin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54000" tIns="54000" rIns="54000" bIns="5400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endParaRPr lang="en-GB"/>
        </a:p>
      </xdr:txBody>
    </xdr:sp>
    <xdr:clientData/>
  </xdr:twoCellAnchor>
  <xdr:twoCellAnchor>
    <xdr:from>
      <xdr:col>0</xdr:col>
      <xdr:colOff>57150</xdr:colOff>
      <xdr:row>122</xdr:row>
      <xdr:rowOff>123825</xdr:rowOff>
    </xdr:from>
    <xdr:to>
      <xdr:col>0</xdr:col>
      <xdr:colOff>473381</xdr:colOff>
      <xdr:row>125</xdr:row>
      <xdr:rowOff>54281</xdr:rowOff>
    </xdr:to>
    <xdr:sp macro="" textlink="">
      <xdr:nvSpPr>
        <xdr:cNvPr id="17" name="Oval 16"/>
        <xdr:cNvSpPr/>
      </xdr:nvSpPr>
      <xdr:spPr bwMode="gray">
        <a:xfrm>
          <a:off x="57150" y="20348575"/>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editAs="oneCell">
    <xdr:from>
      <xdr:col>1</xdr:col>
      <xdr:colOff>85725</xdr:colOff>
      <xdr:row>122</xdr:row>
      <xdr:rowOff>119138</xdr:rowOff>
    </xdr:from>
    <xdr:to>
      <xdr:col>1</xdr:col>
      <xdr:colOff>2523157</xdr:colOff>
      <xdr:row>126</xdr:row>
      <xdr:rowOff>31187</xdr:rowOff>
    </xdr:to>
    <xdr:pic>
      <xdr:nvPicPr>
        <xdr:cNvPr id="18" name="Picture 17"/>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727075" y="20343888"/>
          <a:ext cx="2454365" cy="547049"/>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1781175</xdr:colOff>
      <xdr:row>123</xdr:row>
      <xdr:rowOff>9525</xdr:rowOff>
    </xdr:from>
    <xdr:to>
      <xdr:col>13</xdr:col>
      <xdr:colOff>152400</xdr:colOff>
      <xdr:row>125</xdr:row>
      <xdr:rowOff>152400</xdr:rowOff>
    </xdr:to>
    <xdr:sp macro="" textlink="">
      <xdr:nvSpPr>
        <xdr:cNvPr id="19" name="TextBox 18"/>
        <xdr:cNvSpPr txBox="1"/>
      </xdr:nvSpPr>
      <xdr:spPr>
        <a:xfrm>
          <a:off x="3438525" y="20393025"/>
          <a:ext cx="9210675" cy="460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1 to reflect that the discounting assumes capital saving made at end of a Formula Year, but will, in practice be made over the course of a Formula Year</a:t>
          </a:r>
          <a:endParaRPr lang="en-GB" sz="1100" b="0" i="1"/>
        </a:p>
      </xdr:txBody>
    </xdr:sp>
    <xdr:clientData/>
  </xdr:twoCellAnchor>
  <xdr:twoCellAnchor>
    <xdr:from>
      <xdr:col>0</xdr:col>
      <xdr:colOff>85725</xdr:colOff>
      <xdr:row>164</xdr:row>
      <xdr:rowOff>133350</xdr:rowOff>
    </xdr:from>
    <xdr:to>
      <xdr:col>0</xdr:col>
      <xdr:colOff>501956</xdr:colOff>
      <xdr:row>167</xdr:row>
      <xdr:rowOff>63806</xdr:rowOff>
    </xdr:to>
    <xdr:sp macro="" textlink="">
      <xdr:nvSpPr>
        <xdr:cNvPr id="20" name="Oval 19"/>
        <xdr:cNvSpPr/>
      </xdr:nvSpPr>
      <xdr:spPr bwMode="gray">
        <a:xfrm>
          <a:off x="85725" y="27095450"/>
          <a:ext cx="416231" cy="40670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1</xdr:col>
      <xdr:colOff>19050</xdr:colOff>
      <xdr:row>164</xdr:row>
      <xdr:rowOff>95250</xdr:rowOff>
    </xdr:from>
    <xdr:to>
      <xdr:col>1</xdr:col>
      <xdr:colOff>2456482</xdr:colOff>
      <xdr:row>168</xdr:row>
      <xdr:rowOff>7300</xdr:rowOff>
    </xdr:to>
    <xdr:pic>
      <xdr:nvPicPr>
        <xdr:cNvPr id="21" name="Picture 20"/>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660400" y="27057350"/>
          <a:ext cx="2454365" cy="547050"/>
        </a:xfrm>
        <a:prstGeom prst="rect">
          <a:avLst/>
        </a:prstGeom>
        <a:noFill/>
        <a:ln w="28575">
          <a:solidFill>
            <a:srgbClr val="E83F35"/>
          </a:solidFill>
          <a:miter lim="800000"/>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1628775</xdr:colOff>
      <xdr:row>164</xdr:row>
      <xdr:rowOff>142875</xdr:rowOff>
    </xdr:from>
    <xdr:to>
      <xdr:col>13</xdr:col>
      <xdr:colOff>390525</xdr:colOff>
      <xdr:row>167</xdr:row>
      <xdr:rowOff>123825</xdr:rowOff>
    </xdr:to>
    <xdr:sp macro="" textlink="">
      <xdr:nvSpPr>
        <xdr:cNvPr id="22" name="TextBox 21"/>
        <xdr:cNvSpPr txBox="1"/>
      </xdr:nvSpPr>
      <xdr:spPr>
        <a:xfrm>
          <a:off x="3286125" y="27104975"/>
          <a:ext cx="96012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Adjustment to formula</a:t>
          </a:r>
          <a:r>
            <a:rPr lang="en-GB" sz="1100" b="0" baseline="0"/>
            <a:t> term 2 to reflect that the discounting assumes capital saving made at end of a Formula Year, but will, in practice be made over the course of a Formula Year</a:t>
          </a:r>
          <a:endParaRPr lang="en-GB" sz="1100" b="0" i="1"/>
        </a:p>
      </xdr:txBody>
    </xdr:sp>
    <xdr:clientData/>
  </xdr:twoCellAnchor>
  <xdr:twoCellAnchor>
    <xdr:from>
      <xdr:col>9</xdr:col>
      <xdr:colOff>352425</xdr:colOff>
      <xdr:row>1</xdr:row>
      <xdr:rowOff>47625</xdr:rowOff>
    </xdr:from>
    <xdr:to>
      <xdr:col>10</xdr:col>
      <xdr:colOff>159056</xdr:colOff>
      <xdr:row>3</xdr:row>
      <xdr:rowOff>130481</xdr:rowOff>
    </xdr:to>
    <xdr:sp macro="" textlink="">
      <xdr:nvSpPr>
        <xdr:cNvPr id="23" name="Oval 22"/>
        <xdr:cNvSpPr/>
      </xdr:nvSpPr>
      <xdr:spPr bwMode="gray">
        <a:xfrm>
          <a:off x="10283825" y="301625"/>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1</a:t>
          </a:r>
        </a:p>
      </xdr:txBody>
    </xdr:sp>
    <xdr:clientData/>
  </xdr:twoCellAnchor>
  <xdr:twoCellAnchor>
    <xdr:from>
      <xdr:col>12</xdr:col>
      <xdr:colOff>304800</xdr:colOff>
      <xdr:row>1</xdr:row>
      <xdr:rowOff>19050</xdr:rowOff>
    </xdr:from>
    <xdr:to>
      <xdr:col>13</xdr:col>
      <xdr:colOff>111431</xdr:colOff>
      <xdr:row>3</xdr:row>
      <xdr:rowOff>101906</xdr:rowOff>
    </xdr:to>
    <xdr:sp macro="" textlink="">
      <xdr:nvSpPr>
        <xdr:cNvPr id="24" name="Oval 23"/>
        <xdr:cNvSpPr/>
      </xdr:nvSpPr>
      <xdr:spPr bwMode="gray">
        <a:xfrm>
          <a:off x="12160250" y="273050"/>
          <a:ext cx="447981" cy="4130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2</a:t>
          </a:r>
        </a:p>
      </xdr:txBody>
    </xdr:sp>
    <xdr:clientData/>
  </xdr:twoCellAnchor>
  <xdr:twoCellAnchor>
    <xdr:from>
      <xdr:col>11</xdr:col>
      <xdr:colOff>314325</xdr:colOff>
      <xdr:row>9</xdr:row>
      <xdr:rowOff>19050</xdr:rowOff>
    </xdr:from>
    <xdr:to>
      <xdr:col>12</xdr:col>
      <xdr:colOff>120956</xdr:colOff>
      <xdr:row>11</xdr:row>
      <xdr:rowOff>120956</xdr:rowOff>
    </xdr:to>
    <xdr:sp macro="" textlink="">
      <xdr:nvSpPr>
        <xdr:cNvPr id="25" name="Oval 24"/>
        <xdr:cNvSpPr/>
      </xdr:nvSpPr>
      <xdr:spPr bwMode="gray">
        <a:xfrm>
          <a:off x="11528425" y="1600200"/>
          <a:ext cx="447981" cy="4384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3</a:t>
          </a:r>
        </a:p>
      </xdr:txBody>
    </xdr:sp>
    <xdr:clientData/>
  </xdr:twoCellAnchor>
  <xdr:twoCellAnchor>
    <xdr:from>
      <xdr:col>12</xdr:col>
      <xdr:colOff>190500</xdr:colOff>
      <xdr:row>16</xdr:row>
      <xdr:rowOff>114300</xdr:rowOff>
    </xdr:from>
    <xdr:to>
      <xdr:col>12</xdr:col>
      <xdr:colOff>606731</xdr:colOff>
      <xdr:row>19</xdr:row>
      <xdr:rowOff>44756</xdr:rowOff>
    </xdr:to>
    <xdr:sp macro="" textlink="">
      <xdr:nvSpPr>
        <xdr:cNvPr id="26" name="Oval 25"/>
        <xdr:cNvSpPr/>
      </xdr:nvSpPr>
      <xdr:spPr bwMode="gray">
        <a:xfrm>
          <a:off x="12045950" y="2863850"/>
          <a:ext cx="41623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t>
          </a:r>
        </a:p>
      </xdr:txBody>
    </xdr:sp>
    <xdr:clientData/>
  </xdr:twoCellAnchor>
  <xdr:twoCellAnchor>
    <xdr:from>
      <xdr:col>11</xdr:col>
      <xdr:colOff>114300</xdr:colOff>
      <xdr:row>8</xdr:row>
      <xdr:rowOff>152399</xdr:rowOff>
    </xdr:from>
    <xdr:to>
      <xdr:col>11</xdr:col>
      <xdr:colOff>160019</xdr:colOff>
      <xdr:row>12</xdr:row>
      <xdr:rowOff>19049</xdr:rowOff>
    </xdr:to>
    <xdr:sp macro="" textlink="">
      <xdr:nvSpPr>
        <xdr:cNvPr id="27" name="Right Brace 26"/>
        <xdr:cNvSpPr/>
      </xdr:nvSpPr>
      <xdr:spPr>
        <a:xfrm>
          <a:off x="11328400" y="1562099"/>
          <a:ext cx="45719" cy="54610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428624</xdr:colOff>
      <xdr:row>4</xdr:row>
      <xdr:rowOff>28574</xdr:rowOff>
    </xdr:from>
    <xdr:to>
      <xdr:col>11</xdr:col>
      <xdr:colOff>38100</xdr:colOff>
      <xdr:row>4</xdr:row>
      <xdr:rowOff>161924</xdr:rowOff>
    </xdr:to>
    <xdr:sp macro="" textlink="">
      <xdr:nvSpPr>
        <xdr:cNvPr id="28" name="Right Brace 27"/>
        <xdr:cNvSpPr/>
      </xdr:nvSpPr>
      <xdr:spPr>
        <a:xfrm rot="16200000">
          <a:off x="10418762" y="77786"/>
          <a:ext cx="133350" cy="1533526"/>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266700</xdr:colOff>
      <xdr:row>3</xdr:row>
      <xdr:rowOff>152400</xdr:rowOff>
    </xdr:from>
    <xdr:to>
      <xdr:col>14</xdr:col>
      <xdr:colOff>152400</xdr:colOff>
      <xdr:row>4</xdr:row>
      <xdr:rowOff>123825</xdr:rowOff>
    </xdr:to>
    <xdr:sp macro="" textlink="">
      <xdr:nvSpPr>
        <xdr:cNvPr id="29" name="Right Brace 28"/>
        <xdr:cNvSpPr/>
      </xdr:nvSpPr>
      <xdr:spPr>
        <a:xfrm rot="16200000">
          <a:off x="12317412" y="-100012"/>
          <a:ext cx="136525" cy="1809750"/>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227645</xdr:colOff>
      <xdr:row>15</xdr:row>
      <xdr:rowOff>105728</xdr:rowOff>
    </xdr:from>
    <xdr:to>
      <xdr:col>12</xdr:col>
      <xdr:colOff>57148</xdr:colOff>
      <xdr:row>16</xdr:row>
      <xdr:rowOff>57150</xdr:rowOff>
    </xdr:to>
    <xdr:sp macro="" textlink="">
      <xdr:nvSpPr>
        <xdr:cNvPr id="30" name="Right Brace 29"/>
        <xdr:cNvSpPr/>
      </xdr:nvSpPr>
      <xdr:spPr>
        <a:xfrm rot="5400000">
          <a:off x="10656886" y="1550987"/>
          <a:ext cx="116522" cy="2394903"/>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238123</xdr:colOff>
      <xdr:row>15</xdr:row>
      <xdr:rowOff>85726</xdr:rowOff>
    </xdr:from>
    <xdr:to>
      <xdr:col>12</xdr:col>
      <xdr:colOff>561975</xdr:colOff>
      <xdr:row>16</xdr:row>
      <xdr:rowOff>57151</xdr:rowOff>
    </xdr:to>
    <xdr:sp macro="" textlink="">
      <xdr:nvSpPr>
        <xdr:cNvPr id="31" name="Right Brace 30"/>
        <xdr:cNvSpPr/>
      </xdr:nvSpPr>
      <xdr:spPr>
        <a:xfrm rot="5400000">
          <a:off x="12187236" y="2576513"/>
          <a:ext cx="136525" cy="323852"/>
        </a:xfrm>
        <a:prstGeom prst="rightBrace">
          <a:avLst/>
        </a:prstGeom>
        <a:ln w="19050">
          <a:solidFill>
            <a:srgbClr val="E83F3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552450</xdr:colOff>
      <xdr:row>16</xdr:row>
      <xdr:rowOff>104775</xdr:rowOff>
    </xdr:from>
    <xdr:to>
      <xdr:col>10</xdr:col>
      <xdr:colOff>359081</xdr:colOff>
      <xdr:row>19</xdr:row>
      <xdr:rowOff>35231</xdr:rowOff>
    </xdr:to>
    <xdr:sp macro="" textlink="">
      <xdr:nvSpPr>
        <xdr:cNvPr id="32" name="Oval 31"/>
        <xdr:cNvSpPr/>
      </xdr:nvSpPr>
      <xdr:spPr bwMode="gray">
        <a:xfrm>
          <a:off x="10483850" y="2854325"/>
          <a:ext cx="447981" cy="42575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4</a:t>
          </a:r>
        </a:p>
      </xdr:txBody>
    </xdr:sp>
    <xdr:clientData/>
  </xdr:twoCellAnchor>
  <xdr:twoCellAnchor editAs="oneCell">
    <xdr:from>
      <xdr:col>0</xdr:col>
      <xdr:colOff>581025</xdr:colOff>
      <xdr:row>206</xdr:row>
      <xdr:rowOff>57150</xdr:rowOff>
    </xdr:from>
    <xdr:to>
      <xdr:col>1</xdr:col>
      <xdr:colOff>3699661</xdr:colOff>
      <xdr:row>215</xdr:row>
      <xdr:rowOff>47625</xdr:rowOff>
    </xdr:to>
    <xdr:pic>
      <xdr:nvPicPr>
        <xdr:cNvPr id="33" name="Picture 32"/>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581025" y="33813750"/>
          <a:ext cx="3725272" cy="14192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1414992</xdr:colOff>
      <xdr:row>205</xdr:row>
      <xdr:rowOff>66676</xdr:rowOff>
    </xdr:from>
    <xdr:to>
      <xdr:col>6</xdr:col>
      <xdr:colOff>150236</xdr:colOff>
      <xdr:row>207</xdr:row>
      <xdr:rowOff>159056</xdr:rowOff>
    </xdr:to>
    <xdr:sp macro="" textlink="">
      <xdr:nvSpPr>
        <xdr:cNvPr id="34" name="Oval 33"/>
        <xdr:cNvSpPr/>
      </xdr:nvSpPr>
      <xdr:spPr bwMode="gray">
        <a:xfrm>
          <a:off x="3073048" y="33764009"/>
          <a:ext cx="5085244" cy="416936"/>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algn="ctr"/>
          <a:r>
            <a:rPr lang="en-GB" sz="2000"/>
            <a:t>5a</a:t>
          </a:r>
        </a:p>
      </xdr:txBody>
    </xdr:sp>
    <xdr:clientData/>
  </xdr:twoCellAnchor>
  <xdr:twoCellAnchor>
    <xdr:from>
      <xdr:col>1</xdr:col>
      <xdr:colOff>3638550</xdr:colOff>
      <xdr:row>210</xdr:row>
      <xdr:rowOff>19050</xdr:rowOff>
    </xdr:from>
    <xdr:to>
      <xdr:col>1</xdr:col>
      <xdr:colOff>3998550</xdr:colOff>
      <xdr:row>212</xdr:row>
      <xdr:rowOff>55200</xdr:rowOff>
    </xdr:to>
    <xdr:sp macro="" textlink="">
      <xdr:nvSpPr>
        <xdr:cNvPr id="35" name="Plus 34"/>
        <xdr:cNvSpPr/>
      </xdr:nvSpPr>
      <xdr:spPr>
        <a:xfrm>
          <a:off x="1657350" y="34410650"/>
          <a:ext cx="0" cy="353650"/>
        </a:xfrm>
        <a:prstGeom prst="mathPlus">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endParaRPr lang="en-GB" sz="2000" kern="1200" dirty="0">
            <a:solidFill>
              <a:schemeClr val="lt1"/>
            </a:solidFill>
            <a:latin typeface="+mn-lt"/>
            <a:ea typeface="+mn-ea"/>
            <a:cs typeface="+mn-cs"/>
          </a:endParaRPr>
        </a:p>
      </xdr:txBody>
    </xdr:sp>
    <xdr:clientData/>
  </xdr:twoCellAnchor>
  <xdr:twoCellAnchor>
    <xdr:from>
      <xdr:col>2</xdr:col>
      <xdr:colOff>1379714</xdr:colOff>
      <xdr:row>213</xdr:row>
      <xdr:rowOff>160866</xdr:rowOff>
    </xdr:from>
    <xdr:to>
      <xdr:col>6</xdr:col>
      <xdr:colOff>134008</xdr:colOff>
      <xdr:row>216</xdr:row>
      <xdr:rowOff>91322</xdr:rowOff>
    </xdr:to>
    <xdr:sp macro="" textlink="">
      <xdr:nvSpPr>
        <xdr:cNvPr id="36" name="Oval 35"/>
        <xdr:cNvSpPr/>
      </xdr:nvSpPr>
      <xdr:spPr bwMode="gray">
        <a:xfrm>
          <a:off x="3037770" y="35156422"/>
          <a:ext cx="5104294" cy="417289"/>
        </a:xfrm>
        <a:prstGeom prst="ellipse">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GB"/>
          </a:defPPr>
          <a:lvl1pPr marL="0" indent="0" algn="l" defTabSz="801604" rtl="0" eaLnBrk="1" latinLnBrk="0" hangingPunct="1">
            <a:spcBef>
              <a:spcPts val="200"/>
            </a:spcBef>
            <a:spcAft>
              <a:spcPts val="200"/>
            </a:spcAft>
            <a:buFont typeface="Arial" panose="05020102010507070707" pitchFamily="18" charset="2"/>
            <a:buNone/>
            <a:defRPr lang="en-GB" sz="1800" kern="1200">
              <a:solidFill>
                <a:schemeClr val="lt1"/>
              </a:solidFill>
              <a:latin typeface="+mn-lt"/>
              <a:ea typeface="+mn-ea"/>
              <a:cs typeface="+mn-cs"/>
            </a:defRPr>
          </a:lvl1pPr>
          <a:lvl2pPr marL="18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2pPr>
          <a:lvl3pPr marL="360000" indent="-180000" algn="l" defTabSz="801604" rtl="0" eaLnBrk="1" latinLnBrk="0" hangingPunct="1">
            <a:spcBef>
              <a:spcPts val="200"/>
            </a:spcBef>
            <a:spcAft>
              <a:spcPts val="200"/>
            </a:spcAft>
            <a:buClr>
              <a:schemeClr val="accent1"/>
            </a:buClr>
            <a:buFont typeface="Wingdings" panose="05000000000000000000" pitchFamily="2" charset="2"/>
            <a:buChar char=""/>
            <a:defRPr lang="en-GB" sz="1800" kern="1200" noProof="0" dirty="0" smtClean="0">
              <a:solidFill>
                <a:schemeClr val="lt1"/>
              </a:solidFill>
              <a:latin typeface="+mn-lt"/>
              <a:ea typeface="+mn-ea"/>
              <a:cs typeface="+mn-cs"/>
            </a:defRPr>
          </a:lvl3pPr>
          <a:lvl4pPr marL="5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smtClean="0">
              <a:solidFill>
                <a:schemeClr val="lt1"/>
              </a:solidFill>
              <a:latin typeface="+mn-lt"/>
              <a:ea typeface="+mn-ea"/>
              <a:cs typeface="+mn-cs"/>
            </a:defRPr>
          </a:lvl4pPr>
          <a:lvl5pPr marL="72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5pPr>
          <a:lvl6pPr marL="90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6pPr>
          <a:lvl7pPr marL="1080000" indent="-180000" algn="l" defTabSz="801604" rtl="0" eaLnBrk="1" latinLnBrk="0" hangingPunct="1">
            <a:spcBef>
              <a:spcPts val="200"/>
            </a:spcBef>
            <a:spcAft>
              <a:spcPts val="200"/>
            </a:spcAft>
            <a:buClr>
              <a:schemeClr val="accent1"/>
            </a:buClr>
            <a:buFont typeface="Arial" pitchFamily="34" charset="0"/>
            <a:buChar char="–"/>
            <a:defRPr lang="en-GB" sz="1800" kern="1200" noProof="0" dirty="0" smtClean="0">
              <a:solidFill>
                <a:schemeClr val="lt1"/>
              </a:solidFill>
              <a:latin typeface="+mn-lt"/>
              <a:ea typeface="+mn-ea"/>
              <a:cs typeface="+mn-cs"/>
            </a:defRPr>
          </a:lvl7pPr>
          <a:lvl8pPr marL="126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8pPr>
          <a:lvl9pPr marL="1440000" indent="-180000" algn="l" defTabSz="801604" rtl="0" eaLnBrk="1" latinLnBrk="0" hangingPunct="1">
            <a:spcBef>
              <a:spcPts val="200"/>
            </a:spcBef>
            <a:spcAft>
              <a:spcPts val="200"/>
            </a:spcAft>
            <a:buClr>
              <a:schemeClr val="accent1"/>
            </a:buClr>
            <a:buFont typeface="Arial" pitchFamily="34" charset="0"/>
            <a:buChar char="–"/>
            <a:defRPr lang="en-GB" sz="1800" kern="1200" baseline="0" noProof="0" dirty="0">
              <a:solidFill>
                <a:schemeClr val="lt1"/>
              </a:solidFill>
              <a:latin typeface="+mn-lt"/>
              <a:ea typeface="+mn-ea"/>
              <a:cs typeface="+mn-cs"/>
            </a:defRPr>
          </a:lvl9pPr>
        </a:lstStyle>
        <a:p>
          <a:pPr marL="0" indent="0" algn="ctr" defTabSz="801604" rtl="0" eaLnBrk="1" latinLnBrk="0" hangingPunct="1">
            <a:spcBef>
              <a:spcPts val="200"/>
            </a:spcBef>
            <a:spcAft>
              <a:spcPts val="200"/>
            </a:spcAft>
            <a:buFont typeface="Arial" panose="05020102010507070707" pitchFamily="18" charset="2"/>
            <a:buNone/>
          </a:pPr>
          <a:r>
            <a:rPr lang="en-GB" sz="2000" kern="1200" dirty="0">
              <a:solidFill>
                <a:schemeClr val="lt1"/>
              </a:solidFill>
              <a:latin typeface="+mn-lt"/>
              <a:ea typeface="+mn-ea"/>
              <a:cs typeface="+mn-cs"/>
            </a:rPr>
            <a:t>5b</a:t>
          </a:r>
        </a:p>
      </xdr:txBody>
    </xdr:sp>
    <xdr:clientData/>
  </xdr:twoCellAnchor>
  <xdr:twoCellAnchor>
    <xdr:from>
      <xdr:col>4</xdr:col>
      <xdr:colOff>419100</xdr:colOff>
      <xdr:row>208</xdr:row>
      <xdr:rowOff>19050</xdr:rowOff>
    </xdr:from>
    <xdr:to>
      <xdr:col>13</xdr:col>
      <xdr:colOff>428625</xdr:colOff>
      <xdr:row>211</xdr:row>
      <xdr:rowOff>47625</xdr:rowOff>
    </xdr:to>
    <xdr:sp macro="" textlink="">
      <xdr:nvSpPr>
        <xdr:cNvPr id="37" name="TextBox 36"/>
        <xdr:cNvSpPr txBox="1"/>
      </xdr:nvSpPr>
      <xdr:spPr>
        <a:xfrm>
          <a:off x="7143750" y="34093150"/>
          <a:ext cx="57816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Licence definition: </a:t>
          </a:r>
          <a:r>
            <a:rPr lang="en-GB" sz="1100" b="0"/>
            <a:t>This</a:t>
          </a:r>
          <a:r>
            <a:rPr lang="en-GB" sz="1100" b="0" baseline="0"/>
            <a:t> is the Best Available depreciation component modifying the incentive adjustment.</a:t>
          </a:r>
          <a:endParaRPr lang="en-GB" sz="1100" b="0" i="1"/>
        </a:p>
      </xdr:txBody>
    </xdr:sp>
    <xdr:clientData/>
  </xdr:twoCellAnchor>
  <xdr:twoCellAnchor>
    <xdr:from>
      <xdr:col>4</xdr:col>
      <xdr:colOff>419101</xdr:colOff>
      <xdr:row>212</xdr:row>
      <xdr:rowOff>133350</xdr:rowOff>
    </xdr:from>
    <xdr:to>
      <xdr:col>13</xdr:col>
      <xdr:colOff>476251</xdr:colOff>
      <xdr:row>215</xdr:row>
      <xdr:rowOff>142875</xdr:rowOff>
    </xdr:to>
    <xdr:sp macro="" textlink="">
      <xdr:nvSpPr>
        <xdr:cNvPr id="38" name="TextBox 37"/>
        <xdr:cNvSpPr txBox="1"/>
      </xdr:nvSpPr>
      <xdr:spPr>
        <a:xfrm>
          <a:off x="7143751" y="34842450"/>
          <a:ext cx="58293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Uses the same summation parameters as 3 and 4. 5a corresponds with 4 and 5b corresponds with 3.</a:t>
          </a:r>
          <a:endParaRPr lang="en-GB" sz="1100" b="0" i="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638175</xdr:colOff>
      <xdr:row>0</xdr:row>
      <xdr:rowOff>0</xdr:rowOff>
    </xdr:from>
    <xdr:to>
      <xdr:col>0</xdr:col>
      <xdr:colOff>640080</xdr:colOff>
      <xdr:row>1</xdr:row>
      <xdr:rowOff>141515</xdr:rowOff>
    </xdr:to>
    <xdr:pic>
      <xdr:nvPicPr>
        <xdr:cNvPr id="2"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8825" y="590550"/>
          <a:ext cx="1905" cy="298451"/>
        </a:xfrm>
        <a:prstGeom prst="rect">
          <a:avLst/>
        </a:prstGeom>
        <a:noFill/>
        <a:ln w="9525">
          <a:noFill/>
          <a:miter lim="800000"/>
          <a:headEnd/>
          <a:tailEnd/>
        </a:ln>
      </xdr:spPr>
    </xdr:pic>
    <xdr:clientData/>
  </xdr:twoCellAnchor>
  <xdr:twoCellAnchor editAs="oneCell">
    <xdr:from>
      <xdr:col>0</xdr:col>
      <xdr:colOff>1247775</xdr:colOff>
      <xdr:row>0</xdr:row>
      <xdr:rowOff>0</xdr:rowOff>
    </xdr:from>
    <xdr:to>
      <xdr:col>0</xdr:col>
      <xdr:colOff>1249680</xdr:colOff>
      <xdr:row>2</xdr:row>
      <xdr:rowOff>6803</xdr:rowOff>
    </xdr:to>
    <xdr:pic>
      <xdr:nvPicPr>
        <xdr:cNvPr id="3"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8425" y="590550"/>
          <a:ext cx="1905" cy="327024"/>
        </a:xfrm>
        <a:prstGeom prst="rect">
          <a:avLst/>
        </a:prstGeom>
        <a:noFill/>
        <a:ln w="9525">
          <a:noFill/>
          <a:miter lim="800000"/>
          <a:headEnd/>
          <a:tailEnd/>
        </a:ln>
      </xdr:spPr>
    </xdr:pic>
    <xdr:clientData/>
  </xdr:twoCellAnchor>
  <xdr:twoCellAnchor editAs="oneCell">
    <xdr:from>
      <xdr:col>0</xdr:col>
      <xdr:colOff>1838325</xdr:colOff>
      <xdr:row>0</xdr:row>
      <xdr:rowOff>0</xdr:rowOff>
    </xdr:from>
    <xdr:to>
      <xdr:col>1</xdr:col>
      <xdr:colOff>3810</xdr:colOff>
      <xdr:row>2</xdr:row>
      <xdr:rowOff>6804</xdr:rowOff>
    </xdr:to>
    <xdr:pic>
      <xdr:nvPicPr>
        <xdr:cNvPr id="4"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8975" y="590550"/>
          <a:ext cx="1905" cy="327025"/>
        </a:xfrm>
        <a:prstGeom prst="rect">
          <a:avLst/>
        </a:prstGeom>
        <a:noFill/>
        <a:ln w="9525">
          <a:noFill/>
          <a:miter lim="800000"/>
          <a:headEnd/>
          <a:tailEnd/>
        </a:ln>
      </xdr:spPr>
    </xdr:pic>
    <xdr:clientData/>
  </xdr:twoCellAnchor>
  <xdr:twoCellAnchor editAs="oneCell">
    <xdr:from>
      <xdr:col>0</xdr:col>
      <xdr:colOff>638175</xdr:colOff>
      <xdr:row>8</xdr:row>
      <xdr:rowOff>0</xdr:rowOff>
    </xdr:from>
    <xdr:to>
      <xdr:col>0</xdr:col>
      <xdr:colOff>640080</xdr:colOff>
      <xdr:row>9</xdr:row>
      <xdr:rowOff>141515</xdr:rowOff>
    </xdr:to>
    <xdr:pic>
      <xdr:nvPicPr>
        <xdr:cNvPr id="5" name="Picture 143"/>
        <xdr:cNvPicPr>
          <a:picLocks noChangeAspect="1" noChangeArrowheads="1"/>
        </xdr:cNvPicPr>
      </xdr:nvPicPr>
      <xdr:blipFill>
        <a:blip xmlns:r="http://schemas.openxmlformats.org/officeDocument/2006/relationships" r:embed="rId1" cstate="print"/>
        <a:srcRect/>
        <a:stretch>
          <a:fillRect/>
        </a:stretch>
      </xdr:blipFill>
      <xdr:spPr bwMode="auto">
        <a:xfrm>
          <a:off x="758825" y="958850"/>
          <a:ext cx="1905" cy="298451"/>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6"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3810</xdr:colOff>
      <xdr:row>10</xdr:row>
      <xdr:rowOff>544</xdr:rowOff>
    </xdr:to>
    <xdr:pic>
      <xdr:nvPicPr>
        <xdr:cNvPr id="7"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twoCellAnchor editAs="oneCell">
    <xdr:from>
      <xdr:col>0</xdr:col>
      <xdr:colOff>1247775</xdr:colOff>
      <xdr:row>8</xdr:row>
      <xdr:rowOff>0</xdr:rowOff>
    </xdr:from>
    <xdr:to>
      <xdr:col>0</xdr:col>
      <xdr:colOff>1249680</xdr:colOff>
      <xdr:row>10</xdr:row>
      <xdr:rowOff>6802</xdr:rowOff>
    </xdr:to>
    <xdr:pic>
      <xdr:nvPicPr>
        <xdr:cNvPr id="9" name="Picture 144"/>
        <xdr:cNvPicPr>
          <a:picLocks noChangeAspect="1" noChangeArrowheads="1"/>
        </xdr:cNvPicPr>
      </xdr:nvPicPr>
      <xdr:blipFill>
        <a:blip xmlns:r="http://schemas.openxmlformats.org/officeDocument/2006/relationships" r:embed="rId2" cstate="print"/>
        <a:srcRect/>
        <a:stretch>
          <a:fillRect/>
        </a:stretch>
      </xdr:blipFill>
      <xdr:spPr bwMode="auto">
        <a:xfrm>
          <a:off x="1368425" y="958850"/>
          <a:ext cx="1905" cy="327024"/>
        </a:xfrm>
        <a:prstGeom prst="rect">
          <a:avLst/>
        </a:prstGeom>
        <a:noFill/>
        <a:ln w="9525">
          <a:noFill/>
          <a:miter lim="800000"/>
          <a:headEnd/>
          <a:tailEnd/>
        </a:ln>
      </xdr:spPr>
    </xdr:pic>
    <xdr:clientData/>
  </xdr:twoCellAnchor>
  <xdr:twoCellAnchor editAs="oneCell">
    <xdr:from>
      <xdr:col>0</xdr:col>
      <xdr:colOff>1838325</xdr:colOff>
      <xdr:row>8</xdr:row>
      <xdr:rowOff>0</xdr:rowOff>
    </xdr:from>
    <xdr:to>
      <xdr:col>1</xdr:col>
      <xdr:colOff>3810</xdr:colOff>
      <xdr:row>10</xdr:row>
      <xdr:rowOff>544</xdr:rowOff>
    </xdr:to>
    <xdr:pic>
      <xdr:nvPicPr>
        <xdr:cNvPr id="10" name="Picture 145"/>
        <xdr:cNvPicPr>
          <a:picLocks noChangeAspect="1" noChangeArrowheads="1"/>
        </xdr:cNvPicPr>
      </xdr:nvPicPr>
      <xdr:blipFill>
        <a:blip xmlns:r="http://schemas.openxmlformats.org/officeDocument/2006/relationships" r:embed="rId3" cstate="print"/>
        <a:srcRect/>
        <a:stretch>
          <a:fillRect/>
        </a:stretch>
      </xdr:blipFill>
      <xdr:spPr bwMode="auto">
        <a:xfrm>
          <a:off x="1958975" y="958850"/>
          <a:ext cx="1905" cy="31940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G\Transmission\Transmission_Price_Controls_Lib\Regulatory_Reporting\RRP_2010\Transmission%20PCRRP%20tables_SPTL_200910%20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ETWORK%20GROUP/Price%20Controls/GDNs%20GD23/52%20=%20TF%20Workstream/DD%20UM/Firmus/2018-06-26%20firmus%20energy%20GD14%20Capital%20Rolling%20Incentive%20(Average%202014)%20-%20FINAL%20CONFIRMED%20AC%20markup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
      <sheetName val="Capex Costs"/>
      <sheetName val="Uncertainty Mechanism GD14"/>
      <sheetName val="Standing data"/>
    </sheetNames>
    <sheetDataSet>
      <sheetData sheetId="0"/>
      <sheetData sheetId="1"/>
      <sheetData sheetId="2"/>
      <sheetData sheetId="3">
        <row r="11">
          <cell r="B11">
            <v>1.0548001648125258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D9"/>
  <sheetViews>
    <sheetView tabSelected="1" workbookViewId="0">
      <selection activeCell="B7" sqref="B7:D9"/>
    </sheetView>
  </sheetViews>
  <sheetFormatPr defaultRowHeight="13.25" customHeight="1"/>
  <cols>
    <col min="2" max="2" width="12.25" bestFit="1" customWidth="1"/>
    <col min="3" max="3" width="7.125" bestFit="1" customWidth="1"/>
    <col min="4" max="4" width="56.5" bestFit="1" customWidth="1"/>
  </cols>
  <sheetData>
    <row r="3" spans="2:4" ht="12.9">
      <c r="B3" s="63" t="s">
        <v>160</v>
      </c>
      <c r="C3" s="63" t="s">
        <v>165</v>
      </c>
    </row>
    <row r="4" spans="2:4" ht="12.9">
      <c r="B4" s="63" t="s">
        <v>161</v>
      </c>
      <c r="C4" s="63" t="s">
        <v>158</v>
      </c>
    </row>
    <row r="5" spans="2:4" ht="12.9">
      <c r="B5" s="63" t="s">
        <v>162</v>
      </c>
      <c r="C5" s="63" t="s">
        <v>159</v>
      </c>
    </row>
    <row r="6" spans="2:4" ht="12.9">
      <c r="B6" s="63"/>
      <c r="C6" s="63"/>
    </row>
    <row r="7" spans="2:4" ht="13.25" customHeight="1">
      <c r="B7" s="63"/>
      <c r="C7" s="63"/>
    </row>
    <row r="8" spans="2:4" ht="13.25" customHeight="1">
      <c r="C8" s="63"/>
      <c r="D8" s="63"/>
    </row>
    <row r="9" spans="2:4" ht="13.25" customHeight="1">
      <c r="C9" s="63"/>
    </row>
  </sheetData>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36"/>
  <sheetViews>
    <sheetView topLeftCell="A11" zoomScaleNormal="100" workbookViewId="0">
      <selection activeCell="AF11" sqref="AF11"/>
    </sheetView>
  </sheetViews>
  <sheetFormatPr defaultColWidth="8.75" defaultRowHeight="14.95"/>
  <cols>
    <col min="1" max="1" width="19.625" style="135" bestFit="1" customWidth="1"/>
    <col min="2" max="2" width="18.75" style="202" bestFit="1" customWidth="1"/>
    <col min="3" max="3" width="5.625" style="202" bestFit="1" customWidth="1"/>
    <col min="4" max="18" width="1.5" style="202" hidden="1" customWidth="1"/>
    <col min="19" max="19" width="19.625" style="202" hidden="1" customWidth="1"/>
    <col min="20" max="20" width="18.75" style="202" hidden="1" customWidth="1"/>
    <col min="21" max="21" width="5.625" style="202" hidden="1" customWidth="1"/>
    <col min="22" max="44" width="6.125" style="136" bestFit="1" customWidth="1"/>
    <col min="45" max="46" width="6.25" style="136" bestFit="1" customWidth="1"/>
    <col min="47" max="16384" width="8.75" style="135"/>
  </cols>
  <sheetData>
    <row r="1" spans="1:47" s="140" customFormat="1">
      <c r="B1" s="200"/>
      <c r="C1" s="200"/>
      <c r="D1" s="200"/>
      <c r="E1" s="200"/>
      <c r="F1" s="200"/>
      <c r="G1" s="200"/>
      <c r="H1" s="200"/>
      <c r="I1" s="200"/>
      <c r="J1" s="200"/>
      <c r="K1" s="200"/>
      <c r="L1" s="200"/>
      <c r="M1" s="200"/>
      <c r="N1" s="200"/>
      <c r="O1" s="200"/>
      <c r="P1" s="200"/>
      <c r="Q1" s="200"/>
      <c r="R1" s="200"/>
      <c r="S1" s="200"/>
      <c r="T1" s="200"/>
      <c r="U1" s="200"/>
      <c r="AU1" s="38"/>
    </row>
    <row r="2" spans="1:47">
      <c r="B2" s="201"/>
      <c r="C2" s="201"/>
      <c r="D2" s="201"/>
      <c r="E2" s="201"/>
      <c r="F2" s="201"/>
      <c r="G2" s="201"/>
      <c r="H2" s="201"/>
      <c r="I2" s="201"/>
      <c r="J2" s="201"/>
      <c r="K2" s="201"/>
      <c r="L2" s="201"/>
      <c r="M2" s="201"/>
      <c r="N2" s="201"/>
      <c r="O2" s="201"/>
      <c r="P2" s="201"/>
      <c r="Q2" s="201"/>
      <c r="R2" s="201"/>
      <c r="S2" s="201"/>
      <c r="T2" s="201"/>
      <c r="U2" s="201"/>
      <c r="V2" s="33"/>
      <c r="W2" s="33"/>
      <c r="X2" s="33"/>
      <c r="Y2" s="33"/>
      <c r="Z2" s="33"/>
      <c r="AA2" s="33"/>
      <c r="AB2" s="33"/>
      <c r="AC2" s="33"/>
      <c r="AD2" s="33"/>
      <c r="AE2" s="33"/>
      <c r="AF2" s="33"/>
      <c r="AG2" s="33"/>
      <c r="AH2" s="33"/>
      <c r="AI2" s="33"/>
      <c r="AJ2" s="33"/>
      <c r="AK2" s="33"/>
      <c r="AL2" s="33"/>
      <c r="AM2" s="33"/>
      <c r="AN2" s="33"/>
      <c r="AO2" s="33"/>
      <c r="AP2" s="33"/>
      <c r="AQ2" s="33"/>
      <c r="AR2" s="33"/>
    </row>
    <row r="3" spans="1:47" s="140" customFormat="1">
      <c r="A3" s="140" t="s">
        <v>314</v>
      </c>
      <c r="B3" s="200" t="s">
        <v>146</v>
      </c>
      <c r="C3" s="40" t="s">
        <v>299</v>
      </c>
      <c r="D3" s="40"/>
      <c r="E3" s="40"/>
      <c r="F3" s="40"/>
      <c r="G3" s="40"/>
      <c r="H3" s="40"/>
      <c r="I3" s="40"/>
      <c r="J3" s="40"/>
      <c r="K3" s="40"/>
      <c r="L3" s="40"/>
      <c r="M3" s="40"/>
      <c r="N3" s="40"/>
      <c r="O3" s="40"/>
      <c r="P3" s="40"/>
      <c r="Q3" s="40"/>
      <c r="R3" s="40"/>
      <c r="W3" s="38"/>
      <c r="X3" s="38"/>
      <c r="Y3" s="38"/>
      <c r="Z3" s="38"/>
      <c r="AA3" s="38"/>
      <c r="AB3" s="38"/>
      <c r="AC3" s="38"/>
      <c r="AD3" s="38"/>
      <c r="AE3" s="38"/>
      <c r="AF3" s="38"/>
      <c r="AG3" s="38"/>
      <c r="AH3" s="38"/>
      <c r="AI3" s="38"/>
      <c r="AJ3" s="38"/>
      <c r="AK3" s="38"/>
      <c r="AL3" s="38"/>
      <c r="AM3" s="38"/>
      <c r="AN3" s="38"/>
      <c r="AO3" s="38"/>
      <c r="AP3" s="38"/>
      <c r="AQ3" s="38"/>
      <c r="AR3" s="38"/>
      <c r="AS3" s="199"/>
      <c r="AT3" s="199"/>
    </row>
    <row r="4" spans="1:47" ht="16.3">
      <c r="A4" s="136" t="s">
        <v>307</v>
      </c>
      <c r="B4" s="202" t="s">
        <v>335</v>
      </c>
      <c r="C4" s="203">
        <f>+'Pi''s Calc'!V3</f>
        <v>2.81E-2</v>
      </c>
      <c r="S4" s="135"/>
      <c r="T4" s="135"/>
      <c r="U4" s="135"/>
    </row>
    <row r="5" spans="1:47">
      <c r="A5" s="136" t="s">
        <v>308</v>
      </c>
      <c r="B5" s="202" t="s">
        <v>143</v>
      </c>
      <c r="C5" s="204">
        <f>+'Pi''s Calc'!AA1</f>
        <v>2028</v>
      </c>
      <c r="S5" s="135"/>
      <c r="T5" s="135"/>
      <c r="U5" s="135"/>
    </row>
    <row r="6" spans="1:47">
      <c r="A6" s="136" t="s">
        <v>309</v>
      </c>
      <c r="B6" s="202" t="s">
        <v>142</v>
      </c>
      <c r="C6" s="204">
        <f>+'Pi''s Calc'!U1</f>
        <v>2022</v>
      </c>
      <c r="S6" s="135"/>
      <c r="T6" s="135"/>
      <c r="U6" s="135"/>
    </row>
    <row r="7" spans="1:47">
      <c r="A7" s="136" t="s">
        <v>310</v>
      </c>
      <c r="B7" s="202" t="s">
        <v>144</v>
      </c>
      <c r="C7" s="204">
        <f>+'Pi''s Calc'!AR1</f>
        <v>2045</v>
      </c>
      <c r="S7" s="135"/>
      <c r="T7" s="135"/>
      <c r="U7" s="135"/>
    </row>
    <row r="8" spans="1:47">
      <c r="A8" s="136" t="s">
        <v>311</v>
      </c>
      <c r="B8" s="202" t="s">
        <v>315</v>
      </c>
      <c r="C8" s="205">
        <f>+Inputs!S30</f>
        <v>108.9</v>
      </c>
      <c r="S8" s="135"/>
      <c r="T8" s="135"/>
      <c r="U8" s="135"/>
    </row>
    <row r="9" spans="1:47" ht="16.3">
      <c r="A9" s="136" t="s">
        <v>312</v>
      </c>
      <c r="B9" s="207" t="s">
        <v>336</v>
      </c>
      <c r="C9" s="205">
        <v>0.5</v>
      </c>
      <c r="S9" s="135"/>
      <c r="T9" s="135"/>
      <c r="U9" s="135"/>
    </row>
    <row r="10" spans="1:47">
      <c r="A10" s="136" t="s">
        <v>313</v>
      </c>
      <c r="B10" s="207" t="s">
        <v>197</v>
      </c>
      <c r="C10" s="204">
        <v>5</v>
      </c>
      <c r="S10" s="135"/>
      <c r="T10" s="135"/>
      <c r="U10" s="135"/>
    </row>
    <row r="11" spans="1:47">
      <c r="A11" s="135" t="s">
        <v>303</v>
      </c>
      <c r="B11" s="207" t="s">
        <v>298</v>
      </c>
      <c r="C11" s="204">
        <v>0</v>
      </c>
      <c r="S11" s="135"/>
      <c r="T11" s="135"/>
      <c r="U11" s="135"/>
      <c r="AS11" s="135"/>
      <c r="AT11" s="135"/>
    </row>
    <row r="12" spans="1:47">
      <c r="A12" s="135" t="s">
        <v>304</v>
      </c>
      <c r="B12" s="207" t="s">
        <v>209</v>
      </c>
      <c r="C12" s="204">
        <v>0</v>
      </c>
      <c r="S12" s="135"/>
      <c r="T12" s="135"/>
      <c r="U12" s="135"/>
      <c r="AS12" s="135"/>
      <c r="AT12" s="135"/>
    </row>
    <row r="13" spans="1:47">
      <c r="A13" s="136" t="s">
        <v>305</v>
      </c>
      <c r="B13" s="207" t="s">
        <v>211</v>
      </c>
      <c r="C13" s="204">
        <v>1</v>
      </c>
      <c r="S13" s="135"/>
      <c r="T13" s="135"/>
      <c r="U13" s="135"/>
    </row>
    <row r="14" spans="1:47">
      <c r="A14" s="136" t="s">
        <v>306</v>
      </c>
      <c r="B14" s="207" t="s">
        <v>199</v>
      </c>
      <c r="C14" s="204">
        <v>33</v>
      </c>
      <c r="S14" s="135"/>
      <c r="T14" s="135"/>
      <c r="U14" s="135"/>
    </row>
    <row r="15" spans="1:47">
      <c r="S15" s="135"/>
      <c r="T15" s="135"/>
      <c r="U15" s="135"/>
    </row>
    <row r="16" spans="1:47">
      <c r="A16" s="140" t="s">
        <v>314</v>
      </c>
      <c r="B16" s="206" t="s">
        <v>147</v>
      </c>
      <c r="C16" s="207" t="s">
        <v>329</v>
      </c>
      <c r="D16" s="40"/>
      <c r="E16" s="40"/>
      <c r="F16" s="40"/>
      <c r="G16" s="40"/>
      <c r="H16" s="40"/>
      <c r="I16" s="40"/>
      <c r="J16" s="40"/>
      <c r="K16" s="40"/>
      <c r="L16" s="40"/>
      <c r="M16" s="40"/>
      <c r="N16" s="40"/>
      <c r="O16" s="40"/>
      <c r="P16" s="40"/>
      <c r="Q16" s="40"/>
      <c r="R16" s="40"/>
      <c r="S16" s="135"/>
      <c r="T16" s="135"/>
      <c r="U16" s="135"/>
      <c r="V16" s="38">
        <f>+Inputs!V1</f>
        <v>2023</v>
      </c>
      <c r="W16" s="38">
        <f>+Inputs!W1</f>
        <v>2024</v>
      </c>
      <c r="X16" s="38">
        <f>+Inputs!X1</f>
        <v>2025</v>
      </c>
      <c r="Y16" s="38">
        <f>+Inputs!Y1</f>
        <v>2026</v>
      </c>
      <c r="Z16" s="38">
        <f>+Inputs!Z1</f>
        <v>2027</v>
      </c>
      <c r="AA16" s="38">
        <f>+Inputs!AA1</f>
        <v>2028</v>
      </c>
      <c r="AB16" s="38">
        <f>+Inputs!AB1</f>
        <v>2029</v>
      </c>
      <c r="AC16" s="38">
        <f>+Inputs!AC1</f>
        <v>2030</v>
      </c>
      <c r="AD16" s="38">
        <f>+Inputs!AD1</f>
        <v>2031</v>
      </c>
      <c r="AE16" s="38">
        <f>+Inputs!AE1</f>
        <v>2032</v>
      </c>
      <c r="AF16" s="38">
        <f>+Inputs!AF1</f>
        <v>2033</v>
      </c>
      <c r="AG16" s="38">
        <f>+Inputs!AG1</f>
        <v>2034</v>
      </c>
      <c r="AH16" s="38">
        <f>+Inputs!AH1</f>
        <v>2035</v>
      </c>
      <c r="AI16" s="38">
        <f>+Inputs!AI1</f>
        <v>2036</v>
      </c>
      <c r="AJ16" s="38">
        <f>+Inputs!AJ1</f>
        <v>2037</v>
      </c>
      <c r="AK16" s="38">
        <f>+Inputs!AK1</f>
        <v>2038</v>
      </c>
      <c r="AL16" s="38">
        <f>+Inputs!AL1</f>
        <v>2039</v>
      </c>
      <c r="AM16" s="38">
        <f>+Inputs!AM1</f>
        <v>2040</v>
      </c>
      <c r="AN16" s="38">
        <f>+Inputs!AN1</f>
        <v>2041</v>
      </c>
      <c r="AO16" s="38">
        <f>+Inputs!AO1</f>
        <v>2042</v>
      </c>
      <c r="AP16" s="38">
        <f>+Inputs!AP1</f>
        <v>2043</v>
      </c>
      <c r="AQ16" s="38">
        <f>+Inputs!AQ1</f>
        <v>2044</v>
      </c>
      <c r="AR16" s="38">
        <f>+Inputs!AR1</f>
        <v>2045</v>
      </c>
      <c r="AS16" s="38"/>
      <c r="AT16" s="38"/>
      <c r="AU16" s="38"/>
    </row>
    <row r="17" spans="1:47" ht="16.3">
      <c r="A17" s="135" t="s">
        <v>316</v>
      </c>
      <c r="B17" s="202" t="s">
        <v>324</v>
      </c>
      <c r="C17" s="207" t="s">
        <v>148</v>
      </c>
      <c r="S17" s="135"/>
      <c r="T17" s="135"/>
      <c r="U17" s="135"/>
      <c r="V17" s="136">
        <f>+'Pi''s Calc'!V10</f>
        <v>25759.337089992485</v>
      </c>
      <c r="W17" s="136">
        <f>+'Pi''s Calc'!W10</f>
        <v>28092.348807592116</v>
      </c>
      <c r="X17" s="136">
        <f>+'Pi''s Calc'!X10</f>
        <v>30314.61557722748</v>
      </c>
      <c r="Y17" s="136">
        <f>+'Pi''s Calc'!Y10</f>
        <v>32424.300296932513</v>
      </c>
      <c r="Z17" s="136">
        <f>+'Pi''s Calc'!Z10</f>
        <v>34421.402966707217</v>
      </c>
      <c r="AA17" s="136">
        <f>+'Pi''s Calc'!AA10</f>
        <v>36305.923586551588</v>
      </c>
      <c r="AB17" s="136">
        <f>+'Pi''s Calc'!AB10</f>
        <v>37427.273847156503</v>
      </c>
      <c r="AC17" s="136">
        <f>+'Pi''s Calc'!AC10</f>
        <v>38337.494027725144</v>
      </c>
      <c r="AD17" s="136">
        <f>+'Pi''s Calc'!AD10</f>
        <v>39169.196245117419</v>
      </c>
      <c r="AE17" s="136">
        <f>+'Pi''s Calc'!AE10</f>
        <v>39924.775205599086</v>
      </c>
      <c r="AF17" s="136">
        <f>+'Pi''s Calc'!AF10</f>
        <v>40606.823108345961</v>
      </c>
      <c r="AG17" s="136">
        <f>+'Pi''s Calc'!AG10</f>
        <v>41218.11088749169</v>
      </c>
      <c r="AH17" s="136">
        <f>+'Pi''s Calc'!AH10</f>
        <v>41761.026667535145</v>
      </c>
      <c r="AI17" s="136">
        <f>+'Pi''s Calc'!AI10</f>
        <v>42237.868109797506</v>
      </c>
      <c r="AJ17" s="136">
        <f>+'Pi''s Calc'!AJ10</f>
        <v>42650.709460970516</v>
      </c>
      <c r="AK17" s="136">
        <f>+'Pi''s Calc'!AK10</f>
        <v>43001.549823182977</v>
      </c>
      <c r="AL17" s="136">
        <f>+'Pi''s Calc'!AL10</f>
        <v>43292.447475672212</v>
      </c>
      <c r="AM17" s="136">
        <f>+'Pi''s Calc'!AM10</f>
        <v>43525.381974766518</v>
      </c>
      <c r="AN17" s="136">
        <f>+'Pi''s Calc'!AN10</f>
        <v>43702.129986185922</v>
      </c>
      <c r="AO17" s="136">
        <f>+'Pi''s Calc'!AO10</f>
        <v>43824.528433366599</v>
      </c>
      <c r="AP17" s="136">
        <f>+'Pi''s Calc'!AP10</f>
        <v>43894.343215062625</v>
      </c>
      <c r="AQ17" s="136">
        <f>+'Pi''s Calc'!AQ10</f>
        <v>43913.151666382655</v>
      </c>
      <c r="AR17" s="136">
        <f>+'Pi''s Calc'!AR10</f>
        <v>43882.473983649164</v>
      </c>
      <c r="AU17" s="136"/>
    </row>
    <row r="18" spans="1:47" ht="16.3">
      <c r="A18" s="135" t="s">
        <v>316</v>
      </c>
      <c r="B18" s="202" t="s">
        <v>324</v>
      </c>
      <c r="C18" s="207" t="s">
        <v>149</v>
      </c>
      <c r="S18" s="135"/>
      <c r="T18" s="135"/>
      <c r="U18" s="135"/>
      <c r="V18" s="136">
        <f>+'Pi''s Calc'!V11</f>
        <v>8303.1363689600603</v>
      </c>
      <c r="W18" s="136">
        <f>+'Pi''s Calc'!W11</f>
        <v>8303.1363689600603</v>
      </c>
      <c r="X18" s="136">
        <f>+'Pi''s Calc'!X11</f>
        <v>8303.1363689600603</v>
      </c>
      <c r="Y18" s="136">
        <f>+'Pi''s Calc'!Y11</f>
        <v>8303.1363689600603</v>
      </c>
      <c r="Z18" s="136">
        <f>+'Pi''s Calc'!Z11</f>
        <v>8303.1363689600603</v>
      </c>
      <c r="AA18" s="136">
        <f>+'Pi''s Calc'!AA11</f>
        <v>8303.1363689600603</v>
      </c>
      <c r="AB18" s="136">
        <f>+'Pi''s Calc'!AB11</f>
        <v>8181.0314223577061</v>
      </c>
      <c r="AC18" s="136">
        <f>+'Pi''s Calc'!AC11</f>
        <v>8058.9264757553537</v>
      </c>
      <c r="AD18" s="136">
        <f>+'Pi''s Calc'!AD11</f>
        <v>7936.8215291529996</v>
      </c>
      <c r="AE18" s="136">
        <f>+'Pi''s Calc'!AE11</f>
        <v>7814.7165825506463</v>
      </c>
      <c r="AF18" s="136">
        <f>+'Pi''s Calc'!AF11</f>
        <v>7692.611635948293</v>
      </c>
      <c r="AG18" s="136">
        <f>+'Pi''s Calc'!AG11</f>
        <v>7570.5066893459398</v>
      </c>
      <c r="AH18" s="136">
        <f>+'Pi''s Calc'!AH11</f>
        <v>7448.4017427435865</v>
      </c>
      <c r="AI18" s="136">
        <f>+'Pi''s Calc'!AI11</f>
        <v>7326.2967961412332</v>
      </c>
      <c r="AJ18" s="136">
        <f>+'Pi''s Calc'!AJ11</f>
        <v>7204.1918495388791</v>
      </c>
      <c r="AK18" s="136">
        <f>+'Pi''s Calc'!AK11</f>
        <v>7082.0869029365267</v>
      </c>
      <c r="AL18" s="136">
        <f>+'Pi''s Calc'!AL11</f>
        <v>6959.9819563341725</v>
      </c>
      <c r="AM18" s="136">
        <f>+'Pi''s Calc'!AM11</f>
        <v>6837.8770097318202</v>
      </c>
      <c r="AN18" s="136">
        <f>+'Pi''s Calc'!AN11</f>
        <v>6715.772063129466</v>
      </c>
      <c r="AO18" s="136">
        <f>+'Pi''s Calc'!AO11</f>
        <v>6593.6671165271127</v>
      </c>
      <c r="AP18" s="136">
        <f>+'Pi''s Calc'!AP11</f>
        <v>6471.5621699247595</v>
      </c>
      <c r="AQ18" s="136">
        <f>+'Pi''s Calc'!AQ11</f>
        <v>6349.4572233224053</v>
      </c>
      <c r="AR18" s="136">
        <f>+'Pi''s Calc'!AR11</f>
        <v>6227.3522767200529</v>
      </c>
      <c r="AU18" s="136"/>
    </row>
    <row r="19" spans="1:47" ht="16.3">
      <c r="A19" s="135" t="s">
        <v>316</v>
      </c>
      <c r="B19" s="202" t="s">
        <v>324</v>
      </c>
      <c r="C19" s="207" t="s">
        <v>150</v>
      </c>
      <c r="S19" s="135"/>
      <c r="T19" s="135"/>
      <c r="U19" s="135"/>
      <c r="V19" s="136">
        <f>+'Pi''s Calc'!V12</f>
        <v>6573.7829058487532</v>
      </c>
      <c r="W19" s="136">
        <f>+'Pi''s Calc'!W12</f>
        <v>6573.7829058487532</v>
      </c>
      <c r="X19" s="136">
        <f>+'Pi''s Calc'!X12</f>
        <v>6573.7829058487532</v>
      </c>
      <c r="Y19" s="136">
        <f>+'Pi''s Calc'!Y12</f>
        <v>6573.7829058487532</v>
      </c>
      <c r="Z19" s="136">
        <f>+'Pi''s Calc'!Z12</f>
        <v>6573.7829058487532</v>
      </c>
      <c r="AA19" s="136">
        <f>+'Pi''s Calc'!AA12</f>
        <v>6573.7829058487532</v>
      </c>
      <c r="AB19" s="136">
        <f>+'Pi''s Calc'!AB12</f>
        <v>6477.1096278215664</v>
      </c>
      <c r="AC19" s="136">
        <f>+'Pi''s Calc'!AC12</f>
        <v>6380.4363497943796</v>
      </c>
      <c r="AD19" s="136">
        <f>+'Pi''s Calc'!AD12</f>
        <v>6283.7630717671927</v>
      </c>
      <c r="AE19" s="136">
        <f>+'Pi''s Calc'!AE12</f>
        <v>6187.089793740005</v>
      </c>
      <c r="AF19" s="136">
        <f>+'Pi''s Calc'!AF12</f>
        <v>6090.4165157128173</v>
      </c>
      <c r="AG19" s="136">
        <f>+'Pi''s Calc'!AG12</f>
        <v>5993.7432376856304</v>
      </c>
      <c r="AH19" s="136">
        <f>+'Pi''s Calc'!AH12</f>
        <v>5897.0699596584427</v>
      </c>
      <c r="AI19" s="136">
        <f>+'Pi''s Calc'!AI12</f>
        <v>5800.3966816312559</v>
      </c>
      <c r="AJ19" s="136">
        <f>+'Pi''s Calc'!AJ12</f>
        <v>5703.7234036040691</v>
      </c>
      <c r="AK19" s="136">
        <f>+'Pi''s Calc'!AK12</f>
        <v>5607.0501255768813</v>
      </c>
      <c r="AL19" s="136">
        <f>+'Pi''s Calc'!AL12</f>
        <v>5510.3768475496945</v>
      </c>
      <c r="AM19" s="136">
        <f>+'Pi''s Calc'!AM12</f>
        <v>5413.7035695225077</v>
      </c>
      <c r="AN19" s="136">
        <f>+'Pi''s Calc'!AN12</f>
        <v>5317.030291495319</v>
      </c>
      <c r="AO19" s="136">
        <f>+'Pi''s Calc'!AO12</f>
        <v>5220.3570134681322</v>
      </c>
      <c r="AP19" s="136">
        <f>+'Pi''s Calc'!AP12</f>
        <v>5123.6837354409454</v>
      </c>
      <c r="AQ19" s="136">
        <f>+'Pi''s Calc'!AQ12</f>
        <v>5027.0104574137586</v>
      </c>
      <c r="AR19" s="136">
        <f>+'Pi''s Calc'!AR12</f>
        <v>4930.3371793865708</v>
      </c>
      <c r="AU19" s="136"/>
    </row>
    <row r="20" spans="1:47" ht="16.3">
      <c r="A20" s="135" t="s">
        <v>316</v>
      </c>
      <c r="B20" s="202" t="s">
        <v>324</v>
      </c>
      <c r="C20" s="207" t="s">
        <v>151</v>
      </c>
      <c r="S20" s="135"/>
      <c r="T20" s="135"/>
      <c r="U20" s="135"/>
      <c r="V20" s="136">
        <f>+'Pi''s Calc'!V13</f>
        <v>1664.3275861480668</v>
      </c>
      <c r="W20" s="136">
        <f>+'Pi''s Calc'!W13</f>
        <v>1664.3275861480668</v>
      </c>
      <c r="X20" s="136">
        <f>+'Pi''s Calc'!X13</f>
        <v>1664.3275861480668</v>
      </c>
      <c r="Y20" s="136">
        <f>+'Pi''s Calc'!Y13</f>
        <v>1664.3275861480668</v>
      </c>
      <c r="Z20" s="136">
        <f>+'Pi''s Calc'!Z13</f>
        <v>1664.3275861480668</v>
      </c>
      <c r="AA20" s="136">
        <f>+'Pi''s Calc'!AA13</f>
        <v>1664.3275861480668</v>
      </c>
      <c r="AB20" s="136">
        <f>+'Pi''s Calc'!AB13</f>
        <v>1639.8521804694187</v>
      </c>
      <c r="AC20" s="136">
        <f>+'Pi''s Calc'!AC13</f>
        <v>1615.3767747907709</v>
      </c>
      <c r="AD20" s="136">
        <f>+'Pi''s Calc'!AD13</f>
        <v>1590.9013691121229</v>
      </c>
      <c r="AE20" s="136">
        <f>+'Pi''s Calc'!AE13</f>
        <v>1566.4259634334749</v>
      </c>
      <c r="AF20" s="136">
        <f>+'Pi''s Calc'!AF13</f>
        <v>1541.9505577548271</v>
      </c>
      <c r="AG20" s="136">
        <f>+'Pi''s Calc'!AG13</f>
        <v>1517.475152076179</v>
      </c>
      <c r="AH20" s="136">
        <f>+'Pi''s Calc'!AH13</f>
        <v>1492.9997463975312</v>
      </c>
      <c r="AI20" s="136">
        <f>+'Pi''s Calc'!AI13</f>
        <v>1468.5243407188832</v>
      </c>
      <c r="AJ20" s="136">
        <f>+'Pi''s Calc'!AJ13</f>
        <v>1444.0489350402352</v>
      </c>
      <c r="AK20" s="136">
        <f>+'Pi''s Calc'!AK13</f>
        <v>1419.5735293615874</v>
      </c>
      <c r="AL20" s="136">
        <f>+'Pi''s Calc'!AL13</f>
        <v>1395.0981236829391</v>
      </c>
      <c r="AM20" s="136">
        <f>+'Pi''s Calc'!AM13</f>
        <v>1370.6227180042911</v>
      </c>
      <c r="AN20" s="136">
        <f>+'Pi''s Calc'!AN13</f>
        <v>1346.1473123256433</v>
      </c>
      <c r="AO20" s="136">
        <f>+'Pi''s Calc'!AO13</f>
        <v>1321.6719066469952</v>
      </c>
      <c r="AP20" s="136">
        <f>+'Pi''s Calc'!AP13</f>
        <v>1297.1965009683472</v>
      </c>
      <c r="AQ20" s="136">
        <f>+'Pi''s Calc'!AQ13</f>
        <v>1272.7210952896994</v>
      </c>
      <c r="AR20" s="136">
        <f>+'Pi''s Calc'!AR13</f>
        <v>1248.2456896110514</v>
      </c>
      <c r="AU20" s="136"/>
    </row>
    <row r="21" spans="1:47" ht="16.3">
      <c r="A21" s="135" t="s">
        <v>316</v>
      </c>
      <c r="B21" s="202" t="s">
        <v>324</v>
      </c>
      <c r="C21" s="207" t="s">
        <v>338</v>
      </c>
      <c r="S21" s="135"/>
      <c r="T21" s="135"/>
      <c r="U21" s="135"/>
      <c r="V21" s="136">
        <f>+'Pi''s Calc'!V14</f>
        <v>13981.753977705061</v>
      </c>
      <c r="W21" s="136">
        <f>+'Pi''s Calc'!W14</f>
        <v>13981.753977705061</v>
      </c>
      <c r="X21" s="136">
        <f>+'Pi''s Calc'!X14</f>
        <v>13981.753977705061</v>
      </c>
      <c r="Y21" s="136">
        <f>+'Pi''s Calc'!Y14</f>
        <v>13981.753977705061</v>
      </c>
      <c r="Z21" s="136">
        <f>+'Pi''s Calc'!Z14</f>
        <v>13981.753977705061</v>
      </c>
      <c r="AA21" s="136">
        <f>+'Pi''s Calc'!AA14</f>
        <v>13981.753977705061</v>
      </c>
      <c r="AB21" s="136">
        <f>+'Pi''s Calc'!AB14</f>
        <v>13776.139948621165</v>
      </c>
      <c r="AC21" s="136">
        <f>+'Pi''s Calc'!AC14</f>
        <v>13570.525919537267</v>
      </c>
      <c r="AD21" s="136">
        <f>+'Pi''s Calc'!AD14</f>
        <v>13364.91189045337</v>
      </c>
      <c r="AE21" s="136">
        <f>+'Pi''s Calc'!AE14</f>
        <v>13159.297861369472</v>
      </c>
      <c r="AF21" s="136">
        <f>+'Pi''s Calc'!AF14</f>
        <v>12953.683832285575</v>
      </c>
      <c r="AG21" s="136">
        <f>+'Pi''s Calc'!AG14</f>
        <v>12748.069803201677</v>
      </c>
      <c r="AH21" s="136">
        <f>+'Pi''s Calc'!AH14</f>
        <v>12542.455774117781</v>
      </c>
      <c r="AI21" s="136">
        <f>+'Pi''s Calc'!AI14</f>
        <v>12336.841745033884</v>
      </c>
      <c r="AJ21" s="136">
        <f>+'Pi''s Calc'!AJ14</f>
        <v>12131.227715949986</v>
      </c>
      <c r="AK21" s="136">
        <f>+'Pi''s Calc'!AK14</f>
        <v>11925.613686866091</v>
      </c>
      <c r="AL21" s="136">
        <f>+'Pi''s Calc'!AL14</f>
        <v>11719.999657782191</v>
      </c>
      <c r="AM21" s="136">
        <f>+'Pi''s Calc'!AM14</f>
        <v>11514.385628698295</v>
      </c>
      <c r="AN21" s="136">
        <f>+'Pi''s Calc'!AN14</f>
        <v>11308.771599614396</v>
      </c>
      <c r="AO21" s="136">
        <f>+'Pi''s Calc'!AO14</f>
        <v>11103.1575705305</v>
      </c>
      <c r="AP21" s="136">
        <f>+'Pi''s Calc'!AP14</f>
        <v>10897.543541446605</v>
      </c>
      <c r="AQ21" s="136">
        <f>+'Pi''s Calc'!AQ14</f>
        <v>10691.929512362705</v>
      </c>
      <c r="AR21" s="136">
        <f>+'Pi''s Calc'!AR14</f>
        <v>10486.31548327881</v>
      </c>
      <c r="AU21" s="136"/>
    </row>
    <row r="22" spans="1:47" ht="16.3">
      <c r="A22" s="135" t="s">
        <v>316</v>
      </c>
      <c r="B22" s="202" t="s">
        <v>324</v>
      </c>
      <c r="C22" s="207" t="s">
        <v>339</v>
      </c>
      <c r="S22" s="135"/>
      <c r="T22" s="135"/>
      <c r="U22" s="135"/>
      <c r="V22" s="136">
        <f>+'Pi''s Calc'!V15</f>
        <v>17698.631235761779</v>
      </c>
      <c r="W22" s="136">
        <f>+'Pi''s Calc'!W15</f>
        <v>18054.482481070547</v>
      </c>
      <c r="X22" s="136">
        <f>+'Pi''s Calc'!X15</f>
        <v>18524.288008194399</v>
      </c>
      <c r="Y22" s="136">
        <f>+'Pi''s Calc'!Y15</f>
        <v>18995.117076771672</v>
      </c>
      <c r="Z22" s="136">
        <f>+'Pi''s Calc'!Z15</f>
        <v>19075.751126584022</v>
      </c>
      <c r="AA22" s="136">
        <f>+'Pi''s Calc'!AA15</f>
        <v>19075.751126584022</v>
      </c>
      <c r="AB22" s="136">
        <f>+'Pi''s Calc'!AB15</f>
        <v>18795.225374722497</v>
      </c>
      <c r="AC22" s="136">
        <f>+'Pi''s Calc'!AC15</f>
        <v>18514.699622860964</v>
      </c>
      <c r="AD22" s="136">
        <f>+'Pi''s Calc'!AD15</f>
        <v>18234.173870999435</v>
      </c>
      <c r="AE22" s="136">
        <f>+'Pi''s Calc'!AE15</f>
        <v>17953.64811913791</v>
      </c>
      <c r="AF22" s="136">
        <f>+'Pi''s Calc'!AF15</f>
        <v>17673.122367276377</v>
      </c>
      <c r="AG22" s="136">
        <f>+'Pi''s Calc'!AG15</f>
        <v>17392.596615414852</v>
      </c>
      <c r="AH22" s="136">
        <f>+'Pi''s Calc'!AH15</f>
        <v>17112.070863553323</v>
      </c>
      <c r="AI22" s="136">
        <f>+'Pi''s Calc'!AI15</f>
        <v>16831.54511169179</v>
      </c>
      <c r="AJ22" s="136">
        <f>+'Pi''s Calc'!AJ15</f>
        <v>16551.019359830265</v>
      </c>
      <c r="AK22" s="136">
        <f>+'Pi''s Calc'!AK15</f>
        <v>16270.493607968736</v>
      </c>
      <c r="AL22" s="136">
        <f>+'Pi''s Calc'!AL15</f>
        <v>15989.967856107207</v>
      </c>
      <c r="AM22" s="136">
        <f>+'Pi''s Calc'!AM15</f>
        <v>15709.442104245678</v>
      </c>
      <c r="AN22" s="136">
        <f>+'Pi''s Calc'!AN15</f>
        <v>15428.916352384151</v>
      </c>
      <c r="AO22" s="136">
        <f>+'Pi''s Calc'!AO15</f>
        <v>15148.39060052262</v>
      </c>
      <c r="AP22" s="136">
        <f>+'Pi''s Calc'!AP15</f>
        <v>14867.864848661091</v>
      </c>
      <c r="AQ22" s="136">
        <f>+'Pi''s Calc'!AQ15</f>
        <v>14587.339096799564</v>
      </c>
      <c r="AR22" s="136">
        <f>+'Pi''s Calc'!AR15</f>
        <v>14306.813344938035</v>
      </c>
      <c r="AU22" s="136"/>
    </row>
    <row r="23" spans="1:47" ht="16.3">
      <c r="A23" s="135" t="s">
        <v>317</v>
      </c>
      <c r="B23" s="202" t="s">
        <v>325</v>
      </c>
      <c r="C23" s="207"/>
      <c r="S23" s="135"/>
      <c r="T23" s="135"/>
      <c r="U23" s="135"/>
      <c r="V23" s="136">
        <f>+'Pi''s Calc'!V7</f>
        <v>11861.074300023158</v>
      </c>
      <c r="W23" s="136">
        <f>+'Pi''s Calc'!W7</f>
        <v>7762.4658651348536</v>
      </c>
      <c r="X23" s="136">
        <f>+'Pi''s Calc'!X7</f>
        <v>7467.5724884382516</v>
      </c>
      <c r="Y23" s="136">
        <f>+'Pi''s Calc'!Y7</f>
        <v>7208.6356363781233</v>
      </c>
      <c r="Z23" s="136">
        <f>+'Pi''s Calc'!Z7</f>
        <v>7238.3992279729955</v>
      </c>
      <c r="AA23" s="136">
        <f>+'Pi''s Calc'!AA7</f>
        <v>7106.6886700842888</v>
      </c>
      <c r="AB23" s="136">
        <f>+'Pi''s Calc'!AB7</f>
        <v>10750.630248601416</v>
      </c>
      <c r="AC23" s="136">
        <f>+'Pi''s Calc'!AC7</f>
        <v>6101.6759130018145</v>
      </c>
      <c r="AD23" s="136">
        <f>+'Pi''s Calc'!AD7</f>
        <v>6245.233789356168</v>
      </c>
      <c r="AE23" s="136">
        <f>+'Pi''s Calc'!AE7</f>
        <v>6295.8536810483365</v>
      </c>
      <c r="AF23" s="136">
        <f>+'Pi''s Calc'!AF7</f>
        <v>6127.7692657447133</v>
      </c>
      <c r="AG23" s="136">
        <f>+'Pi''s Calc'!AG7</f>
        <v>6037.7959148835571</v>
      </c>
      <c r="AH23" s="136">
        <f>+'Pi''s Calc'!AH7</f>
        <v>5881.0372277147253</v>
      </c>
      <c r="AI23" s="136">
        <f>+'Pi''s Calc'!AI7</f>
        <v>5857.0697019200697</v>
      </c>
      <c r="AJ23" s="136">
        <f>+'Pi''s Calc'!AJ7</f>
        <v>5934.0784308882303</v>
      </c>
      <c r="AK23" s="136">
        <f>+'Pi''s Calc'!AK7</f>
        <v>5920.2939914876852</v>
      </c>
      <c r="AL23" s="136">
        <f>+'Pi''s Calc'!AL7</f>
        <v>6058.1425113098912</v>
      </c>
      <c r="AM23" s="136">
        <f>+'Pi''s Calc'!AM7</f>
        <v>5807.7017147834613</v>
      </c>
      <c r="AN23" s="136">
        <f>+'Pi''s Calc'!AN7</f>
        <v>5772.6349844906381</v>
      </c>
      <c r="AO23" s="136">
        <f>+'Pi''s Calc'!AO7</f>
        <v>5754.2860080959417</v>
      </c>
      <c r="AP23" s="136">
        <f>+'Pi''s Calc'!AP7</f>
        <v>5687.2788976783613</v>
      </c>
      <c r="AQ23" s="136">
        <f>+'Pi''s Calc'!AQ7</f>
        <v>5572.7698275728017</v>
      </c>
      <c r="AR23" s="136">
        <f>+'Pi''s Calc'!AR7</f>
        <v>5457.0752116460808</v>
      </c>
      <c r="AU23" s="136"/>
    </row>
    <row r="24" spans="1:47" ht="16.3">
      <c r="A24" s="135" t="s">
        <v>318</v>
      </c>
      <c r="B24" s="202" t="s">
        <v>326</v>
      </c>
      <c r="C24" s="207"/>
      <c r="S24" s="135"/>
      <c r="T24" s="135"/>
      <c r="U24" s="135"/>
      <c r="V24" s="136">
        <f>'Pi''s Calc'!V8</f>
        <v>7875.1721053171241</v>
      </c>
      <c r="W24" s="136">
        <f>'Pi''s Calc'!W8</f>
        <v>7831.3096241695312</v>
      </c>
      <c r="X24" s="136">
        <f>'Pi''s Calc'!X8</f>
        <v>7761.5951797968764</v>
      </c>
      <c r="Y24" s="136">
        <f>'Pi''s Calc'!Y8</f>
        <v>7845.6225755015967</v>
      </c>
      <c r="Z24" s="136">
        <f>'Pi''s Calc'!Z8</f>
        <v>8158.8947846704868</v>
      </c>
      <c r="AA24" s="136">
        <f>'Pi''s Calc'!AA8</f>
        <v>8178.0772477010569</v>
      </c>
      <c r="AB24" s="136">
        <f>'Pi''s Calc'!AB8</f>
        <v>8349.1399474762202</v>
      </c>
      <c r="AC24" s="136">
        <f>'Pi''s Calc'!AC8</f>
        <v>8515.8280827432045</v>
      </c>
      <c r="AD24" s="136">
        <f>'Pi''s Calc'!AD8</f>
        <v>8678.3308743980906</v>
      </c>
      <c r="AE24" s="136">
        <f>'Pi''s Calc'!AE8</f>
        <v>8836.8370082801939</v>
      </c>
      <c r="AF24" s="136">
        <f>'Pi''s Calc'!AF8</f>
        <v>8991.5191442425894</v>
      </c>
      <c r="AG24" s="136">
        <f>'Pi''s Calc'!AG8</f>
        <v>9142.5503466753453</v>
      </c>
      <c r="AH24" s="136">
        <f>'Pi''s Calc'!AH8</f>
        <v>9290.0885945935825</v>
      </c>
      <c r="AI24" s="136">
        <f>'Pi''s Calc'!AI8</f>
        <v>9434.2644422936664</v>
      </c>
      <c r="AJ24" s="136">
        <f>'Pi''s Calc'!AJ8</f>
        <v>9575.2022780724474</v>
      </c>
      <c r="AK24" s="136">
        <f>'Pi''s Calc'!AK8</f>
        <v>9713.049206021542</v>
      </c>
      <c r="AL24" s="136">
        <f>'Pi''s Calc'!AL8</f>
        <v>9847.9387626800726</v>
      </c>
      <c r="AM24" s="136">
        <f>'Pi''s Calc'!AM8</f>
        <v>9979.9785577545499</v>
      </c>
      <c r="AN24" s="136">
        <f>'Pi''s Calc'!AN8</f>
        <v>10109.299689213954</v>
      </c>
      <c r="AO24" s="136">
        <f>'Pi''s Calc'!AO8</f>
        <v>10236.020595737325</v>
      </c>
      <c r="AP24" s="136">
        <f>'Pi''s Calc'!AP8</f>
        <v>10360.234692597251</v>
      </c>
      <c r="AQ24" s="136">
        <f>'Pi''s Calc'!AQ8</f>
        <v>10482.031225352466</v>
      </c>
      <c r="AR24" s="136">
        <f>'Pi''s Calc'!AR8</f>
        <v>10602.915669689495</v>
      </c>
      <c r="AU24" s="136"/>
    </row>
    <row r="25" spans="1:47" ht="16.3">
      <c r="A25" s="135" t="s">
        <v>319</v>
      </c>
      <c r="B25" s="202" t="s">
        <v>327</v>
      </c>
      <c r="C25" s="207"/>
      <c r="S25" s="135"/>
      <c r="T25" s="135"/>
      <c r="U25" s="135"/>
      <c r="V25" s="136">
        <f>+'DAV Pi'!V53</f>
        <v>8242.0144159165029</v>
      </c>
      <c r="W25" s="136">
        <f>+'DAV Pi'!W53</f>
        <v>8429.0508665721572</v>
      </c>
      <c r="X25" s="136">
        <f>+'DAV Pi'!X53</f>
        <v>8603.5066792094203</v>
      </c>
      <c r="Y25" s="136">
        <f>+'DAV Pi'!Y53</f>
        <v>8735.4648679515285</v>
      </c>
      <c r="Z25" s="136">
        <f>+'DAV Pi'!Z53</f>
        <v>8861.4411432537981</v>
      </c>
      <c r="AA25" s="136">
        <f>+'DAV Pi'!AA53</f>
        <v>8940.4744460560814</v>
      </c>
      <c r="AB25" s="136">
        <f>+'DAV Pi'!AB53</f>
        <v>9183.2874832290727</v>
      </c>
      <c r="AC25" s="136">
        <f>+'DAV Pi'!AC53</f>
        <v>9317.4938857561774</v>
      </c>
      <c r="AD25" s="136">
        <f>+'DAV Pi'!AD53</f>
        <v>9480.5755488318409</v>
      </c>
      <c r="AE25" s="136">
        <f>+'DAV Pi'!AE53</f>
        <v>9639.6779518533822</v>
      </c>
      <c r="AF25" s="136">
        <f>+'DAV Pi'!AF53</f>
        <v>9788.8509854809527</v>
      </c>
      <c r="AG25" s="136">
        <f>+'DAV Pi'!AG53</f>
        <v>9901.0577798237173</v>
      </c>
      <c r="AH25" s="136">
        <f>+'DAV Pi'!AH53</f>
        <v>10008.89160197325</v>
      </c>
      <c r="AI25" s="136">
        <f>+'DAV Pi'!AI53</f>
        <v>10120.731976356172</v>
      </c>
      <c r="AJ25" s="136">
        <f>+'DAV Pi'!AJ53</f>
        <v>10241.645864557524</v>
      </c>
      <c r="AK25" s="136">
        <f>+'DAV Pi'!AK53</f>
        <v>10370.620496956901</v>
      </c>
      <c r="AL25" s="136">
        <f>+'DAV Pi'!AL53</f>
        <v>10521.360736334944</v>
      </c>
      <c r="AM25" s="136">
        <f>+'DAV Pi'!AM53</f>
        <v>10659.329066048092</v>
      </c>
      <c r="AN25" s="136">
        <f>+'DAV Pi'!AN53</f>
        <v>10790.883948608676</v>
      </c>
      <c r="AO25" s="136">
        <f>+'DAV Pi'!AO53</f>
        <v>10912.616575215816</v>
      </c>
      <c r="AP25" s="136">
        <f>+'DAV Pi'!AP53</f>
        <v>11021.437861127844</v>
      </c>
      <c r="AQ25" s="136">
        <f>+'DAV Pi'!AQ53</f>
        <v>11135.349490536915</v>
      </c>
      <c r="AR25" s="136">
        <f>+'DAV Pi'!AR53</f>
        <v>11239.410755063587</v>
      </c>
      <c r="AU25" s="136"/>
    </row>
    <row r="26" spans="1:47" ht="16.3">
      <c r="A26" s="135" t="s">
        <v>35</v>
      </c>
      <c r="B26" s="202" t="s">
        <v>328</v>
      </c>
      <c r="C26" s="207"/>
      <c r="S26" s="135"/>
      <c r="T26" s="135"/>
      <c r="U26" s="135"/>
      <c r="V26" s="136">
        <f>+'Pi''s Calc'!V29</f>
        <v>2166.3272703526218</v>
      </c>
      <c r="W26" s="136">
        <f>+'Pi''s Calc'!W29</f>
        <v>7326.7734293709946</v>
      </c>
      <c r="X26" s="136">
        <f>+'Pi''s Calc'!X29</f>
        <v>8689.3235100210259</v>
      </c>
      <c r="Y26" s="136">
        <f>+'Pi''s Calc'!Y29</f>
        <v>9816.9855871571144</v>
      </c>
      <c r="Z26" s="136">
        <f>+'Pi''s Calc'!Z29</f>
        <v>10296.931251189726</v>
      </c>
      <c r="AA26" s="136">
        <f>+'Pi''s Calc'!AA29</f>
        <v>11169.59678735695</v>
      </c>
      <c r="AB26" s="136">
        <f>+'Pi''s Calc'!AB29</f>
        <v>7633.2213448863877</v>
      </c>
      <c r="AC26" s="136">
        <f>+'Pi''s Calc'!AC29</f>
        <v>12308.955265193994</v>
      </c>
      <c r="AD26" s="136">
        <f>+'Pi''s Calc'!AD29</f>
        <v>12164.691428023691</v>
      </c>
      <c r="AE26" s="136">
        <f>+'Pi''s Calc'!AE29</f>
        <v>12086.657269318834</v>
      </c>
      <c r="AF26" s="136">
        <f>+'Pi''s Calc'!AF29</f>
        <v>12201.49203717367</v>
      </c>
      <c r="AG26" s="136">
        <f>+'Pi''s Calc'!AG29</f>
        <v>12213.324975641017</v>
      </c>
      <c r="AH26" s="136">
        <f>+'Pi''s Calc'!AH29</f>
        <v>12267.857776810686</v>
      </c>
      <c r="AI26" s="136">
        <f>+'Pi''s Calc'!AI29</f>
        <v>12166.310169966115</v>
      </c>
      <c r="AJ26" s="136">
        <f>+'Pi''s Calc'!AJ29</f>
        <v>11941.209338490025</v>
      </c>
      <c r="AK26" s="136">
        <f>+'Pi''s Calc'!AK29</f>
        <v>11784.983956291047</v>
      </c>
      <c r="AL26" s="136">
        <f>+'Pi''s Calc'!AL29</f>
        <v>11455.9045836981</v>
      </c>
      <c r="AM26" s="136">
        <f>+'Pi''s Calc'!AM29</f>
        <v>11494.584357479724</v>
      </c>
      <c r="AN26" s="136">
        <f>+'Pi''s Calc'!AN29</f>
        <v>11297.945430333626</v>
      </c>
      <c r="AO26" s="136">
        <f>+'Pi''s Calc'!AO29</f>
        <v>11065.266614628163</v>
      </c>
      <c r="AP26" s="136">
        <f>+'Pi''s Calc'!AP29</f>
        <v>10862.542673313301</v>
      </c>
      <c r="AQ26" s="136">
        <f>+'Pi''s Calc'!AQ29</f>
        <v>10689.164418044633</v>
      </c>
      <c r="AR26" s="136">
        <f>+'Pi''s Calc'!AR29</f>
        <v>10497.923143402082</v>
      </c>
      <c r="AU26" s="136"/>
    </row>
    <row r="27" spans="1:47" ht="16.3">
      <c r="A27" s="135" t="s">
        <v>320</v>
      </c>
      <c r="B27" s="202" t="s">
        <v>330</v>
      </c>
      <c r="C27" s="207" t="s">
        <v>148</v>
      </c>
      <c r="S27" s="135"/>
      <c r="T27" s="135"/>
      <c r="U27" s="135"/>
      <c r="V27" s="198">
        <f>+'Pi''s Calc'!V19</f>
        <v>0.40335851638060471</v>
      </c>
      <c r="W27" s="198">
        <f>+'Pi''s Calc'!W19</f>
        <v>0.40335851638060471</v>
      </c>
      <c r="X27" s="198">
        <f>+'Pi''s Calc'!X19</f>
        <v>0.40335851638060471</v>
      </c>
      <c r="Y27" s="198">
        <f>+'Pi''s Calc'!Y19</f>
        <v>0.40335851638060471</v>
      </c>
      <c r="Z27" s="198">
        <f>+'Pi''s Calc'!Z19</f>
        <v>0.40335851638060471</v>
      </c>
      <c r="AA27" s="198">
        <f>+'Pi''s Calc'!AA19</f>
        <v>0.40335851638060471</v>
      </c>
      <c r="AB27" s="198">
        <f>+'Pi''s Calc'!AB19</f>
        <v>0.40335851638060471</v>
      </c>
      <c r="AC27" s="198">
        <f>+'Pi''s Calc'!AC19</f>
        <v>0.40335851638060471</v>
      </c>
      <c r="AD27" s="198">
        <f>+'Pi''s Calc'!AD19</f>
        <v>0.40335851638060471</v>
      </c>
      <c r="AE27" s="198">
        <f>+'Pi''s Calc'!AE19</f>
        <v>0.40335851638060471</v>
      </c>
      <c r="AF27" s="198">
        <f>+'Pi''s Calc'!AF19</f>
        <v>0.40335851638060471</v>
      </c>
      <c r="AG27" s="198">
        <f>+'Pi''s Calc'!AG19</f>
        <v>0.40335851638060471</v>
      </c>
      <c r="AH27" s="198">
        <f>+'Pi''s Calc'!AH19</f>
        <v>0.40335851638060471</v>
      </c>
      <c r="AI27" s="198">
        <f>+'Pi''s Calc'!AI19</f>
        <v>0.40335851638060471</v>
      </c>
      <c r="AJ27" s="198">
        <f>+'Pi''s Calc'!AJ19</f>
        <v>0.40335851638060471</v>
      </c>
      <c r="AK27" s="198">
        <f>+'Pi''s Calc'!AK19</f>
        <v>0.40335851638060471</v>
      </c>
      <c r="AL27" s="198">
        <f>+'Pi''s Calc'!AL19</f>
        <v>0.40335851638060471</v>
      </c>
      <c r="AM27" s="198">
        <f>+'Pi''s Calc'!AM19</f>
        <v>0.40335851638060471</v>
      </c>
      <c r="AN27" s="198">
        <f>+'Pi''s Calc'!AN19</f>
        <v>0.40335851638060471</v>
      </c>
      <c r="AO27" s="198">
        <f>+'Pi''s Calc'!AO19</f>
        <v>0.40335851638060471</v>
      </c>
      <c r="AP27" s="198">
        <f>+'Pi''s Calc'!AP19</f>
        <v>0.40335851638060471</v>
      </c>
      <c r="AQ27" s="198">
        <f>+'Pi''s Calc'!AQ19</f>
        <v>0.40335851638060471</v>
      </c>
      <c r="AR27" s="198">
        <f>+'Pi''s Calc'!AR19</f>
        <v>0.40335851638060471</v>
      </c>
      <c r="AS27" s="198"/>
      <c r="AT27" s="198"/>
      <c r="AU27" s="198"/>
    </row>
    <row r="28" spans="1:47" ht="16.3">
      <c r="A28" s="135" t="s">
        <v>320</v>
      </c>
      <c r="B28" s="202" t="s">
        <v>330</v>
      </c>
      <c r="C28" s="207" t="s">
        <v>149</v>
      </c>
      <c r="S28" s="135"/>
      <c r="T28" s="135"/>
      <c r="U28" s="135"/>
      <c r="V28" s="198">
        <f>+'Pi''s Calc'!V20</f>
        <v>0.28335663946875472</v>
      </c>
      <c r="W28" s="198">
        <f>+'Pi''s Calc'!W20</f>
        <v>0.28335663946875472</v>
      </c>
      <c r="X28" s="198">
        <f>+'Pi''s Calc'!X20</f>
        <v>0.28335663946875472</v>
      </c>
      <c r="Y28" s="198">
        <f>+'Pi''s Calc'!Y20</f>
        <v>0.28335663946875472</v>
      </c>
      <c r="Z28" s="198">
        <f>+'Pi''s Calc'!Z20</f>
        <v>0.28335663946875472</v>
      </c>
      <c r="AA28" s="198">
        <f>+'Pi''s Calc'!AA20</f>
        <v>0.28335663946875472</v>
      </c>
      <c r="AB28" s="198">
        <f>+'Pi''s Calc'!AB20</f>
        <v>0.28335663946875472</v>
      </c>
      <c r="AC28" s="198">
        <f>+'Pi''s Calc'!AC20</f>
        <v>0.28335663946875472</v>
      </c>
      <c r="AD28" s="198">
        <f>+'Pi''s Calc'!AD20</f>
        <v>0.28335663946875472</v>
      </c>
      <c r="AE28" s="198">
        <f>+'Pi''s Calc'!AE20</f>
        <v>0.28335663946875472</v>
      </c>
      <c r="AF28" s="198">
        <f>+'Pi''s Calc'!AF20</f>
        <v>0.28335663946875472</v>
      </c>
      <c r="AG28" s="198">
        <f>+'Pi''s Calc'!AG20</f>
        <v>0.28335663946875472</v>
      </c>
      <c r="AH28" s="198">
        <f>+'Pi''s Calc'!AH20</f>
        <v>0.28335663946875472</v>
      </c>
      <c r="AI28" s="198">
        <f>+'Pi''s Calc'!AI20</f>
        <v>0.28335663946875472</v>
      </c>
      <c r="AJ28" s="198">
        <f>+'Pi''s Calc'!AJ20</f>
        <v>0.28335663946875472</v>
      </c>
      <c r="AK28" s="198">
        <f>+'Pi''s Calc'!AK20</f>
        <v>0.28335663946875472</v>
      </c>
      <c r="AL28" s="198">
        <f>+'Pi''s Calc'!AL20</f>
        <v>0.28335663946875472</v>
      </c>
      <c r="AM28" s="198">
        <f>+'Pi''s Calc'!AM20</f>
        <v>0.28335663946875472</v>
      </c>
      <c r="AN28" s="198">
        <f>+'Pi''s Calc'!AN20</f>
        <v>0.28335663946875472</v>
      </c>
      <c r="AO28" s="198">
        <f>+'Pi''s Calc'!AO20</f>
        <v>0.28335663946875472</v>
      </c>
      <c r="AP28" s="198">
        <f>+'Pi''s Calc'!AP20</f>
        <v>0.28335663946875472</v>
      </c>
      <c r="AQ28" s="198">
        <f>+'Pi''s Calc'!AQ20</f>
        <v>0.28335663946875472</v>
      </c>
      <c r="AR28" s="198">
        <f>+'Pi''s Calc'!AR20</f>
        <v>0.28335663946875472</v>
      </c>
      <c r="AS28" s="198"/>
      <c r="AT28" s="198"/>
      <c r="AU28" s="198"/>
    </row>
    <row r="29" spans="1:47" ht="16.3">
      <c r="A29" s="135" t="s">
        <v>320</v>
      </c>
      <c r="B29" s="202" t="s">
        <v>330</v>
      </c>
      <c r="C29" s="207" t="s">
        <v>150</v>
      </c>
      <c r="S29" s="135"/>
      <c r="T29" s="135"/>
      <c r="U29" s="135"/>
      <c r="V29" s="198">
        <f>+'Pi''s Calc'!V21</f>
        <v>0.25398002984773094</v>
      </c>
      <c r="W29" s="198">
        <f>+'Pi''s Calc'!W21</f>
        <v>0.25398002984773094</v>
      </c>
      <c r="X29" s="198">
        <f>+'Pi''s Calc'!X21</f>
        <v>0.25398002984773094</v>
      </c>
      <c r="Y29" s="198">
        <f>+'Pi''s Calc'!Y21</f>
        <v>0.25398002984773094</v>
      </c>
      <c r="Z29" s="198">
        <f>+'Pi''s Calc'!Z21</f>
        <v>0.25398002984773094</v>
      </c>
      <c r="AA29" s="198">
        <f>+'Pi''s Calc'!AA21</f>
        <v>0.25398002984773094</v>
      </c>
      <c r="AB29" s="198">
        <f>+'Pi''s Calc'!AB21</f>
        <v>0.25398002984773094</v>
      </c>
      <c r="AC29" s="198">
        <f>+'Pi''s Calc'!AC21</f>
        <v>0.25398002984773094</v>
      </c>
      <c r="AD29" s="198">
        <f>+'Pi''s Calc'!AD21</f>
        <v>0.25398002984773094</v>
      </c>
      <c r="AE29" s="198">
        <f>+'Pi''s Calc'!AE21</f>
        <v>0.25398002984773094</v>
      </c>
      <c r="AF29" s="198">
        <f>+'Pi''s Calc'!AF21</f>
        <v>0.25398002984773094</v>
      </c>
      <c r="AG29" s="198">
        <f>+'Pi''s Calc'!AG21</f>
        <v>0.25398002984773094</v>
      </c>
      <c r="AH29" s="198">
        <f>+'Pi''s Calc'!AH21</f>
        <v>0.25398002984773094</v>
      </c>
      <c r="AI29" s="198">
        <f>+'Pi''s Calc'!AI21</f>
        <v>0.25398002984773094</v>
      </c>
      <c r="AJ29" s="198">
        <f>+'Pi''s Calc'!AJ21</f>
        <v>0.25398002984773094</v>
      </c>
      <c r="AK29" s="198">
        <f>+'Pi''s Calc'!AK21</f>
        <v>0.25398002984773094</v>
      </c>
      <c r="AL29" s="198">
        <f>+'Pi''s Calc'!AL21</f>
        <v>0.25398002984773094</v>
      </c>
      <c r="AM29" s="198">
        <f>+'Pi''s Calc'!AM21</f>
        <v>0.25398002984773094</v>
      </c>
      <c r="AN29" s="198">
        <f>+'Pi''s Calc'!AN21</f>
        <v>0.25398002984773094</v>
      </c>
      <c r="AO29" s="198">
        <f>+'Pi''s Calc'!AO21</f>
        <v>0.25398002984773094</v>
      </c>
      <c r="AP29" s="198">
        <f>+'Pi''s Calc'!AP21</f>
        <v>0.25398002984773094</v>
      </c>
      <c r="AQ29" s="198">
        <f>+'Pi''s Calc'!AQ21</f>
        <v>0.25398002984773094</v>
      </c>
      <c r="AR29" s="198">
        <f>+'Pi''s Calc'!AR21</f>
        <v>0.25398002984773094</v>
      </c>
      <c r="AS29" s="198"/>
      <c r="AT29" s="198"/>
      <c r="AU29" s="198"/>
    </row>
    <row r="30" spans="1:47" ht="16.3">
      <c r="A30" s="135" t="s">
        <v>320</v>
      </c>
      <c r="B30" s="202" t="s">
        <v>330</v>
      </c>
      <c r="C30" s="207" t="s">
        <v>151</v>
      </c>
      <c r="S30" s="135"/>
      <c r="T30" s="135"/>
      <c r="U30" s="135"/>
      <c r="V30" s="198">
        <f>+'Pi''s Calc'!V22</f>
        <v>0.20167925819030236</v>
      </c>
      <c r="W30" s="198">
        <f>+'Pi''s Calc'!W22</f>
        <v>0.20167925819030236</v>
      </c>
      <c r="X30" s="198">
        <f>+'Pi''s Calc'!X22</f>
        <v>0.20167925819030236</v>
      </c>
      <c r="Y30" s="198">
        <f>+'Pi''s Calc'!Y22</f>
        <v>0.20167925819030236</v>
      </c>
      <c r="Z30" s="198">
        <f>+'Pi''s Calc'!Z22</f>
        <v>0.20167925819030236</v>
      </c>
      <c r="AA30" s="198">
        <f>+'Pi''s Calc'!AA22</f>
        <v>0.20167925819030236</v>
      </c>
      <c r="AB30" s="198">
        <f>+'Pi''s Calc'!AB22</f>
        <v>0.20167925819030236</v>
      </c>
      <c r="AC30" s="198">
        <f>+'Pi''s Calc'!AC22</f>
        <v>0.20167925819030236</v>
      </c>
      <c r="AD30" s="198">
        <f>+'Pi''s Calc'!AD22</f>
        <v>0.20167925819030236</v>
      </c>
      <c r="AE30" s="198">
        <f>+'Pi''s Calc'!AE22</f>
        <v>0.20167925819030236</v>
      </c>
      <c r="AF30" s="198">
        <f>+'Pi''s Calc'!AF22</f>
        <v>0.20167925819030236</v>
      </c>
      <c r="AG30" s="198">
        <f>+'Pi''s Calc'!AG22</f>
        <v>0.20167925819030236</v>
      </c>
      <c r="AH30" s="198">
        <f>+'Pi''s Calc'!AH22</f>
        <v>0.20167925819030236</v>
      </c>
      <c r="AI30" s="198">
        <f>+'Pi''s Calc'!AI22</f>
        <v>0.20167925819030236</v>
      </c>
      <c r="AJ30" s="198">
        <f>+'Pi''s Calc'!AJ22</f>
        <v>0.20167925819030236</v>
      </c>
      <c r="AK30" s="198">
        <f>+'Pi''s Calc'!AK22</f>
        <v>0.20167925819030236</v>
      </c>
      <c r="AL30" s="198">
        <f>+'Pi''s Calc'!AL22</f>
        <v>0.20167925819030236</v>
      </c>
      <c r="AM30" s="198">
        <f>+'Pi''s Calc'!AM22</f>
        <v>0.20167925819030236</v>
      </c>
      <c r="AN30" s="198">
        <f>+'Pi''s Calc'!AN22</f>
        <v>0.20167925819030236</v>
      </c>
      <c r="AO30" s="198">
        <f>+'Pi''s Calc'!AO22</f>
        <v>0.20167925819030236</v>
      </c>
      <c r="AP30" s="198">
        <f>+'Pi''s Calc'!AP22</f>
        <v>0.20167925819030236</v>
      </c>
      <c r="AQ30" s="198">
        <f>+'Pi''s Calc'!AQ22</f>
        <v>0.20167925819030236</v>
      </c>
      <c r="AR30" s="198">
        <f>+'Pi''s Calc'!AR22</f>
        <v>0.20167925819030236</v>
      </c>
      <c r="AS30" s="198"/>
      <c r="AT30" s="198"/>
      <c r="AU30" s="198"/>
    </row>
    <row r="31" spans="1:47" ht="16.3">
      <c r="A31" s="135" t="s">
        <v>320</v>
      </c>
      <c r="B31" s="202" t="s">
        <v>330</v>
      </c>
      <c r="C31" s="207" t="s">
        <v>338</v>
      </c>
      <c r="S31" s="135"/>
      <c r="T31" s="135"/>
      <c r="U31" s="135"/>
      <c r="V31" s="198">
        <f>+'Pi''s Calc'!V23</f>
        <v>0.23801448299838876</v>
      </c>
      <c r="W31" s="198">
        <f>+'Pi''s Calc'!W23</f>
        <v>0.23801448299838876</v>
      </c>
      <c r="X31" s="198">
        <f>+'Pi''s Calc'!X23</f>
        <v>0.23801448299838876</v>
      </c>
      <c r="Y31" s="198">
        <f>+'Pi''s Calc'!Y23</f>
        <v>0.23801448299838876</v>
      </c>
      <c r="Z31" s="198">
        <f>+'Pi''s Calc'!Z23</f>
        <v>0.23801448299838876</v>
      </c>
      <c r="AA31" s="198">
        <f>+'Pi''s Calc'!AA23</f>
        <v>0.23801448299838876</v>
      </c>
      <c r="AB31" s="198">
        <f>+'Pi''s Calc'!AB23</f>
        <v>0.23801448299838876</v>
      </c>
      <c r="AC31" s="198">
        <f>+'Pi''s Calc'!AC23</f>
        <v>0.23801448299838876</v>
      </c>
      <c r="AD31" s="198">
        <f>+'Pi''s Calc'!AD23</f>
        <v>0.23801448299838876</v>
      </c>
      <c r="AE31" s="198">
        <f>+'Pi''s Calc'!AE23</f>
        <v>0.23801448299838876</v>
      </c>
      <c r="AF31" s="198">
        <f>+'Pi''s Calc'!AF23</f>
        <v>0.23801448299838876</v>
      </c>
      <c r="AG31" s="198">
        <f>+'Pi''s Calc'!AG23</f>
        <v>0.23801448299838876</v>
      </c>
      <c r="AH31" s="198">
        <f>+'Pi''s Calc'!AH23</f>
        <v>0.23801448299838876</v>
      </c>
      <c r="AI31" s="198">
        <f>+'Pi''s Calc'!AI23</f>
        <v>0.23801448299838876</v>
      </c>
      <c r="AJ31" s="198">
        <f>+'Pi''s Calc'!AJ23</f>
        <v>0.23801448299838876</v>
      </c>
      <c r="AK31" s="198">
        <f>+'Pi''s Calc'!AK23</f>
        <v>0.23801448299838876</v>
      </c>
      <c r="AL31" s="198">
        <f>+'Pi''s Calc'!AL23</f>
        <v>0.23801448299838876</v>
      </c>
      <c r="AM31" s="198">
        <f>+'Pi''s Calc'!AM23</f>
        <v>0.23801448299838876</v>
      </c>
      <c r="AN31" s="198">
        <f>+'Pi''s Calc'!AN23</f>
        <v>0.23801448299838876</v>
      </c>
      <c r="AO31" s="198">
        <f>+'Pi''s Calc'!AO23</f>
        <v>0.23801448299838876</v>
      </c>
      <c r="AP31" s="198">
        <f>+'Pi''s Calc'!AP23</f>
        <v>0.23801448299838876</v>
      </c>
      <c r="AQ31" s="198">
        <f>+'Pi''s Calc'!AQ23</f>
        <v>0.23801448299838876</v>
      </c>
      <c r="AR31" s="198">
        <f>+'Pi''s Calc'!AR23</f>
        <v>0.23801448299838876</v>
      </c>
      <c r="AS31" s="198"/>
      <c r="AT31" s="198"/>
      <c r="AU31" s="198"/>
    </row>
    <row r="32" spans="1:47" ht="16.3">
      <c r="A32" s="135" t="s">
        <v>320</v>
      </c>
      <c r="B32" s="202" t="s">
        <v>330</v>
      </c>
      <c r="C32" s="207" t="s">
        <v>339</v>
      </c>
      <c r="S32" s="135"/>
      <c r="T32" s="135"/>
      <c r="U32" s="135"/>
      <c r="V32" s="198">
        <f>+'Pi''s Calc'!V24</f>
        <v>0.21620016478000414</v>
      </c>
      <c r="W32" s="198">
        <f>+'Pi''s Calc'!W24</f>
        <v>0.21620016478000414</v>
      </c>
      <c r="X32" s="198">
        <f>+'Pi''s Calc'!X24</f>
        <v>0.21620016478000414</v>
      </c>
      <c r="Y32" s="198">
        <f>+'Pi''s Calc'!Y24</f>
        <v>0.21620016478000414</v>
      </c>
      <c r="Z32" s="198">
        <f>+'Pi''s Calc'!Z24</f>
        <v>0.21620016478000414</v>
      </c>
      <c r="AA32" s="198">
        <f>+'Pi''s Calc'!AA24</f>
        <v>0.21620016478000414</v>
      </c>
      <c r="AB32" s="198">
        <f>+'Pi''s Calc'!AB24</f>
        <v>0.21620016478000414</v>
      </c>
      <c r="AC32" s="198">
        <f>+'Pi''s Calc'!AC24</f>
        <v>0.21620016478000414</v>
      </c>
      <c r="AD32" s="198">
        <f>+'Pi''s Calc'!AD24</f>
        <v>0.21620016478000414</v>
      </c>
      <c r="AE32" s="198">
        <f>+'Pi''s Calc'!AE24</f>
        <v>0.21620016478000414</v>
      </c>
      <c r="AF32" s="198">
        <f>+'Pi''s Calc'!AF24</f>
        <v>0.21620016478000414</v>
      </c>
      <c r="AG32" s="198">
        <f>+'Pi''s Calc'!AG24</f>
        <v>0.21620016478000414</v>
      </c>
      <c r="AH32" s="198">
        <f>+'Pi''s Calc'!AH24</f>
        <v>0.21620016478000414</v>
      </c>
      <c r="AI32" s="198">
        <f>+'Pi''s Calc'!AI24</f>
        <v>0.21620016478000414</v>
      </c>
      <c r="AJ32" s="198">
        <f>+'Pi''s Calc'!AJ24</f>
        <v>0.21620016478000414</v>
      </c>
      <c r="AK32" s="198">
        <f>+'Pi''s Calc'!AK24</f>
        <v>0.21620016478000414</v>
      </c>
      <c r="AL32" s="198">
        <f>+'Pi''s Calc'!AL24</f>
        <v>0.21620016478000414</v>
      </c>
      <c r="AM32" s="198">
        <f>+'Pi''s Calc'!AM24</f>
        <v>0.21620016478000414</v>
      </c>
      <c r="AN32" s="198">
        <f>+'Pi''s Calc'!AN24</f>
        <v>0.21620016478000414</v>
      </c>
      <c r="AO32" s="198">
        <f>+'Pi''s Calc'!AO24</f>
        <v>0.21620016478000414</v>
      </c>
      <c r="AP32" s="198">
        <f>+'Pi''s Calc'!AP24</f>
        <v>0.21620016478000414</v>
      </c>
      <c r="AQ32" s="198">
        <f>+'Pi''s Calc'!AQ24</f>
        <v>0.21620016478000414</v>
      </c>
      <c r="AR32" s="198">
        <f>+'Pi''s Calc'!AR24</f>
        <v>0.21620016478000414</v>
      </c>
      <c r="AS32" s="198"/>
      <c r="AT32" s="198"/>
      <c r="AU32" s="198"/>
    </row>
    <row r="33" spans="1:47" ht="16.3">
      <c r="A33" s="135" t="s">
        <v>321</v>
      </c>
      <c r="B33" s="202" t="s">
        <v>331</v>
      </c>
      <c r="S33" s="135"/>
      <c r="T33" s="135"/>
      <c r="U33" s="135"/>
      <c r="V33" s="136">
        <f>+'Pi''s Calc'!V26</f>
        <v>21902.573675692904</v>
      </c>
      <c r="W33" s="136">
        <f>+'Pi''s Calc'!W26</f>
        <v>22920.54891867538</v>
      </c>
      <c r="X33" s="136">
        <f>+'Pi''s Calc'!X26</f>
        <v>23918.491178256154</v>
      </c>
      <c r="Y33" s="136">
        <f>+'Pi''s Calc'!Y26</f>
        <v>24871.243799036834</v>
      </c>
      <c r="Z33" s="136">
        <f>+'Pi''s Calc'!Z26</f>
        <v>25694.22526383321</v>
      </c>
      <c r="AA33" s="136">
        <f>+'Pi''s Calc'!AA26</f>
        <v>26454.362705142295</v>
      </c>
      <c r="AB33" s="136">
        <f>+'Pi''s Calc'!AB26</f>
        <v>26732.991540964023</v>
      </c>
      <c r="AC33" s="136">
        <f>+'Pi''s Calc'!AC26</f>
        <v>26926.459260939013</v>
      </c>
      <c r="AD33" s="136">
        <f>+'Pi''s Calc'!AD26</f>
        <v>27088.256091777948</v>
      </c>
      <c r="AE33" s="136">
        <f>+'Pi''s Calc'!AE26</f>
        <v>27219.347958647362</v>
      </c>
      <c r="AF33" s="136">
        <f>+'Pi''s Calc'!AF26</f>
        <v>27320.780447160971</v>
      </c>
      <c r="AG33" s="136">
        <f>+'Pi''s Calc'!AG26</f>
        <v>27393.67123719992</v>
      </c>
      <c r="AH33" s="136">
        <f>+'Pi''s Calc'!AH26</f>
        <v>27438.983599118994</v>
      </c>
      <c r="AI33" s="136">
        <f>+'Pi''s Calc'!AI26</f>
        <v>27457.644314179852</v>
      </c>
      <c r="AJ33" s="136">
        <f>+'Pi''s Calc'!AJ26</f>
        <v>27450.490047450701</v>
      </c>
      <c r="AK33" s="136">
        <f>+'Pi''s Calc'!AK26</f>
        <v>27418.327153800274</v>
      </c>
      <c r="AL33" s="136">
        <f>+'Pi''s Calc'!AL26</f>
        <v>27361.985857688065</v>
      </c>
      <c r="AM33" s="136">
        <f>+'Pi''s Calc'!AM26</f>
        <v>27282.264630017733</v>
      </c>
      <c r="AN33" s="136">
        <f>+'Pi''s Calc'!AN26</f>
        <v>27179.880104038217</v>
      </c>
      <c r="AO33" s="136">
        <f>+'Pi''s Calc'!AO26</f>
        <v>27055.573218461428</v>
      </c>
      <c r="AP33" s="136">
        <f>+'Pi''s Calc'!AP26</f>
        <v>26910.056263588911</v>
      </c>
      <c r="AQ33" s="136">
        <f>+'Pi''s Calc'!AQ26</f>
        <v>26743.965470969899</v>
      </c>
      <c r="AR33" s="136">
        <f>+'Pi''s Calc'!AR26</f>
        <v>26557.914024737656</v>
      </c>
      <c r="AU33" s="136"/>
    </row>
    <row r="34" spans="1:47" ht="16.3">
      <c r="A34" s="135" t="s">
        <v>322</v>
      </c>
      <c r="B34" s="202" t="s">
        <v>332</v>
      </c>
      <c r="S34" s="135"/>
      <c r="T34" s="135"/>
      <c r="U34" s="135"/>
      <c r="V34" s="136">
        <f>+'Pi''s Calc'!V33</f>
        <v>213630.56313598558</v>
      </c>
      <c r="W34" s="136">
        <f>+'Pi''s Calc'!W33</f>
        <v>212963.97813454826</v>
      </c>
      <c r="X34" s="136">
        <f>+'Pi''s Calc'!X33</f>
        <v>211828.0439437771</v>
      </c>
      <c r="Y34" s="136">
        <f>+'Pi''s Calc'!Y33</f>
        <v>210301.21471220371</v>
      </c>
      <c r="Z34" s="136">
        <f>+'Pi''s Calc'!Z33</f>
        <v>208678.17279692291</v>
      </c>
      <c r="AA34" s="136">
        <f>+'Pi''s Calc'!AA33</f>
        <v>206844.38702095111</v>
      </c>
      <c r="AB34" s="136">
        <f>+'Pi''s Calc'!AB33</f>
        <v>208411.72978632344</v>
      </c>
      <c r="AC34" s="136">
        <f>+'Pi''s Calc'!AC33</f>
        <v>205195.91181356908</v>
      </c>
      <c r="AD34" s="136">
        <f>+'Pi''s Calc'!AD33</f>
        <v>201960.5700540934</v>
      </c>
      <c r="AE34" s="136">
        <f>+'Pi''s Calc'!AE33</f>
        <v>198616.74578328838</v>
      </c>
      <c r="AF34" s="136">
        <f>+'Pi''s Calc'!AF33</f>
        <v>194955.66406355216</v>
      </c>
      <c r="AG34" s="136">
        <f>+'Pi''s Calc'!AG33</f>
        <v>191092.40219861199</v>
      </c>
      <c r="AH34" s="136">
        <f>+'Pi''s Calc'!AH33</f>
        <v>186964.54782435347</v>
      </c>
      <c r="AI34" s="136">
        <f>+'Pi''s Calc'!AI33</f>
        <v>182700.88554991735</v>
      </c>
      <c r="AJ34" s="136">
        <f>+'Pi''s Calc'!AJ33</f>
        <v>178393.31811624806</v>
      </c>
      <c r="AK34" s="136">
        <f>+'Pi''s Calc'!AK33</f>
        <v>173942.99161077884</v>
      </c>
      <c r="AL34" s="136">
        <f>+'Pi''s Calc'!AL33</f>
        <v>169479.7733857538</v>
      </c>
      <c r="AM34" s="136">
        <f>+'Pi''s Calc'!AM33</f>
        <v>164628.14603448918</v>
      </c>
      <c r="AN34" s="136">
        <f>+'Pi''s Calc'!AN33</f>
        <v>159609.89707037114</v>
      </c>
      <c r="AO34" s="136">
        <f>+'Pi''s Calc'!AO33</f>
        <v>154451.56650325126</v>
      </c>
      <c r="AP34" s="136">
        <f>+'Pi''s Calc'!AP33</f>
        <v>149117.40753980179</v>
      </c>
      <c r="AQ34" s="136">
        <f>+'Pi''s Calc'!AQ33</f>
        <v>143554.82787683769</v>
      </c>
      <c r="AR34" s="136">
        <f>+'Pi''s Calc'!AR33</f>
        <v>137772.4923334202</v>
      </c>
      <c r="AU34" s="136"/>
    </row>
    <row r="35" spans="1:47" ht="16.3">
      <c r="A35" s="135" t="s">
        <v>323</v>
      </c>
      <c r="B35" s="202" t="s">
        <v>333</v>
      </c>
      <c r="S35" s="135"/>
      <c r="T35" s="135"/>
      <c r="U35" s="135"/>
      <c r="AA35" s="136">
        <f>+'Pi''s Calc'!AA39</f>
        <v>240955.15074715408</v>
      </c>
      <c r="AG35" s="136">
        <f>+'Pi''s Calc'!AG39</f>
        <v>210241.84423878836</v>
      </c>
      <c r="AM35" s="136">
        <f>+'Pi''s Calc'!AM39</f>
        <v>170811.71281901473</v>
      </c>
      <c r="AR35" s="136">
        <f>+'Pi''s Calc'!AR39</f>
        <v>137772.4923334202</v>
      </c>
      <c r="AU35" s="136"/>
    </row>
    <row r="36" spans="1:47" ht="16.3">
      <c r="A36" s="135" t="s">
        <v>293</v>
      </c>
      <c r="B36" s="202" t="s">
        <v>334</v>
      </c>
      <c r="S36" s="135"/>
      <c r="T36" s="135"/>
      <c r="U36" s="135"/>
      <c r="AA36" s="136">
        <f>+'Pi''s Calc'!AA44</f>
        <v>34110.763726202975</v>
      </c>
      <c r="AG36" s="136">
        <f>+'Pi''s Calc'!AG44</f>
        <v>19149.442040176364</v>
      </c>
      <c r="AM36" s="136">
        <f>+'Pi''s Calc'!AM44</f>
        <v>6183.5667845255521</v>
      </c>
      <c r="AR36" s="136">
        <f>+'Pi''s Calc'!AR44</f>
        <v>0</v>
      </c>
      <c r="AU36" s="136"/>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pageSetUpPr fitToPage="1"/>
  </sheetPr>
  <dimension ref="A1:AS113"/>
  <sheetViews>
    <sheetView zoomScaleNormal="100" workbookViewId="0">
      <pane xSplit="4" ySplit="1" topLeftCell="J2" activePane="bottomRight" state="frozen"/>
      <selection pane="topRight" activeCell="D1" sqref="D1"/>
      <selection pane="bottomLeft" activeCell="A2" sqref="A2"/>
      <selection pane="bottomRight" activeCell="V9" sqref="V9"/>
    </sheetView>
  </sheetViews>
  <sheetFormatPr defaultColWidth="9.25" defaultRowHeight="12.1" customHeight="1"/>
  <cols>
    <col min="1" max="1" width="28.5" style="197" bestFit="1" customWidth="1"/>
    <col min="2" max="2" width="2.625" style="197" bestFit="1" customWidth="1"/>
    <col min="3" max="3" width="15.625" style="197" bestFit="1" customWidth="1"/>
    <col min="4" max="4" width="2.5" style="197" customWidth="1"/>
    <col min="5" max="10" width="4.375" style="197" bestFit="1" customWidth="1"/>
    <col min="11" max="11" width="4.75" style="197" bestFit="1" customWidth="1"/>
    <col min="12" max="12" width="4.375" style="197" bestFit="1" customWidth="1"/>
    <col min="13" max="13" width="5.75" style="197" bestFit="1" customWidth="1"/>
    <col min="14" max="18" width="5.25" style="197" bestFit="1" customWidth="1"/>
    <col min="19" max="19" width="6.125" style="197" bestFit="1" customWidth="1"/>
    <col min="20" max="20" width="5.625" style="197" bestFit="1" customWidth="1"/>
    <col min="21" max="22" width="6.125" style="197" bestFit="1" customWidth="1"/>
    <col min="23" max="27" width="5.625" style="197" bestFit="1" customWidth="1"/>
    <col min="28" max="44" width="5.25" style="197" bestFit="1" customWidth="1"/>
    <col min="45" max="45" width="4.375" style="197" bestFit="1" customWidth="1"/>
    <col min="46" max="65" width="9.25" style="197" customWidth="1"/>
    <col min="66" max="16384" width="9.25" style="197"/>
  </cols>
  <sheetData>
    <row r="1" spans="1:45" ht="12.1" customHeight="1">
      <c r="A1" s="28" t="s">
        <v>53</v>
      </c>
      <c r="B1" s="32"/>
      <c r="C1" s="32"/>
      <c r="D1" s="32"/>
      <c r="E1" s="38">
        <v>2006</v>
      </c>
      <c r="F1" s="38">
        <f>E1+1</f>
        <v>2007</v>
      </c>
      <c r="G1" s="38">
        <f t="shared" ref="G1:K1" si="0">F1+1</f>
        <v>2008</v>
      </c>
      <c r="H1" s="38">
        <f t="shared" si="0"/>
        <v>2009</v>
      </c>
      <c r="I1" s="38">
        <f t="shared" si="0"/>
        <v>2010</v>
      </c>
      <c r="J1" s="38">
        <f t="shared" si="0"/>
        <v>2011</v>
      </c>
      <c r="K1" s="38">
        <f t="shared" si="0"/>
        <v>2012</v>
      </c>
      <c r="L1" s="38">
        <f t="shared" ref="L1:AS1" si="1">+K1+1</f>
        <v>2013</v>
      </c>
      <c r="M1" s="38">
        <f t="shared" si="1"/>
        <v>2014</v>
      </c>
      <c r="N1" s="38">
        <f t="shared" si="1"/>
        <v>2015</v>
      </c>
      <c r="O1" s="38">
        <f t="shared" si="1"/>
        <v>2016</v>
      </c>
      <c r="P1" s="38">
        <f t="shared" si="1"/>
        <v>2017</v>
      </c>
      <c r="Q1" s="38">
        <f t="shared" si="1"/>
        <v>2018</v>
      </c>
      <c r="R1" s="38">
        <f t="shared" si="1"/>
        <v>2019</v>
      </c>
      <c r="S1" s="38">
        <f t="shared" si="1"/>
        <v>2020</v>
      </c>
      <c r="T1" s="38">
        <f t="shared" si="1"/>
        <v>2021</v>
      </c>
      <c r="U1" s="38">
        <f t="shared" si="1"/>
        <v>2022</v>
      </c>
      <c r="V1" s="38">
        <f t="shared" si="1"/>
        <v>2023</v>
      </c>
      <c r="W1" s="38">
        <f t="shared" si="1"/>
        <v>2024</v>
      </c>
      <c r="X1" s="38">
        <f t="shared" si="1"/>
        <v>2025</v>
      </c>
      <c r="Y1" s="38">
        <f t="shared" si="1"/>
        <v>2026</v>
      </c>
      <c r="Z1" s="38">
        <f t="shared" si="1"/>
        <v>2027</v>
      </c>
      <c r="AA1" s="38">
        <f t="shared" si="1"/>
        <v>2028</v>
      </c>
      <c r="AB1" s="38">
        <f t="shared" si="1"/>
        <v>2029</v>
      </c>
      <c r="AC1" s="38">
        <f t="shared" si="1"/>
        <v>2030</v>
      </c>
      <c r="AD1" s="38">
        <f t="shared" si="1"/>
        <v>2031</v>
      </c>
      <c r="AE1" s="38">
        <f t="shared" si="1"/>
        <v>2032</v>
      </c>
      <c r="AF1" s="38">
        <f t="shared" si="1"/>
        <v>2033</v>
      </c>
      <c r="AG1" s="38">
        <f t="shared" si="1"/>
        <v>2034</v>
      </c>
      <c r="AH1" s="38">
        <f t="shared" si="1"/>
        <v>2035</v>
      </c>
      <c r="AI1" s="38">
        <f t="shared" si="1"/>
        <v>2036</v>
      </c>
      <c r="AJ1" s="38">
        <f t="shared" si="1"/>
        <v>2037</v>
      </c>
      <c r="AK1" s="38">
        <f t="shared" si="1"/>
        <v>2038</v>
      </c>
      <c r="AL1" s="38">
        <f t="shared" si="1"/>
        <v>2039</v>
      </c>
      <c r="AM1" s="38">
        <f t="shared" si="1"/>
        <v>2040</v>
      </c>
      <c r="AN1" s="38">
        <f t="shared" si="1"/>
        <v>2041</v>
      </c>
      <c r="AO1" s="38">
        <f t="shared" si="1"/>
        <v>2042</v>
      </c>
      <c r="AP1" s="38">
        <f t="shared" si="1"/>
        <v>2043</v>
      </c>
      <c r="AQ1" s="38">
        <f t="shared" si="1"/>
        <v>2044</v>
      </c>
      <c r="AR1" s="38">
        <f t="shared" si="1"/>
        <v>2045</v>
      </c>
      <c r="AS1" s="38">
        <f t="shared" si="1"/>
        <v>2046</v>
      </c>
    </row>
    <row r="2" spans="1:45" ht="13.25" customHeight="1">
      <c r="A2" s="35"/>
      <c r="B2" s="31"/>
      <c r="C2" s="31"/>
      <c r="D2" s="31"/>
      <c r="E2" s="31"/>
      <c r="F2" s="31"/>
      <c r="G2" s="31"/>
      <c r="H2" s="31"/>
      <c r="I2" s="3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row>
    <row r="3" spans="1:45" ht="13.25" customHeight="1">
      <c r="A3" s="28" t="s">
        <v>280</v>
      </c>
      <c r="B3" s="31"/>
      <c r="C3" s="31"/>
      <c r="D3" s="31"/>
      <c r="E3" s="31"/>
      <c r="F3" s="31"/>
      <c r="G3" s="31"/>
      <c r="H3" s="31"/>
      <c r="I3" s="31"/>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row>
    <row r="4" spans="1:45" ht="13.25" customHeight="1">
      <c r="A4" s="28"/>
      <c r="B4" s="31"/>
      <c r="C4" s="31"/>
      <c r="D4" s="31"/>
      <c r="E4" s="31"/>
      <c r="F4" s="31"/>
      <c r="G4" s="31"/>
      <c r="H4" s="31"/>
      <c r="I4" s="3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row>
    <row r="5" spans="1:45" ht="12.1" customHeight="1">
      <c r="A5" s="35" t="s">
        <v>52</v>
      </c>
      <c r="B5" s="31"/>
      <c r="C5" s="31" t="s">
        <v>341</v>
      </c>
      <c r="D5" s="31"/>
      <c r="E5" s="31"/>
      <c r="F5" s="31"/>
      <c r="G5" s="31"/>
      <c r="H5" s="31"/>
      <c r="I5" s="31"/>
      <c r="J5" s="33"/>
      <c r="K5" s="33"/>
      <c r="L5" s="33"/>
      <c r="M5" s="33"/>
      <c r="N5" s="33"/>
      <c r="O5" s="33"/>
      <c r="P5" s="33"/>
      <c r="Q5" s="33"/>
      <c r="R5" s="33"/>
      <c r="S5" s="33"/>
      <c r="T5" s="33"/>
      <c r="U5" s="33"/>
      <c r="V5" s="10">
        <v>2.81E-2</v>
      </c>
      <c r="W5" s="33"/>
      <c r="X5" s="33"/>
      <c r="Y5" s="33"/>
      <c r="Z5" s="33"/>
      <c r="AA5" s="33"/>
      <c r="AB5" s="33"/>
      <c r="AC5" s="33"/>
      <c r="AD5" s="33"/>
      <c r="AE5" s="33"/>
      <c r="AF5" s="33"/>
      <c r="AG5" s="33"/>
      <c r="AH5" s="33"/>
      <c r="AI5" s="33"/>
      <c r="AJ5" s="33"/>
      <c r="AK5" s="33"/>
      <c r="AL5" s="33"/>
      <c r="AM5" s="33"/>
      <c r="AN5" s="33"/>
      <c r="AO5" s="33"/>
      <c r="AP5" s="33"/>
      <c r="AQ5" s="33"/>
      <c r="AR5" s="33"/>
      <c r="AS5" s="33"/>
    </row>
    <row r="6" spans="1:45" ht="12.1" customHeight="1">
      <c r="A6" s="35" t="s">
        <v>163</v>
      </c>
      <c r="B6" s="31"/>
      <c r="C6" s="31"/>
      <c r="D6" s="31"/>
      <c r="E6" s="31"/>
      <c r="F6" s="31"/>
      <c r="G6" s="31"/>
      <c r="H6" s="31"/>
      <c r="I6" s="31"/>
      <c r="J6" s="33"/>
      <c r="K6" s="33"/>
      <c r="L6" s="33"/>
      <c r="M6" s="33"/>
      <c r="N6" s="33"/>
      <c r="O6" s="33"/>
      <c r="P6" s="33"/>
      <c r="Q6" s="33"/>
      <c r="R6" s="33"/>
      <c r="S6" s="33"/>
      <c r="T6" s="33"/>
      <c r="U6" s="33"/>
      <c r="V6" s="10">
        <v>0.55000000000000004</v>
      </c>
      <c r="W6" s="33"/>
      <c r="X6" s="33"/>
      <c r="Y6" s="33"/>
      <c r="Z6" s="33"/>
      <c r="AA6" s="33"/>
      <c r="AB6" s="33"/>
      <c r="AC6" s="33"/>
      <c r="AD6" s="33"/>
      <c r="AE6" s="33"/>
      <c r="AF6" s="33"/>
      <c r="AG6" s="33"/>
      <c r="AH6" s="33"/>
      <c r="AI6" s="33"/>
      <c r="AJ6" s="33"/>
      <c r="AK6" s="33"/>
      <c r="AL6" s="33"/>
      <c r="AM6" s="33"/>
      <c r="AN6" s="33"/>
      <c r="AO6" s="33"/>
      <c r="AP6" s="33"/>
      <c r="AQ6" s="33"/>
      <c r="AR6" s="33"/>
      <c r="AS6" s="33"/>
    </row>
    <row r="7" spans="1:45" ht="12.1" customHeight="1">
      <c r="A7" s="35" t="s">
        <v>164</v>
      </c>
      <c r="B7" s="31"/>
      <c r="C7" s="31"/>
      <c r="D7" s="31"/>
      <c r="E7" s="31"/>
      <c r="F7" s="31"/>
      <c r="G7" s="31"/>
      <c r="H7" s="31"/>
      <c r="I7" s="31"/>
      <c r="J7" s="33"/>
      <c r="K7" s="33"/>
      <c r="L7" s="33"/>
      <c r="M7" s="33"/>
      <c r="N7" s="33"/>
      <c r="O7" s="33"/>
      <c r="P7" s="33"/>
      <c r="Q7" s="33"/>
      <c r="R7" s="33"/>
      <c r="S7" s="33"/>
      <c r="T7" s="33"/>
      <c r="U7" s="33"/>
      <c r="V7" s="85">
        <v>3.09E-2</v>
      </c>
      <c r="W7" s="33"/>
      <c r="X7" s="33"/>
      <c r="Y7" s="33"/>
      <c r="Z7" s="33"/>
      <c r="AA7" s="33"/>
      <c r="AB7" s="33"/>
      <c r="AC7" s="33"/>
      <c r="AD7" s="33"/>
      <c r="AE7" s="33"/>
      <c r="AF7" s="33"/>
      <c r="AG7" s="33"/>
      <c r="AH7" s="33"/>
      <c r="AI7" s="33"/>
      <c r="AJ7" s="33"/>
      <c r="AK7" s="33"/>
      <c r="AL7" s="33"/>
      <c r="AM7" s="33"/>
      <c r="AN7" s="33"/>
      <c r="AO7" s="33"/>
      <c r="AP7" s="33"/>
      <c r="AQ7" s="33"/>
      <c r="AR7" s="33"/>
      <c r="AS7" s="33"/>
    </row>
    <row r="8" spans="1:45" ht="12.1" customHeight="1">
      <c r="A8" s="35"/>
      <c r="B8" s="31"/>
      <c r="C8" s="31"/>
      <c r="D8" s="31"/>
      <c r="E8" s="31"/>
      <c r="F8" s="31"/>
      <c r="G8" s="31"/>
      <c r="H8" s="31"/>
      <c r="I8" s="31"/>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row>
    <row r="9" spans="1:45" ht="12.1" customHeight="1">
      <c r="A9" s="55" t="s">
        <v>8</v>
      </c>
      <c r="B9" s="31"/>
      <c r="C9" s="31"/>
      <c r="D9" s="31"/>
      <c r="E9" s="31"/>
      <c r="F9" s="31"/>
      <c r="G9" s="31"/>
      <c r="H9" s="31"/>
      <c r="I9" s="31"/>
      <c r="J9" s="33"/>
      <c r="K9" s="33"/>
      <c r="L9" s="33"/>
      <c r="M9" s="33"/>
      <c r="N9" s="33"/>
      <c r="O9" s="33"/>
      <c r="P9" s="33"/>
      <c r="Q9" s="33"/>
      <c r="R9" s="33"/>
      <c r="S9" s="33"/>
      <c r="T9" s="33"/>
      <c r="U9" s="33"/>
      <c r="V9" s="33">
        <v>7875.1721053171241</v>
      </c>
      <c r="W9" s="33">
        <v>7831.3096241695312</v>
      </c>
      <c r="X9" s="33">
        <v>7761.5951797968764</v>
      </c>
      <c r="Y9" s="33">
        <v>7845.6225755015967</v>
      </c>
      <c r="Z9" s="33">
        <v>8158.8947846704868</v>
      </c>
      <c r="AA9" s="33">
        <v>8178.0772477010569</v>
      </c>
      <c r="AB9" s="33">
        <v>8349.1399474762202</v>
      </c>
      <c r="AC9" s="33">
        <v>8515.8280827432045</v>
      </c>
      <c r="AD9" s="33">
        <v>8678.3308743980906</v>
      </c>
      <c r="AE9" s="33">
        <v>8836.8370082801939</v>
      </c>
      <c r="AF9" s="33">
        <v>8991.5191442425894</v>
      </c>
      <c r="AG9" s="33">
        <v>9142.5503466753453</v>
      </c>
      <c r="AH9" s="33">
        <v>9290.0885945935825</v>
      </c>
      <c r="AI9" s="33">
        <v>9434.2644422936664</v>
      </c>
      <c r="AJ9" s="33">
        <v>9575.2022780724474</v>
      </c>
      <c r="AK9" s="33">
        <v>9713.049206021542</v>
      </c>
      <c r="AL9" s="33">
        <v>9847.9387626800726</v>
      </c>
      <c r="AM9" s="33">
        <v>9979.9785577545499</v>
      </c>
      <c r="AN9" s="33">
        <v>10109.299689213954</v>
      </c>
      <c r="AO9" s="33">
        <v>10236.020595737325</v>
      </c>
      <c r="AP9" s="33">
        <v>10360.234692597251</v>
      </c>
      <c r="AQ9" s="33">
        <v>10482.031225352466</v>
      </c>
      <c r="AR9" s="33">
        <v>10602.915669689495</v>
      </c>
      <c r="AS9" s="33"/>
    </row>
    <row r="10" spans="1:45" ht="12.1" customHeight="1">
      <c r="A10" s="35"/>
      <c r="B10" s="31"/>
      <c r="C10" s="31"/>
      <c r="D10" s="31"/>
      <c r="E10" s="31"/>
      <c r="F10" s="31"/>
      <c r="G10" s="31"/>
      <c r="H10" s="31"/>
      <c r="I10" s="31"/>
      <c r="J10" s="33"/>
      <c r="K10" s="4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row>
    <row r="11" spans="1:45" ht="12.1" customHeight="1">
      <c r="A11" s="35" t="s">
        <v>3</v>
      </c>
      <c r="B11" s="31"/>
      <c r="C11" s="31"/>
      <c r="D11" s="31"/>
      <c r="E11" s="31"/>
      <c r="F11" s="31"/>
      <c r="G11" s="31"/>
      <c r="H11" s="31"/>
      <c r="I11" s="31"/>
      <c r="J11" s="33"/>
      <c r="K11" s="4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row>
    <row r="12" spans="1:45" ht="14.95">
      <c r="A12" s="53" t="s">
        <v>129</v>
      </c>
      <c r="B12" s="36"/>
      <c r="C12" s="31"/>
      <c r="D12" s="33"/>
      <c r="E12" s="33"/>
      <c r="F12" s="33"/>
      <c r="G12" s="33"/>
      <c r="H12" s="33"/>
      <c r="I12" s="33"/>
      <c r="J12" s="41"/>
      <c r="K12" s="43"/>
      <c r="L12" s="43"/>
      <c r="M12" s="43"/>
      <c r="N12" s="43"/>
      <c r="O12" s="43"/>
      <c r="P12" s="43"/>
      <c r="Q12" s="43"/>
      <c r="R12" s="43"/>
      <c r="S12" s="43"/>
      <c r="T12" s="43"/>
      <c r="U12" s="43"/>
      <c r="V12" s="33">
        <v>9717.1066478509329</v>
      </c>
      <c r="W12" s="33">
        <v>6021.3808423408173</v>
      </c>
      <c r="X12" s="33">
        <v>5739.6053180973013</v>
      </c>
      <c r="Y12" s="33">
        <v>5480.3736854159115</v>
      </c>
      <c r="Z12" s="33">
        <v>5367.963061177602</v>
      </c>
      <c r="AA12" s="33">
        <v>5080.8585740721246</v>
      </c>
      <c r="AB12" s="33">
        <v>8805.0565288856887</v>
      </c>
      <c r="AC12" s="33">
        <v>4089.6359678400827</v>
      </c>
      <c r="AD12" s="33">
        <v>3996.5289125485456</v>
      </c>
      <c r="AE12" s="33">
        <v>3906.3690478577155</v>
      </c>
      <c r="AF12" s="33">
        <v>3825.3799624248118</v>
      </c>
      <c r="AG12" s="33">
        <v>3745.2348031713555</v>
      </c>
      <c r="AH12" s="33">
        <v>3669.73663843953</v>
      </c>
      <c r="AI12" s="33">
        <v>3593.8616973222624</v>
      </c>
      <c r="AJ12" s="33">
        <v>3518.1581492624478</v>
      </c>
      <c r="AK12" s="33">
        <v>3446.2990212789741</v>
      </c>
      <c r="AL12" s="33">
        <v>3374.5362493115581</v>
      </c>
      <c r="AM12" s="33">
        <v>3312.2911995517234</v>
      </c>
      <c r="AN12" s="33">
        <v>3247.7160481507053</v>
      </c>
      <c r="AO12" s="33">
        <v>3185.6795762688066</v>
      </c>
      <c r="AP12" s="33">
        <v>3126.3458623364791</v>
      </c>
      <c r="AQ12" s="33">
        <v>3069.6346667535863</v>
      </c>
      <c r="AR12" s="33">
        <v>3014.5860777348457</v>
      </c>
      <c r="AS12" s="43"/>
    </row>
    <row r="13" spans="1:45" ht="14.95">
      <c r="A13" s="53" t="s">
        <v>130</v>
      </c>
      <c r="B13" s="36"/>
      <c r="C13" s="31"/>
      <c r="D13" s="33"/>
      <c r="E13" s="33"/>
      <c r="F13" s="33"/>
      <c r="G13" s="33"/>
      <c r="H13" s="33"/>
      <c r="I13" s="33"/>
      <c r="J13" s="41"/>
      <c r="K13" s="43"/>
      <c r="L13" s="43"/>
      <c r="M13" s="43"/>
      <c r="N13" s="43"/>
      <c r="O13" s="43"/>
      <c r="P13" s="43"/>
      <c r="Q13" s="43"/>
      <c r="R13" s="43"/>
      <c r="S13" s="43"/>
      <c r="T13" s="43"/>
      <c r="U13" s="43"/>
      <c r="V13" s="33">
        <v>1674.1275121722247</v>
      </c>
      <c r="W13" s="33">
        <v>1530.3436597940361</v>
      </c>
      <c r="X13" s="33">
        <v>1510.3846643409504</v>
      </c>
      <c r="Y13" s="33">
        <v>1611.8791109622121</v>
      </c>
      <c r="Z13" s="33">
        <v>1779.6367687953934</v>
      </c>
      <c r="AA13" s="33">
        <v>1943.3833400121639</v>
      </c>
      <c r="AB13" s="33">
        <v>1787.9636146902646</v>
      </c>
      <c r="AC13" s="33">
        <v>1854.4298401362701</v>
      </c>
      <c r="AD13" s="33">
        <v>2091.0947717821605</v>
      </c>
      <c r="AE13" s="33">
        <v>2231.8745281651591</v>
      </c>
      <c r="AF13" s="33">
        <v>2144.7791982944391</v>
      </c>
      <c r="AG13" s="33">
        <v>2134.9510066867397</v>
      </c>
      <c r="AH13" s="33">
        <v>2053.6904842497333</v>
      </c>
      <c r="AI13" s="33">
        <v>2105.5978995723453</v>
      </c>
      <c r="AJ13" s="33">
        <v>2258.310176600321</v>
      </c>
      <c r="AK13" s="33">
        <v>2316.3848651832491</v>
      </c>
      <c r="AL13" s="33">
        <v>2525.9961569728712</v>
      </c>
      <c r="AM13" s="33">
        <v>2337.8004102062755</v>
      </c>
      <c r="AN13" s="33">
        <v>2367.3088313144708</v>
      </c>
      <c r="AO13" s="33">
        <v>2410.9963268016727</v>
      </c>
      <c r="AP13" s="33">
        <v>2403.3229303164203</v>
      </c>
      <c r="AQ13" s="33">
        <v>2345.5250557937534</v>
      </c>
      <c r="AR13" s="33">
        <v>2284.8790288857736</v>
      </c>
      <c r="AS13" s="43"/>
    </row>
    <row r="14" spans="1:45" ht="14.95">
      <c r="A14" s="53" t="s">
        <v>131</v>
      </c>
      <c r="B14" s="36"/>
      <c r="C14" s="31"/>
      <c r="D14" s="33"/>
      <c r="E14" s="33"/>
      <c r="F14" s="33"/>
      <c r="G14" s="33"/>
      <c r="H14" s="33"/>
      <c r="I14" s="33"/>
      <c r="J14" s="41"/>
      <c r="K14" s="43"/>
      <c r="L14" s="43"/>
      <c r="M14" s="43"/>
      <c r="N14" s="43"/>
      <c r="O14" s="43"/>
      <c r="P14" s="43"/>
      <c r="Q14" s="43"/>
      <c r="R14" s="43"/>
      <c r="S14" s="43"/>
      <c r="T14" s="43"/>
      <c r="U14" s="43"/>
      <c r="V14" s="33">
        <v>469.84014000000002</v>
      </c>
      <c r="W14" s="33">
        <v>210.74136299999998</v>
      </c>
      <c r="X14" s="33">
        <v>217.582506</v>
      </c>
      <c r="Y14" s="33">
        <v>116.38284</v>
      </c>
      <c r="Z14" s="33">
        <v>90.799397999999997</v>
      </c>
      <c r="AA14" s="33">
        <v>82.446755999999993</v>
      </c>
      <c r="AB14" s="33">
        <v>157.61010502546188</v>
      </c>
      <c r="AC14" s="33">
        <v>157.61010502546188</v>
      </c>
      <c r="AD14" s="33">
        <v>157.61010502546188</v>
      </c>
      <c r="AE14" s="33">
        <v>157.61010502546188</v>
      </c>
      <c r="AF14" s="33">
        <v>157.61010502546188</v>
      </c>
      <c r="AG14" s="33">
        <v>157.61010502546188</v>
      </c>
      <c r="AH14" s="33">
        <v>157.61010502546188</v>
      </c>
      <c r="AI14" s="33">
        <v>157.61010502546188</v>
      </c>
      <c r="AJ14" s="33">
        <v>157.61010502546188</v>
      </c>
      <c r="AK14" s="33">
        <v>157.61010502546188</v>
      </c>
      <c r="AL14" s="33">
        <v>157.61010502546188</v>
      </c>
      <c r="AM14" s="33">
        <v>157.61010502546188</v>
      </c>
      <c r="AN14" s="33">
        <v>157.61010502546188</v>
      </c>
      <c r="AO14" s="33">
        <v>157.61010502546188</v>
      </c>
      <c r="AP14" s="33">
        <v>157.61010502546188</v>
      </c>
      <c r="AQ14" s="33">
        <v>157.61010502546188</v>
      </c>
      <c r="AR14" s="33">
        <v>157.61010502546188</v>
      </c>
      <c r="AS14" s="43"/>
    </row>
    <row r="15" spans="1:45" ht="14.95">
      <c r="A15" s="27" t="s">
        <v>128</v>
      </c>
      <c r="B15" s="33"/>
      <c r="C15" s="31"/>
      <c r="D15" s="22"/>
      <c r="E15" s="22"/>
      <c r="F15" s="22"/>
      <c r="G15" s="22"/>
      <c r="H15" s="22"/>
      <c r="I15" s="22"/>
      <c r="J15" s="44"/>
      <c r="K15" s="45"/>
      <c r="L15" s="45"/>
      <c r="M15" s="45"/>
      <c r="N15" s="45"/>
      <c r="O15" s="45"/>
      <c r="P15" s="45"/>
      <c r="Q15" s="45"/>
      <c r="R15" s="45"/>
      <c r="S15" s="45"/>
      <c r="T15" s="45"/>
      <c r="U15" s="45"/>
      <c r="V15" s="208">
        <f t="shared" ref="V15:AS15" si="2">SUM(V12:V14)</f>
        <v>11861.074300023158</v>
      </c>
      <c r="W15" s="208">
        <f t="shared" ref="W15:AR15" si="3">SUM(W12:W14)</f>
        <v>7762.4658651348536</v>
      </c>
      <c r="X15" s="208">
        <f t="shared" si="3"/>
        <v>7467.5724884382516</v>
      </c>
      <c r="Y15" s="208">
        <f t="shared" si="3"/>
        <v>7208.6356363781233</v>
      </c>
      <c r="Z15" s="208">
        <f t="shared" si="3"/>
        <v>7238.3992279729955</v>
      </c>
      <c r="AA15" s="208">
        <f t="shared" si="3"/>
        <v>7106.6886700842888</v>
      </c>
      <c r="AB15" s="208">
        <f t="shared" si="3"/>
        <v>10750.630248601416</v>
      </c>
      <c r="AC15" s="208">
        <f t="shared" si="3"/>
        <v>6101.6759130018145</v>
      </c>
      <c r="AD15" s="208">
        <f t="shared" si="3"/>
        <v>6245.233789356168</v>
      </c>
      <c r="AE15" s="208">
        <f t="shared" si="3"/>
        <v>6295.8536810483365</v>
      </c>
      <c r="AF15" s="208">
        <f t="shared" si="3"/>
        <v>6127.7692657447133</v>
      </c>
      <c r="AG15" s="208">
        <f t="shared" si="3"/>
        <v>6037.7959148835571</v>
      </c>
      <c r="AH15" s="208">
        <f t="shared" si="3"/>
        <v>5881.0372277147253</v>
      </c>
      <c r="AI15" s="208">
        <f t="shared" si="3"/>
        <v>5857.0697019200697</v>
      </c>
      <c r="AJ15" s="208">
        <f t="shared" si="3"/>
        <v>5934.0784308882303</v>
      </c>
      <c r="AK15" s="208">
        <f t="shared" si="3"/>
        <v>5920.2939914876852</v>
      </c>
      <c r="AL15" s="208">
        <f t="shared" si="3"/>
        <v>6058.1425113098912</v>
      </c>
      <c r="AM15" s="208">
        <f t="shared" si="3"/>
        <v>5807.7017147834613</v>
      </c>
      <c r="AN15" s="208">
        <f t="shared" si="3"/>
        <v>5772.6349844906381</v>
      </c>
      <c r="AO15" s="208">
        <f t="shared" si="3"/>
        <v>5754.2860080959417</v>
      </c>
      <c r="AP15" s="208">
        <f t="shared" si="3"/>
        <v>5687.2788976783613</v>
      </c>
      <c r="AQ15" s="208">
        <f t="shared" si="3"/>
        <v>5572.7698275728017</v>
      </c>
      <c r="AR15" s="208">
        <f t="shared" si="3"/>
        <v>5457.0752116460808</v>
      </c>
      <c r="AS15" s="208">
        <f t="shared" si="2"/>
        <v>0</v>
      </c>
    </row>
    <row r="16" spans="1:45" ht="14.95">
      <c r="A16" s="27"/>
      <c r="B16" s="33"/>
      <c r="C16" s="31"/>
      <c r="D16" s="22"/>
      <c r="E16" s="22"/>
      <c r="F16" s="22"/>
      <c r="G16" s="22"/>
      <c r="H16" s="22"/>
      <c r="I16" s="22"/>
      <c r="J16" s="44"/>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row>
    <row r="17" spans="1:45" ht="12.1" customHeight="1">
      <c r="A17" s="133" t="s">
        <v>18</v>
      </c>
      <c r="B17" s="31"/>
      <c r="C17" s="31"/>
      <c r="D17" s="31"/>
      <c r="E17" s="31"/>
      <c r="F17" s="31"/>
      <c r="G17" s="31"/>
      <c r="H17" s="31"/>
      <c r="I17" s="31"/>
      <c r="J17" s="33"/>
      <c r="K17" s="33"/>
      <c r="L17" s="134"/>
      <c r="M17" s="134"/>
      <c r="N17" s="134"/>
      <c r="O17" s="134"/>
      <c r="P17" s="134"/>
      <c r="Q17" s="134"/>
      <c r="R17" s="134"/>
      <c r="S17" s="134"/>
      <c r="T17" s="134"/>
      <c r="U17" s="134"/>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12.1" customHeight="1">
      <c r="A18" s="54" t="s">
        <v>39</v>
      </c>
      <c r="B18" s="7" t="s">
        <v>19</v>
      </c>
      <c r="C18" s="31"/>
      <c r="D18" s="31"/>
      <c r="E18" s="31"/>
      <c r="F18" s="31"/>
      <c r="G18" s="31"/>
      <c r="H18" s="31"/>
      <c r="I18" s="31"/>
      <c r="J18" s="33"/>
      <c r="K18" s="33"/>
      <c r="L18" s="64"/>
      <c r="M18" s="64"/>
      <c r="N18" s="64"/>
      <c r="O18" s="64"/>
      <c r="P18" s="64"/>
      <c r="Q18" s="64"/>
      <c r="R18" s="64"/>
      <c r="S18" s="64"/>
      <c r="T18" s="64"/>
      <c r="U18" s="64"/>
      <c r="V18" s="64">
        <v>25759.337089992485</v>
      </c>
      <c r="W18" s="64">
        <v>28092.348807592116</v>
      </c>
      <c r="X18" s="64">
        <v>30314.61557722748</v>
      </c>
      <c r="Y18" s="64">
        <v>32424.300296932513</v>
      </c>
      <c r="Z18" s="64">
        <v>34421.402966707217</v>
      </c>
      <c r="AA18" s="64">
        <v>36305.923586551588</v>
      </c>
      <c r="AB18" s="64">
        <v>37427.273847156503</v>
      </c>
      <c r="AC18" s="64">
        <v>38337.494027725144</v>
      </c>
      <c r="AD18" s="64">
        <v>39169.196245117419</v>
      </c>
      <c r="AE18" s="64">
        <v>39924.775205599086</v>
      </c>
      <c r="AF18" s="64">
        <v>40606.823108345961</v>
      </c>
      <c r="AG18" s="64">
        <v>41218.11088749169</v>
      </c>
      <c r="AH18" s="64">
        <v>41761.026667535145</v>
      </c>
      <c r="AI18" s="64">
        <v>42237.868109797506</v>
      </c>
      <c r="AJ18" s="64">
        <v>42650.709460970516</v>
      </c>
      <c r="AK18" s="64">
        <v>43001.549823182977</v>
      </c>
      <c r="AL18" s="64">
        <v>43292.447475672212</v>
      </c>
      <c r="AM18" s="64">
        <v>43525.381974766518</v>
      </c>
      <c r="AN18" s="64">
        <v>43702.129986185922</v>
      </c>
      <c r="AO18" s="64">
        <v>43824.528433366599</v>
      </c>
      <c r="AP18" s="64">
        <v>43894.343215062625</v>
      </c>
      <c r="AQ18" s="64">
        <v>43913.151666382655</v>
      </c>
      <c r="AR18" s="64">
        <v>43882.473983649164</v>
      </c>
      <c r="AS18" s="33"/>
    </row>
    <row r="19" spans="1:45" ht="12.1" customHeight="1">
      <c r="A19" s="54" t="s">
        <v>42</v>
      </c>
      <c r="B19" s="7" t="s">
        <v>20</v>
      </c>
      <c r="C19" s="31"/>
      <c r="D19" s="31"/>
      <c r="E19" s="31"/>
      <c r="F19" s="31"/>
      <c r="G19" s="31"/>
      <c r="H19" s="31"/>
      <c r="I19" s="31"/>
      <c r="J19" s="33"/>
      <c r="K19" s="33"/>
      <c r="L19" s="64"/>
      <c r="M19" s="64"/>
      <c r="N19" s="64"/>
      <c r="O19" s="64"/>
      <c r="P19" s="64"/>
      <c r="Q19" s="64"/>
      <c r="R19" s="64"/>
      <c r="S19" s="64"/>
      <c r="T19" s="64"/>
      <c r="U19" s="64"/>
      <c r="V19" s="64">
        <v>8303.1363689600603</v>
      </c>
      <c r="W19" s="64">
        <v>8303.1363689600603</v>
      </c>
      <c r="X19" s="64">
        <v>8303.1363689600603</v>
      </c>
      <c r="Y19" s="64">
        <v>8303.1363689600603</v>
      </c>
      <c r="Z19" s="64">
        <v>8303.1363689600603</v>
      </c>
      <c r="AA19" s="64">
        <v>8303.1363689600603</v>
      </c>
      <c r="AB19" s="64">
        <v>8181.0314223577061</v>
      </c>
      <c r="AC19" s="64">
        <v>8058.9264757553537</v>
      </c>
      <c r="AD19" s="64">
        <v>7936.8215291529996</v>
      </c>
      <c r="AE19" s="64">
        <v>7814.7165825506463</v>
      </c>
      <c r="AF19" s="64">
        <v>7692.611635948293</v>
      </c>
      <c r="AG19" s="64">
        <v>7570.5066893459398</v>
      </c>
      <c r="AH19" s="64">
        <v>7448.4017427435865</v>
      </c>
      <c r="AI19" s="64">
        <v>7326.2967961412332</v>
      </c>
      <c r="AJ19" s="64">
        <v>7204.1918495388791</v>
      </c>
      <c r="AK19" s="64">
        <v>7082.0869029365267</v>
      </c>
      <c r="AL19" s="64">
        <v>6959.9819563341725</v>
      </c>
      <c r="AM19" s="64">
        <v>6837.8770097318202</v>
      </c>
      <c r="AN19" s="64">
        <v>6715.772063129466</v>
      </c>
      <c r="AO19" s="64">
        <v>6593.6671165271127</v>
      </c>
      <c r="AP19" s="64">
        <v>6471.5621699247595</v>
      </c>
      <c r="AQ19" s="64">
        <v>6349.4572233224053</v>
      </c>
      <c r="AR19" s="64">
        <v>6227.3522767200529</v>
      </c>
      <c r="AS19" s="64"/>
    </row>
    <row r="20" spans="1:45" ht="12.1" customHeight="1">
      <c r="A20" s="54" t="s">
        <v>49</v>
      </c>
      <c r="B20" s="7" t="s">
        <v>50</v>
      </c>
      <c r="C20" s="31"/>
      <c r="D20" s="31"/>
      <c r="E20" s="31"/>
      <c r="F20" s="31"/>
      <c r="G20" s="31"/>
      <c r="H20" s="31"/>
      <c r="I20" s="31"/>
      <c r="J20" s="33"/>
      <c r="K20" s="33"/>
      <c r="L20" s="64"/>
      <c r="M20" s="64"/>
      <c r="N20" s="64"/>
      <c r="O20" s="64"/>
      <c r="P20" s="64"/>
      <c r="Q20" s="64"/>
      <c r="R20" s="64"/>
      <c r="S20" s="64"/>
      <c r="T20" s="64"/>
      <c r="U20" s="64"/>
      <c r="V20" s="64">
        <v>6573.7829058487532</v>
      </c>
      <c r="W20" s="64">
        <v>6573.7829058487532</v>
      </c>
      <c r="X20" s="64">
        <v>6573.7829058487532</v>
      </c>
      <c r="Y20" s="64">
        <v>6573.7829058487532</v>
      </c>
      <c r="Z20" s="64">
        <v>6573.7829058487532</v>
      </c>
      <c r="AA20" s="64">
        <v>6573.7829058487532</v>
      </c>
      <c r="AB20" s="64">
        <v>6477.1096278215664</v>
      </c>
      <c r="AC20" s="64">
        <v>6380.4363497943796</v>
      </c>
      <c r="AD20" s="64">
        <v>6283.7630717671927</v>
      </c>
      <c r="AE20" s="64">
        <v>6187.089793740005</v>
      </c>
      <c r="AF20" s="64">
        <v>6090.4165157128173</v>
      </c>
      <c r="AG20" s="64">
        <v>5993.7432376856304</v>
      </c>
      <c r="AH20" s="64">
        <v>5897.0699596584427</v>
      </c>
      <c r="AI20" s="64">
        <v>5800.3966816312559</v>
      </c>
      <c r="AJ20" s="64">
        <v>5703.7234036040691</v>
      </c>
      <c r="AK20" s="64">
        <v>5607.0501255768813</v>
      </c>
      <c r="AL20" s="64">
        <v>5510.3768475496945</v>
      </c>
      <c r="AM20" s="64">
        <v>5413.7035695225077</v>
      </c>
      <c r="AN20" s="64">
        <v>5317.030291495319</v>
      </c>
      <c r="AO20" s="64">
        <v>5220.3570134681322</v>
      </c>
      <c r="AP20" s="64">
        <v>5123.6837354409454</v>
      </c>
      <c r="AQ20" s="64">
        <v>5027.0104574137586</v>
      </c>
      <c r="AR20" s="64">
        <v>4930.3371793865708</v>
      </c>
      <c r="AS20" s="64"/>
    </row>
    <row r="21" spans="1:45" ht="12.1" customHeight="1">
      <c r="A21" s="54" t="s">
        <v>21</v>
      </c>
      <c r="B21" s="7" t="s">
        <v>51</v>
      </c>
      <c r="C21" s="31"/>
      <c r="D21" s="31"/>
      <c r="E21" s="31"/>
      <c r="F21" s="31"/>
      <c r="G21" s="31"/>
      <c r="H21" s="31"/>
      <c r="I21" s="31"/>
      <c r="J21" s="33"/>
      <c r="K21" s="33"/>
      <c r="L21" s="64"/>
      <c r="M21" s="64"/>
      <c r="N21" s="64"/>
      <c r="O21" s="64"/>
      <c r="P21" s="64"/>
      <c r="Q21" s="64"/>
      <c r="R21" s="64"/>
      <c r="S21" s="64"/>
      <c r="T21" s="64"/>
      <c r="U21" s="64"/>
      <c r="V21" s="64">
        <v>1664.3275861480668</v>
      </c>
      <c r="W21" s="64">
        <v>1664.3275861480668</v>
      </c>
      <c r="X21" s="64">
        <v>1664.3275861480668</v>
      </c>
      <c r="Y21" s="64">
        <v>1664.3275861480668</v>
      </c>
      <c r="Z21" s="64">
        <v>1664.3275861480668</v>
      </c>
      <c r="AA21" s="64">
        <v>1664.3275861480668</v>
      </c>
      <c r="AB21" s="64">
        <v>1639.8521804694187</v>
      </c>
      <c r="AC21" s="64">
        <v>1615.3767747907709</v>
      </c>
      <c r="AD21" s="64">
        <v>1590.9013691121229</v>
      </c>
      <c r="AE21" s="64">
        <v>1566.4259634334749</v>
      </c>
      <c r="AF21" s="64">
        <v>1541.9505577548271</v>
      </c>
      <c r="AG21" s="64">
        <v>1517.475152076179</v>
      </c>
      <c r="AH21" s="64">
        <v>1492.9997463975312</v>
      </c>
      <c r="AI21" s="64">
        <v>1468.5243407188832</v>
      </c>
      <c r="AJ21" s="64">
        <v>1444.0489350402352</v>
      </c>
      <c r="AK21" s="64">
        <v>1419.5735293615874</v>
      </c>
      <c r="AL21" s="64">
        <v>1395.0981236829391</v>
      </c>
      <c r="AM21" s="64">
        <v>1370.6227180042911</v>
      </c>
      <c r="AN21" s="64">
        <v>1346.1473123256433</v>
      </c>
      <c r="AO21" s="64">
        <v>1321.6719066469952</v>
      </c>
      <c r="AP21" s="64">
        <v>1297.1965009683472</v>
      </c>
      <c r="AQ21" s="64">
        <v>1272.7210952896994</v>
      </c>
      <c r="AR21" s="64">
        <v>1248.2456896110514</v>
      </c>
      <c r="AS21" s="64"/>
    </row>
    <row r="22" spans="1:45" ht="12.1" customHeight="1">
      <c r="A22" s="54" t="s">
        <v>166</v>
      </c>
      <c r="B22" s="7" t="s">
        <v>168</v>
      </c>
      <c r="C22" s="31"/>
      <c r="D22" s="31"/>
      <c r="E22" s="31"/>
      <c r="F22" s="31"/>
      <c r="G22" s="31"/>
      <c r="H22" s="31"/>
      <c r="I22" s="31"/>
      <c r="J22" s="33"/>
      <c r="K22" s="33"/>
      <c r="L22" s="64"/>
      <c r="M22" s="64"/>
      <c r="N22" s="64"/>
      <c r="O22" s="64"/>
      <c r="P22" s="64"/>
      <c r="Q22" s="64"/>
      <c r="R22" s="64"/>
      <c r="S22" s="64"/>
      <c r="T22" s="64"/>
      <c r="U22" s="64"/>
      <c r="V22" s="64">
        <v>13981.753977705061</v>
      </c>
      <c r="W22" s="64">
        <v>13981.753977705061</v>
      </c>
      <c r="X22" s="64">
        <v>13981.753977705061</v>
      </c>
      <c r="Y22" s="64">
        <v>13981.753977705061</v>
      </c>
      <c r="Z22" s="64">
        <v>13981.753977705061</v>
      </c>
      <c r="AA22" s="64">
        <v>13981.753977705061</v>
      </c>
      <c r="AB22" s="64">
        <v>13776.139948621165</v>
      </c>
      <c r="AC22" s="64">
        <v>13570.525919537267</v>
      </c>
      <c r="AD22" s="64">
        <v>13364.91189045337</v>
      </c>
      <c r="AE22" s="64">
        <v>13159.297861369472</v>
      </c>
      <c r="AF22" s="64">
        <v>12953.683832285575</v>
      </c>
      <c r="AG22" s="64">
        <v>12748.069803201677</v>
      </c>
      <c r="AH22" s="64">
        <v>12542.455774117781</v>
      </c>
      <c r="AI22" s="64">
        <v>12336.841745033884</v>
      </c>
      <c r="AJ22" s="64">
        <v>12131.227715949986</v>
      </c>
      <c r="AK22" s="64">
        <v>11925.613686866091</v>
      </c>
      <c r="AL22" s="64">
        <v>11719.999657782191</v>
      </c>
      <c r="AM22" s="64">
        <v>11514.385628698295</v>
      </c>
      <c r="AN22" s="64">
        <v>11308.771599614396</v>
      </c>
      <c r="AO22" s="64">
        <v>11103.1575705305</v>
      </c>
      <c r="AP22" s="64">
        <v>10897.543541446605</v>
      </c>
      <c r="AQ22" s="64">
        <v>10691.929512362705</v>
      </c>
      <c r="AR22" s="64">
        <v>10486.31548327881</v>
      </c>
      <c r="AS22" s="64"/>
    </row>
    <row r="23" spans="1:45" ht="12.1" customHeight="1">
      <c r="A23" s="54" t="s">
        <v>167</v>
      </c>
      <c r="B23" s="7" t="s">
        <v>169</v>
      </c>
      <c r="C23" s="31"/>
      <c r="D23" s="31"/>
      <c r="E23" s="31"/>
      <c r="F23" s="31"/>
      <c r="G23" s="31"/>
      <c r="H23" s="31"/>
      <c r="I23" s="31"/>
      <c r="J23" s="33"/>
      <c r="K23" s="33"/>
      <c r="L23" s="64"/>
      <c r="M23" s="64"/>
      <c r="N23" s="64"/>
      <c r="O23" s="64"/>
      <c r="P23" s="64"/>
      <c r="Q23" s="64"/>
      <c r="R23" s="64"/>
      <c r="S23" s="64"/>
      <c r="T23" s="64"/>
      <c r="U23" s="64"/>
      <c r="V23" s="64">
        <v>17698.631235761779</v>
      </c>
      <c r="W23" s="64">
        <v>18054.482481070547</v>
      </c>
      <c r="X23" s="64">
        <v>18524.288008194399</v>
      </c>
      <c r="Y23" s="64">
        <v>18995.117076771672</v>
      </c>
      <c r="Z23" s="64">
        <v>19075.751126584022</v>
      </c>
      <c r="AA23" s="64">
        <v>19075.751126584022</v>
      </c>
      <c r="AB23" s="64">
        <v>18795.225374722497</v>
      </c>
      <c r="AC23" s="64">
        <v>18514.699622860964</v>
      </c>
      <c r="AD23" s="64">
        <v>18234.173870999435</v>
      </c>
      <c r="AE23" s="64">
        <v>17953.64811913791</v>
      </c>
      <c r="AF23" s="64">
        <v>17673.122367276377</v>
      </c>
      <c r="AG23" s="64">
        <v>17392.596615414852</v>
      </c>
      <c r="AH23" s="64">
        <v>17112.070863553323</v>
      </c>
      <c r="AI23" s="64">
        <v>16831.54511169179</v>
      </c>
      <c r="AJ23" s="64">
        <v>16551.019359830265</v>
      </c>
      <c r="AK23" s="64">
        <v>16270.493607968736</v>
      </c>
      <c r="AL23" s="64">
        <v>15989.967856107207</v>
      </c>
      <c r="AM23" s="64">
        <v>15709.442104245678</v>
      </c>
      <c r="AN23" s="64">
        <v>15428.916352384151</v>
      </c>
      <c r="AO23" s="64">
        <v>15148.39060052262</v>
      </c>
      <c r="AP23" s="64">
        <v>14867.864848661091</v>
      </c>
      <c r="AQ23" s="64">
        <v>14587.339096799564</v>
      </c>
      <c r="AR23" s="64">
        <v>14306.813344938035</v>
      </c>
      <c r="AS23" s="64"/>
    </row>
    <row r="24" spans="1:45" ht="12.1" customHeight="1">
      <c r="A24" s="55" t="s">
        <v>58</v>
      </c>
      <c r="B24" s="51"/>
      <c r="C24" s="31"/>
      <c r="D24" s="31"/>
      <c r="E24" s="31"/>
      <c r="F24" s="31"/>
      <c r="G24" s="31"/>
      <c r="H24" s="31"/>
      <c r="I24" s="31"/>
      <c r="J24" s="33"/>
      <c r="K24" s="33"/>
      <c r="L24" s="64"/>
      <c r="M24" s="64"/>
      <c r="N24" s="64"/>
      <c r="O24" s="64"/>
      <c r="P24" s="64"/>
      <c r="Q24" s="64"/>
      <c r="R24" s="64"/>
      <c r="S24" s="64"/>
      <c r="T24" s="64"/>
      <c r="U24" s="64"/>
      <c r="V24" s="209">
        <f t="shared" ref="V24:AR24" si="4">SUM(V18:V23)</f>
        <v>73980.969164416209</v>
      </c>
      <c r="W24" s="209">
        <f t="shared" si="4"/>
        <v>76669.832127324597</v>
      </c>
      <c r="X24" s="209">
        <f t="shared" si="4"/>
        <v>79361.904424083827</v>
      </c>
      <c r="Y24" s="209">
        <f t="shared" si="4"/>
        <v>81942.41821236613</v>
      </c>
      <c r="Z24" s="209">
        <f t="shared" si="4"/>
        <v>84020.154931953177</v>
      </c>
      <c r="AA24" s="209">
        <f t="shared" si="4"/>
        <v>85904.675551797554</v>
      </c>
      <c r="AB24" s="209">
        <f t="shared" si="4"/>
        <v>86296.632401148847</v>
      </c>
      <c r="AC24" s="209">
        <f t="shared" si="4"/>
        <v>86477.459170463873</v>
      </c>
      <c r="AD24" s="209">
        <f t="shared" si="4"/>
        <v>86579.767976602539</v>
      </c>
      <c r="AE24" s="209">
        <f t="shared" si="4"/>
        <v>86605.953525830599</v>
      </c>
      <c r="AF24" s="209">
        <f t="shared" si="4"/>
        <v>86558.608017323844</v>
      </c>
      <c r="AG24" s="209">
        <f t="shared" si="4"/>
        <v>86440.502385215965</v>
      </c>
      <c r="AH24" s="209">
        <f t="shared" si="4"/>
        <v>86254.024754005819</v>
      </c>
      <c r="AI24" s="209">
        <f t="shared" si="4"/>
        <v>86001.472785014543</v>
      </c>
      <c r="AJ24" s="209">
        <f t="shared" si="4"/>
        <v>85684.920724933967</v>
      </c>
      <c r="AK24" s="209">
        <f t="shared" si="4"/>
        <v>85306.367675892805</v>
      </c>
      <c r="AL24" s="209">
        <f t="shared" si="4"/>
        <v>84867.871917128417</v>
      </c>
      <c r="AM24" s="209">
        <f t="shared" si="4"/>
        <v>84371.413004969116</v>
      </c>
      <c r="AN24" s="209">
        <f t="shared" si="4"/>
        <v>83818.767605134912</v>
      </c>
      <c r="AO24" s="209">
        <f t="shared" si="4"/>
        <v>83211.772641061951</v>
      </c>
      <c r="AP24" s="209">
        <f t="shared" si="4"/>
        <v>82552.194011504369</v>
      </c>
      <c r="AQ24" s="209">
        <f t="shared" si="4"/>
        <v>81841.609051570791</v>
      </c>
      <c r="AR24" s="209">
        <f t="shared" si="4"/>
        <v>81081.5379575837</v>
      </c>
      <c r="AS24" s="209">
        <f>SUM(AS18:AS21)</f>
        <v>0</v>
      </c>
    </row>
    <row r="25" spans="1:45" ht="14.95">
      <c r="A25" s="27"/>
      <c r="B25" s="33"/>
      <c r="C25" s="33"/>
      <c r="D25" s="22"/>
      <c r="E25" s="22"/>
      <c r="F25" s="22"/>
      <c r="G25" s="22"/>
      <c r="H25" s="22"/>
      <c r="I25" s="22"/>
      <c r="J25" s="44"/>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row>
    <row r="26" spans="1:45" ht="14.95">
      <c r="A26" s="27" t="s">
        <v>281</v>
      </c>
      <c r="B26" s="33"/>
      <c r="C26" s="33"/>
      <c r="D26" s="22"/>
      <c r="E26" s="22"/>
      <c r="F26" s="22"/>
      <c r="G26" s="22"/>
      <c r="H26" s="22"/>
      <c r="I26" s="22"/>
      <c r="J26" s="44"/>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row>
    <row r="27" spans="1:45" ht="14.95">
      <c r="A27" s="27"/>
      <c r="B27" s="33"/>
      <c r="C27" s="33"/>
      <c r="D27" s="22"/>
      <c r="E27" s="22"/>
      <c r="F27" s="22"/>
      <c r="G27" s="22"/>
      <c r="H27" s="22"/>
      <c r="I27" s="22"/>
      <c r="J27" s="44"/>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row>
    <row r="28" spans="1:45" ht="12.1" customHeight="1">
      <c r="A28" s="35" t="s">
        <v>282</v>
      </c>
      <c r="B28" s="31"/>
      <c r="C28" s="31" t="s">
        <v>283</v>
      </c>
      <c r="D28" s="31"/>
      <c r="E28" s="31"/>
      <c r="F28" s="31"/>
      <c r="G28" s="31"/>
      <c r="H28" s="31"/>
      <c r="I28" s="31"/>
      <c r="J28" s="33"/>
      <c r="K28" s="90">
        <v>242.7</v>
      </c>
      <c r="L28" s="90"/>
      <c r="M28" s="90">
        <v>256</v>
      </c>
      <c r="N28" s="90"/>
      <c r="O28" s="90"/>
      <c r="P28" s="90"/>
      <c r="Q28" s="90"/>
      <c r="R28" s="90"/>
      <c r="S28" s="90">
        <v>293.10000000000002</v>
      </c>
      <c r="T28" s="90"/>
      <c r="U28" s="90"/>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row>
    <row r="29" spans="1:45" ht="12.1" customHeight="1">
      <c r="A29" s="35"/>
      <c r="B29" s="31"/>
      <c r="C29" s="31" t="s">
        <v>284</v>
      </c>
      <c r="D29" s="31"/>
      <c r="E29" s="31"/>
      <c r="F29" s="31"/>
      <c r="G29" s="31"/>
      <c r="H29" s="31"/>
      <c r="I29" s="31"/>
      <c r="J29" s="33"/>
      <c r="K29" s="90"/>
      <c r="L29" s="90"/>
      <c r="M29" s="90"/>
      <c r="N29" s="90"/>
      <c r="O29" s="90"/>
      <c r="P29" s="90"/>
      <c r="Q29" s="90"/>
      <c r="R29" s="90"/>
      <c r="S29" s="90"/>
      <c r="T29" s="90"/>
      <c r="U29" s="90">
        <v>333.6</v>
      </c>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row>
    <row r="30" spans="1:45" ht="12.1" customHeight="1">
      <c r="A30" s="35"/>
      <c r="B30" s="31"/>
      <c r="C30" s="31" t="s">
        <v>300</v>
      </c>
      <c r="D30" s="31"/>
      <c r="E30" s="31"/>
      <c r="F30" s="31"/>
      <c r="G30" s="31"/>
      <c r="H30" s="31"/>
      <c r="I30" s="31"/>
      <c r="J30" s="33"/>
      <c r="K30" s="90"/>
      <c r="L30" s="90"/>
      <c r="M30" s="90"/>
      <c r="N30" s="90"/>
      <c r="O30" s="90"/>
      <c r="P30" s="90"/>
      <c r="Q30" s="90"/>
      <c r="R30" s="90"/>
      <c r="S30" s="90">
        <v>108.9</v>
      </c>
      <c r="T30" s="90">
        <v>111.6</v>
      </c>
      <c r="U30" s="90"/>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row>
    <row r="31" spans="1:45" ht="12.1" customHeight="1">
      <c r="A31" s="35"/>
      <c r="B31" s="31"/>
      <c r="C31" s="31" t="s">
        <v>301</v>
      </c>
      <c r="D31" s="31"/>
      <c r="E31" s="31"/>
      <c r="F31" s="31"/>
      <c r="G31" s="31"/>
      <c r="H31" s="31"/>
      <c r="I31" s="31"/>
      <c r="J31" s="33"/>
      <c r="K31" s="90"/>
      <c r="L31" s="90"/>
      <c r="M31" s="90"/>
      <c r="N31" s="90"/>
      <c r="O31" s="90"/>
      <c r="P31" s="90"/>
      <c r="Q31" s="90"/>
      <c r="R31" s="90"/>
      <c r="S31" s="90"/>
      <c r="T31" s="90"/>
      <c r="U31" s="90">
        <v>119.3</v>
      </c>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row>
    <row r="32" spans="1:45" ht="12.1" customHeight="1">
      <c r="A32" s="35"/>
      <c r="B32" s="31"/>
      <c r="C32" s="31" t="s">
        <v>302</v>
      </c>
      <c r="D32" s="31"/>
      <c r="E32" s="31"/>
      <c r="F32" s="31"/>
      <c r="G32" s="31"/>
      <c r="H32" s="31"/>
      <c r="I32" s="31"/>
      <c r="J32" s="33"/>
      <c r="K32" s="90"/>
      <c r="L32" s="90"/>
      <c r="M32" s="90"/>
      <c r="N32" s="90"/>
      <c r="O32" s="90"/>
      <c r="P32" s="90"/>
      <c r="Q32" s="90"/>
      <c r="R32" s="90"/>
      <c r="S32" s="47">
        <f>+U29/S28/U31*S30</f>
        <v>1.0389572060149577</v>
      </c>
      <c r="T32" s="90"/>
      <c r="U32" s="90"/>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row>
    <row r="33" spans="1:45" ht="12.1" customHeight="1">
      <c r="A33" s="35"/>
      <c r="B33" s="31"/>
      <c r="C33" s="31"/>
      <c r="D33" s="31"/>
      <c r="E33" s="31"/>
      <c r="F33" s="31"/>
      <c r="G33" s="31"/>
      <c r="H33" s="31"/>
      <c r="I33" s="31"/>
      <c r="J33" s="33"/>
      <c r="K33" s="90"/>
      <c r="L33" s="90"/>
      <c r="M33" s="90"/>
      <c r="N33" s="90"/>
      <c r="O33" s="90"/>
      <c r="P33" s="90"/>
      <c r="Q33" s="90"/>
      <c r="R33" s="90"/>
      <c r="S33" s="90"/>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row>
    <row r="34" spans="1:45" ht="12.1" customHeight="1">
      <c r="A34" s="35"/>
      <c r="B34" s="31"/>
      <c r="C34" s="31"/>
      <c r="D34" s="31"/>
      <c r="E34" s="31"/>
      <c r="F34" s="31"/>
      <c r="G34" s="31"/>
      <c r="H34" s="31"/>
      <c r="I34" s="31"/>
      <c r="J34" s="33"/>
      <c r="K34" s="90"/>
      <c r="L34" s="90"/>
      <c r="M34" s="90"/>
      <c r="N34" s="90"/>
      <c r="O34" s="90"/>
      <c r="P34" s="90"/>
      <c r="Q34" s="90"/>
      <c r="R34" s="90"/>
      <c r="S34" s="90"/>
      <c r="T34" s="33" t="s">
        <v>295</v>
      </c>
      <c r="U34" s="225" t="s">
        <v>296</v>
      </c>
      <c r="V34" s="225"/>
      <c r="W34" s="225"/>
      <c r="X34" s="225"/>
      <c r="Y34" s="225"/>
      <c r="Z34" s="225"/>
      <c r="AA34" s="225"/>
      <c r="AB34" s="33"/>
      <c r="AC34" s="33"/>
      <c r="AD34" s="33"/>
      <c r="AE34" s="33"/>
      <c r="AF34" s="33"/>
      <c r="AG34" s="33"/>
      <c r="AH34" s="33"/>
      <c r="AI34" s="33"/>
      <c r="AJ34" s="33"/>
      <c r="AK34" s="33"/>
      <c r="AL34" s="33"/>
      <c r="AM34" s="33"/>
      <c r="AN34" s="33"/>
      <c r="AO34" s="33"/>
      <c r="AP34" s="33"/>
      <c r="AQ34" s="33"/>
      <c r="AR34" s="33"/>
      <c r="AS34" s="33"/>
    </row>
    <row r="35" spans="1:45" ht="12.1" customHeight="1">
      <c r="A35" s="132" t="s">
        <v>297</v>
      </c>
      <c r="B35" s="24"/>
      <c r="C35" s="187" t="s">
        <v>315</v>
      </c>
      <c r="D35" s="24"/>
      <c r="E35" s="24"/>
      <c r="F35" s="24"/>
      <c r="G35" s="24"/>
      <c r="H35" s="24"/>
      <c r="I35" s="24"/>
      <c r="J35" s="65"/>
      <c r="K35" s="65"/>
      <c r="L35" s="66"/>
      <c r="M35" s="66"/>
      <c r="N35" s="66"/>
      <c r="O35" s="66"/>
      <c r="P35" s="66"/>
      <c r="Q35" s="66"/>
      <c r="R35" s="66"/>
      <c r="S35" s="26"/>
      <c r="T35" s="70">
        <f>+T30/S30-1</f>
        <v>2.4793388429751984E-2</v>
      </c>
      <c r="U35" s="70">
        <v>0.04</v>
      </c>
      <c r="V35" s="70">
        <v>2.1000000000000001E-2</v>
      </c>
      <c r="W35" s="70">
        <v>2.1000000000000001E-2</v>
      </c>
      <c r="X35" s="70">
        <v>2.1000000000000001E-2</v>
      </c>
      <c r="Y35" s="70">
        <v>2.1000000000000001E-2</v>
      </c>
      <c r="Z35" s="70">
        <v>2.1000000000000001E-2</v>
      </c>
      <c r="AA35" s="70">
        <v>2.1000000000000001E-2</v>
      </c>
      <c r="AB35" s="33"/>
      <c r="AC35" s="33"/>
      <c r="AD35" s="33"/>
      <c r="AE35" s="33"/>
      <c r="AF35" s="33"/>
      <c r="AG35" s="33"/>
      <c r="AH35" s="33"/>
      <c r="AI35" s="33"/>
      <c r="AJ35" s="33"/>
      <c r="AK35" s="33"/>
      <c r="AL35" s="33"/>
      <c r="AM35" s="33"/>
      <c r="AN35" s="33"/>
      <c r="AO35" s="33"/>
      <c r="AP35" s="33"/>
      <c r="AQ35" s="33"/>
      <c r="AR35" s="33"/>
      <c r="AS35" s="33"/>
    </row>
    <row r="36" spans="1:45" ht="12.1" customHeight="1">
      <c r="A36" s="35" t="s">
        <v>265</v>
      </c>
      <c r="B36" s="31"/>
      <c r="C36" s="31"/>
      <c r="D36" s="31"/>
      <c r="E36" s="31"/>
      <c r="F36" s="31"/>
      <c r="G36" s="31"/>
      <c r="H36" s="31"/>
      <c r="I36" s="31"/>
      <c r="J36" s="33"/>
      <c r="K36" s="33"/>
      <c r="L36" s="33"/>
      <c r="M36" s="33"/>
      <c r="N36" s="33"/>
      <c r="O36" s="33"/>
      <c r="P36" s="33"/>
      <c r="Q36" s="33"/>
      <c r="R36" s="33"/>
      <c r="S36" s="47">
        <v>1</v>
      </c>
      <c r="T36" s="47">
        <f>+S36+S36*T$35</f>
        <v>1.024793388429752</v>
      </c>
      <c r="U36" s="47">
        <f>+T36+T36*U35</f>
        <v>1.065785123966942</v>
      </c>
      <c r="V36" s="47">
        <f>+U36+U36*V35</f>
        <v>1.0881666115702477</v>
      </c>
      <c r="W36" s="47">
        <f t="shared" ref="W36:AA36" si="5">+V36+V36*W35</f>
        <v>1.1110181104132228</v>
      </c>
      <c r="X36" s="47">
        <f t="shared" si="5"/>
        <v>1.1343494907319005</v>
      </c>
      <c r="Y36" s="47">
        <f t="shared" si="5"/>
        <v>1.1581708300372704</v>
      </c>
      <c r="Z36" s="47">
        <f t="shared" si="5"/>
        <v>1.1824924174680531</v>
      </c>
      <c r="AA36" s="47">
        <f t="shared" si="5"/>
        <v>1.2073247582348823</v>
      </c>
      <c r="AB36" s="33"/>
      <c r="AC36" s="33"/>
      <c r="AD36" s="33"/>
      <c r="AE36" s="33"/>
      <c r="AF36" s="33"/>
      <c r="AG36" s="33"/>
      <c r="AH36" s="33"/>
      <c r="AI36" s="33"/>
      <c r="AJ36" s="33"/>
      <c r="AK36" s="33"/>
      <c r="AL36" s="33"/>
      <c r="AM36" s="33"/>
      <c r="AN36" s="33"/>
      <c r="AO36" s="33"/>
      <c r="AP36" s="33"/>
      <c r="AQ36" s="33"/>
      <c r="AR36" s="33"/>
      <c r="AS36" s="33"/>
    </row>
    <row r="37" spans="1:45" ht="12.1" customHeight="1">
      <c r="A37" s="35"/>
      <c r="B37" s="31"/>
      <c r="C37" s="31"/>
      <c r="D37" s="31"/>
      <c r="E37" s="31"/>
      <c r="F37" s="31"/>
      <c r="G37" s="31"/>
      <c r="H37" s="31"/>
      <c r="I37" s="31"/>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row>
    <row r="38" spans="1:45" ht="12.1" customHeight="1">
      <c r="A38" s="28" t="s">
        <v>279</v>
      </c>
      <c r="B38" s="31"/>
      <c r="C38" s="31"/>
      <c r="D38" s="31"/>
      <c r="E38" s="31"/>
      <c r="F38" s="31"/>
      <c r="G38" s="31"/>
      <c r="H38" s="31"/>
      <c r="I38" s="31"/>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row>
    <row r="39" spans="1:45" ht="12.1" customHeight="1">
      <c r="A39" s="35"/>
      <c r="B39" s="31"/>
      <c r="C39" s="31"/>
      <c r="D39" s="31"/>
      <c r="E39" s="31"/>
      <c r="F39" s="31"/>
      <c r="G39" s="31"/>
      <c r="H39" s="31"/>
      <c r="I39" s="31"/>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row>
    <row r="40" spans="1:45" ht="12.1" customHeight="1">
      <c r="A40" s="35" t="s">
        <v>139</v>
      </c>
      <c r="B40" s="31"/>
      <c r="C40" s="31"/>
      <c r="D40" s="31"/>
      <c r="E40" s="33">
        <v>2627.7539999999999</v>
      </c>
      <c r="F40" s="31"/>
      <c r="G40" s="31"/>
      <c r="H40" s="31"/>
      <c r="I40" s="31"/>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row>
    <row r="41" spans="1:45" ht="14.95">
      <c r="A41" s="35"/>
      <c r="B41" s="31"/>
      <c r="C41" s="31"/>
      <c r="D41" s="31"/>
      <c r="E41" s="31"/>
      <c r="F41" s="31"/>
      <c r="G41" s="31"/>
      <c r="H41" s="31"/>
      <c r="I41" s="31"/>
      <c r="J41" s="33"/>
      <c r="K41" s="43"/>
      <c r="L41" s="33"/>
      <c r="M41" s="33"/>
      <c r="N41" s="33"/>
      <c r="O41" s="33"/>
      <c r="P41" s="33"/>
      <c r="Q41" s="33"/>
      <c r="R41" s="33"/>
      <c r="S41" s="33"/>
      <c r="T41" s="33"/>
      <c r="U41" s="33"/>
      <c r="V41" s="33"/>
      <c r="W41" s="189"/>
      <c r="X41" s="189"/>
      <c r="Y41" s="33"/>
      <c r="Z41" s="33"/>
      <c r="AA41" s="33"/>
      <c r="AB41" s="33"/>
      <c r="AC41" s="33"/>
      <c r="AD41" s="33"/>
      <c r="AE41" s="33"/>
      <c r="AF41" s="33"/>
      <c r="AG41" s="33"/>
      <c r="AH41" s="33"/>
      <c r="AI41" s="33"/>
      <c r="AJ41" s="33"/>
      <c r="AK41" s="33"/>
      <c r="AL41" s="33"/>
      <c r="AM41" s="33"/>
      <c r="AN41" s="33"/>
      <c r="AO41" s="33"/>
      <c r="AP41" s="33"/>
      <c r="AQ41" s="33"/>
      <c r="AR41" s="33"/>
      <c r="AS41" s="33"/>
    </row>
    <row r="42" spans="1:45" ht="12.1" customHeight="1">
      <c r="A42" s="15" t="s">
        <v>54</v>
      </c>
      <c r="B42" s="31"/>
      <c r="C42" s="31"/>
      <c r="D42" s="6"/>
      <c r="E42" s="6"/>
      <c r="F42" s="6"/>
      <c r="G42" s="6"/>
      <c r="H42" s="6"/>
      <c r="I42" s="6"/>
      <c r="J42" s="33"/>
      <c r="K42" s="33"/>
      <c r="L42" s="33"/>
      <c r="M42" s="14"/>
      <c r="N42" s="33"/>
      <c r="O42" s="33"/>
      <c r="P42" s="33"/>
      <c r="Q42" s="33"/>
      <c r="R42" s="33"/>
      <c r="S42" s="14"/>
      <c r="T42" s="33"/>
      <c r="U42" s="33" t="s">
        <v>145</v>
      </c>
      <c r="V42" s="33" t="s">
        <v>315</v>
      </c>
      <c r="W42" s="33"/>
      <c r="X42" s="33"/>
      <c r="Y42" s="33"/>
      <c r="Z42" s="33"/>
      <c r="AA42" s="33"/>
      <c r="AB42" s="33"/>
      <c r="AC42" s="33"/>
      <c r="AD42" s="33"/>
      <c r="AE42" s="33"/>
      <c r="AF42" s="33"/>
      <c r="AG42" s="33"/>
      <c r="AH42" s="33"/>
      <c r="AI42" s="33"/>
      <c r="AJ42" s="33"/>
      <c r="AK42" s="33"/>
      <c r="AL42" s="33"/>
      <c r="AM42" s="33"/>
      <c r="AN42" s="33"/>
      <c r="AO42" s="33"/>
      <c r="AP42" s="33"/>
      <c r="AQ42" s="33"/>
      <c r="AR42" s="33"/>
      <c r="AS42" s="33"/>
    </row>
    <row r="43" spans="1:45" ht="12.1" customHeight="1">
      <c r="A43" s="15" t="s">
        <v>1</v>
      </c>
      <c r="B43" s="31"/>
      <c r="C43" s="31"/>
      <c r="D43" s="6"/>
      <c r="E43" s="6"/>
      <c r="F43" s="6"/>
      <c r="G43" s="6"/>
      <c r="H43" s="6"/>
      <c r="I43" s="6"/>
      <c r="J43" s="33"/>
      <c r="K43" s="33"/>
      <c r="L43" s="67"/>
      <c r="M43" s="14"/>
      <c r="N43" s="33"/>
      <c r="O43" s="33"/>
      <c r="P43" s="33"/>
      <c r="Q43" s="33"/>
      <c r="R43" s="33"/>
      <c r="S43" s="14">
        <f>+'DAV Pi'!U28</f>
        <v>202136.81760522426</v>
      </c>
      <c r="T43" s="33"/>
      <c r="U43" s="33">
        <f>+S43</f>
        <v>202136.81760522426</v>
      </c>
      <c r="V43" s="33">
        <f>+U43*S$32</f>
        <v>210011.50325187889</v>
      </c>
      <c r="W43" s="33"/>
      <c r="X43" s="33"/>
      <c r="Y43" s="33"/>
      <c r="Z43" s="33"/>
      <c r="AA43" s="33"/>
      <c r="AB43" s="33"/>
      <c r="AC43" s="33"/>
      <c r="AD43" s="33"/>
      <c r="AE43" s="33"/>
      <c r="AF43" s="33"/>
      <c r="AG43" s="33"/>
      <c r="AH43" s="33"/>
      <c r="AI43" s="33"/>
      <c r="AJ43" s="33"/>
      <c r="AK43" s="33"/>
      <c r="AL43" s="33"/>
      <c r="AM43" s="33"/>
      <c r="AN43" s="33"/>
      <c r="AO43" s="33"/>
      <c r="AP43" s="33"/>
      <c r="AQ43" s="33"/>
      <c r="AR43" s="33"/>
      <c r="AS43" s="33"/>
    </row>
    <row r="44" spans="1:45" ht="12.1" customHeight="1">
      <c r="A44" s="15" t="s">
        <v>2</v>
      </c>
      <c r="B44" s="31"/>
      <c r="C44" s="31" t="s">
        <v>257</v>
      </c>
      <c r="D44" s="6"/>
      <c r="E44" s="6"/>
      <c r="F44" s="6"/>
      <c r="G44" s="6"/>
      <c r="H44" s="6"/>
      <c r="I44" s="6"/>
      <c r="J44" s="33"/>
      <c r="K44" s="33"/>
      <c r="L44" s="33"/>
      <c r="M44" s="14">
        <v>38381.449271086458</v>
      </c>
      <c r="N44" s="68"/>
      <c r="O44" s="33"/>
      <c r="P44" s="33"/>
      <c r="Q44" s="33"/>
      <c r="R44" s="33"/>
      <c r="S44" s="14">
        <f>+M44/M$28*S$28</f>
        <v>43943.760864669697</v>
      </c>
      <c r="T44" s="33"/>
      <c r="U44" s="33">
        <f>+S44+SUM(S45:S50)</f>
        <v>37440.736440871333</v>
      </c>
      <c r="V44" s="33">
        <f>+U44*S$32</f>
        <v>38899.322923750093</v>
      </c>
      <c r="W44" s="33"/>
      <c r="X44" s="33"/>
      <c r="Y44" s="33"/>
      <c r="Z44" s="67"/>
      <c r="AA44" s="33"/>
      <c r="AB44" s="33"/>
      <c r="AC44" s="33"/>
      <c r="AD44" s="33"/>
      <c r="AE44" s="33"/>
      <c r="AF44" s="33"/>
      <c r="AG44" s="33"/>
      <c r="AH44" s="33"/>
      <c r="AI44" s="33"/>
      <c r="AJ44" s="33"/>
      <c r="AK44" s="33"/>
      <c r="AL44" s="33"/>
      <c r="AM44" s="33"/>
      <c r="AN44" s="33"/>
      <c r="AO44" s="33"/>
      <c r="AP44" s="33"/>
      <c r="AQ44" s="33"/>
      <c r="AR44" s="33"/>
      <c r="AS44" s="33"/>
    </row>
    <row r="45" spans="1:45" ht="12.1" customHeight="1">
      <c r="A45" s="15" t="s">
        <v>55</v>
      </c>
      <c r="B45" s="31"/>
      <c r="C45" s="31" t="s">
        <v>258</v>
      </c>
      <c r="D45" s="6"/>
      <c r="E45" s="6"/>
      <c r="F45" s="6"/>
      <c r="G45" s="6"/>
      <c r="H45" s="6"/>
      <c r="I45" s="6"/>
      <c r="J45" s="33"/>
      <c r="K45" s="33"/>
      <c r="L45" s="33"/>
      <c r="M45" s="14">
        <v>-6459</v>
      </c>
      <c r="N45" s="68"/>
      <c r="O45" s="33"/>
      <c r="P45" s="33"/>
      <c r="Q45" s="33"/>
      <c r="R45" s="33"/>
      <c r="S45" s="14">
        <f t="shared" ref="S45:S50" si="6">+M45/M$28*S$28</f>
        <v>-7395.0503906250005</v>
      </c>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row>
    <row r="46" spans="1:45" ht="12.1" customHeight="1">
      <c r="A46" s="15" t="s">
        <v>264</v>
      </c>
      <c r="B46" s="31"/>
      <c r="C46" s="31" t="s">
        <v>263</v>
      </c>
      <c r="D46" s="6"/>
      <c r="E46" s="6"/>
      <c r="F46" s="6"/>
      <c r="G46" s="6"/>
      <c r="H46" s="6"/>
      <c r="I46" s="6"/>
      <c r="J46" s="33"/>
      <c r="K46" s="33"/>
      <c r="L46" s="33"/>
      <c r="M46" s="14">
        <v>252.74299999999999</v>
      </c>
      <c r="N46" s="68"/>
      <c r="O46" s="33"/>
      <c r="P46" s="33"/>
      <c r="Q46" s="33"/>
      <c r="R46" s="33"/>
      <c r="S46" s="14">
        <f t="shared" si="6"/>
        <v>289.37098945312499</v>
      </c>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row>
    <row r="47" spans="1:45" ht="12.1" customHeight="1">
      <c r="A47" s="15" t="s">
        <v>269</v>
      </c>
      <c r="B47" s="31"/>
      <c r="C47" s="31" t="s">
        <v>263</v>
      </c>
      <c r="D47" s="6"/>
      <c r="E47" s="6"/>
      <c r="F47" s="6"/>
      <c r="G47" s="6"/>
      <c r="H47" s="6"/>
      <c r="I47" s="6"/>
      <c r="J47" s="33"/>
      <c r="K47" s="33"/>
      <c r="L47" s="33"/>
      <c r="M47" s="14">
        <v>1221.2739999999999</v>
      </c>
      <c r="N47" s="68"/>
      <c r="O47" s="33"/>
      <c r="P47" s="33"/>
      <c r="Q47" s="33"/>
      <c r="R47" s="33"/>
      <c r="S47" s="14"/>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row>
    <row r="48" spans="1:45" ht="12.1" customHeight="1">
      <c r="A48" s="15" t="s">
        <v>259</v>
      </c>
      <c r="B48" s="31"/>
      <c r="C48" s="31" t="s">
        <v>261</v>
      </c>
      <c r="D48" s="6"/>
      <c r="E48" s="6"/>
      <c r="F48" s="6"/>
      <c r="G48" s="6"/>
      <c r="H48" s="6"/>
      <c r="I48" s="6"/>
      <c r="J48" s="33"/>
      <c r="K48" s="33"/>
      <c r="L48" s="33"/>
      <c r="M48" s="14">
        <f>+S48/S28*M28</f>
        <v>33046.485139909993</v>
      </c>
      <c r="N48" s="68"/>
      <c r="O48" s="33"/>
      <c r="P48" s="33"/>
      <c r="Q48" s="33"/>
      <c r="R48" s="33"/>
      <c r="S48" s="14">
        <f>SUM('DAV Pi'!P26:U26)</f>
        <v>37835.643728545387</v>
      </c>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row>
    <row r="49" spans="1:45" ht="12.1" customHeight="1">
      <c r="A49" s="15" t="s">
        <v>260</v>
      </c>
      <c r="B49" s="31"/>
      <c r="C49" s="31" t="s">
        <v>257</v>
      </c>
      <c r="D49" s="6"/>
      <c r="E49" s="6"/>
      <c r="F49" s="6"/>
      <c r="G49" s="6"/>
      <c r="H49" s="6"/>
      <c r="I49" s="6"/>
      <c r="J49" s="33"/>
      <c r="K49" s="33"/>
      <c r="L49" s="33"/>
      <c r="M49" s="14">
        <v>-32335.113000000001</v>
      </c>
      <c r="N49" s="68"/>
      <c r="O49" s="33"/>
      <c r="P49" s="33"/>
      <c r="Q49" s="33"/>
      <c r="R49" s="33"/>
      <c r="S49" s="14">
        <f t="shared" si="6"/>
        <v>-37021.178204296877</v>
      </c>
      <c r="T49" s="47"/>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row>
    <row r="50" spans="1:45" ht="12.1" customHeight="1">
      <c r="A50" s="15" t="s">
        <v>262</v>
      </c>
      <c r="B50" s="31"/>
      <c r="C50" s="31" t="s">
        <v>275</v>
      </c>
      <c r="D50" s="6"/>
      <c r="E50" s="6"/>
      <c r="F50" s="6"/>
      <c r="G50" s="6"/>
      <c r="H50" s="6"/>
      <c r="I50" s="6"/>
      <c r="J50" s="33"/>
      <c r="K50" s="33"/>
      <c r="L50" s="33"/>
      <c r="M50" s="14">
        <v>-185</v>
      </c>
      <c r="N50" s="68"/>
      <c r="O50" s="33"/>
      <c r="P50" s="33"/>
      <c r="Q50" s="33"/>
      <c r="R50" s="33"/>
      <c r="S50" s="14">
        <f t="shared" si="6"/>
        <v>-211.81054687500003</v>
      </c>
      <c r="T50" s="47"/>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row>
    <row r="51" spans="1:45" ht="12.1" customHeight="1">
      <c r="A51" s="15" t="s">
        <v>0</v>
      </c>
      <c r="B51" s="31"/>
      <c r="C51" s="31"/>
      <c r="D51" s="6"/>
      <c r="E51" s="6"/>
      <c r="F51" s="6"/>
      <c r="G51" s="6"/>
      <c r="H51" s="6"/>
      <c r="I51" s="6"/>
      <c r="J51" s="33"/>
      <c r="K51" s="33"/>
      <c r="L51" s="33"/>
      <c r="M51" s="14"/>
      <c r="N51" s="33"/>
      <c r="O51" s="33"/>
      <c r="P51" s="33"/>
      <c r="Q51" s="33"/>
      <c r="R51" s="33"/>
      <c r="S51" s="14"/>
      <c r="T51" s="33"/>
      <c r="U51" s="49">
        <f>SUM(U43:U46)</f>
        <v>239577.55404609558</v>
      </c>
      <c r="V51" s="49">
        <f>SUM(V43:V46)</f>
        <v>248910.82617562899</v>
      </c>
      <c r="W51" s="33"/>
      <c r="X51" s="33"/>
      <c r="Y51" s="33"/>
      <c r="Z51" s="33"/>
      <c r="AA51" s="33"/>
      <c r="AB51" s="33"/>
      <c r="AC51" s="33"/>
      <c r="AD51" s="33"/>
      <c r="AE51" s="33"/>
      <c r="AF51" s="33"/>
      <c r="AG51" s="33"/>
      <c r="AH51" s="33"/>
      <c r="AI51" s="33"/>
      <c r="AJ51" s="33"/>
      <c r="AK51" s="33"/>
      <c r="AL51" s="33"/>
      <c r="AM51" s="33"/>
      <c r="AN51" s="33"/>
      <c r="AO51" s="33"/>
      <c r="AP51" s="33"/>
      <c r="AQ51" s="33"/>
      <c r="AR51" s="33"/>
      <c r="AS51" s="33"/>
    </row>
    <row r="52" spans="1:45" ht="12.1" customHeight="1">
      <c r="A52" s="15"/>
      <c r="B52" s="31"/>
      <c r="C52" s="31"/>
      <c r="D52" s="6"/>
      <c r="E52" s="6"/>
      <c r="F52" s="6"/>
      <c r="G52" s="6"/>
      <c r="H52" s="6"/>
      <c r="I52" s="6"/>
      <c r="J52" s="33"/>
      <c r="K52" s="33"/>
      <c r="L52" s="33"/>
      <c r="M52" s="14"/>
      <c r="N52" s="33"/>
      <c r="O52" s="33"/>
      <c r="P52" s="33"/>
      <c r="Q52" s="33"/>
      <c r="R52" s="33"/>
      <c r="S52" s="14"/>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row>
    <row r="53" spans="1:45" ht="12.1" customHeight="1">
      <c r="A53" s="35" t="s">
        <v>270</v>
      </c>
      <c r="B53" s="31"/>
      <c r="C53" s="31"/>
      <c r="D53" s="31"/>
      <c r="E53" s="31"/>
      <c r="F53" s="31"/>
      <c r="G53" s="31"/>
      <c r="H53" s="31"/>
      <c r="I53" s="31"/>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row>
    <row r="54" spans="1:45" ht="12.1" customHeight="1">
      <c r="A54" s="35" t="s">
        <v>129</v>
      </c>
      <c r="B54" s="31"/>
      <c r="C54" s="31" t="s">
        <v>286</v>
      </c>
      <c r="D54" s="31"/>
      <c r="E54" s="31"/>
      <c r="F54" s="31"/>
      <c r="G54" s="31"/>
      <c r="H54" s="31"/>
      <c r="I54" s="31"/>
      <c r="J54" s="33"/>
      <c r="K54" s="33"/>
      <c r="L54" s="33"/>
      <c r="M54" s="33">
        <v>10405.388319749683</v>
      </c>
      <c r="N54" s="33">
        <v>8750.78155184364</v>
      </c>
      <c r="O54" s="33">
        <v>7928.9938559655548</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row>
    <row r="55" spans="1:45" ht="12.1" customHeight="1">
      <c r="A55" s="35" t="s">
        <v>130</v>
      </c>
      <c r="B55" s="31"/>
      <c r="C55" s="31" t="s">
        <v>286</v>
      </c>
      <c r="D55" s="31"/>
      <c r="E55" s="31"/>
      <c r="F55" s="31"/>
      <c r="G55" s="31"/>
      <c r="H55" s="31"/>
      <c r="I55" s="31"/>
      <c r="J55" s="33"/>
      <c r="K55" s="33"/>
      <c r="L55" s="33"/>
      <c r="M55" s="33">
        <v>1028.354</v>
      </c>
      <c r="N55" s="33">
        <v>978.99</v>
      </c>
      <c r="O55" s="33">
        <v>890.81899999999996</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row>
    <row r="56" spans="1:45" ht="12.1" customHeight="1">
      <c r="A56" s="35" t="s">
        <v>131</v>
      </c>
      <c r="B56" s="31"/>
      <c r="C56" s="31" t="s">
        <v>286</v>
      </c>
      <c r="D56" s="31"/>
      <c r="E56" s="31"/>
      <c r="F56" s="31"/>
      <c r="G56" s="31"/>
      <c r="H56" s="31"/>
      <c r="I56" s="31"/>
      <c r="J56" s="33"/>
      <c r="K56" s="33"/>
      <c r="L56" s="33"/>
      <c r="M56" s="33">
        <v>147.00000000000026</v>
      </c>
      <c r="N56" s="33">
        <v>46.999999999999993</v>
      </c>
      <c r="O56" s="33">
        <v>31</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row>
    <row r="57" spans="1:45" ht="12.1" customHeight="1">
      <c r="A57" s="35" t="s">
        <v>128</v>
      </c>
      <c r="B57" s="31"/>
      <c r="C57" s="31" t="s">
        <v>286</v>
      </c>
      <c r="D57" s="31"/>
      <c r="E57" s="31"/>
      <c r="F57" s="31"/>
      <c r="G57" s="31"/>
      <c r="H57" s="31"/>
      <c r="I57" s="31"/>
      <c r="J57" s="33"/>
      <c r="K57" s="33"/>
      <c r="L57" s="33"/>
      <c r="M57" s="33">
        <f>SUM(M54:M56)</f>
        <v>11580.742319749683</v>
      </c>
      <c r="N57" s="33">
        <f t="shared" ref="N57:O57" si="7">SUM(N54:N56)</f>
        <v>9776.7715518436398</v>
      </c>
      <c r="O57" s="33">
        <f t="shared" si="7"/>
        <v>8850.8128559655543</v>
      </c>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row>
    <row r="58" spans="1:45" ht="12.1" customHeight="1">
      <c r="A58" s="35"/>
      <c r="B58" s="31"/>
      <c r="C58" s="31"/>
      <c r="D58" s="31"/>
      <c r="E58" s="31"/>
      <c r="F58" s="31"/>
      <c r="G58" s="31"/>
      <c r="H58" s="31"/>
      <c r="I58" s="3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ht="12.1" customHeight="1">
      <c r="A59" s="35" t="s">
        <v>276</v>
      </c>
      <c r="B59" s="31"/>
      <c r="C59" s="31"/>
      <c r="D59" s="31"/>
      <c r="E59" s="31"/>
      <c r="F59" s="31"/>
      <c r="G59" s="31"/>
      <c r="H59" s="31"/>
      <c r="I59" s="3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ht="12.1" customHeight="1">
      <c r="A60" s="35" t="s">
        <v>129</v>
      </c>
      <c r="B60" s="31"/>
      <c r="C60" s="31" t="s">
        <v>287</v>
      </c>
      <c r="D60" s="31"/>
      <c r="E60" s="31"/>
      <c r="F60" s="31"/>
      <c r="G60" s="31"/>
      <c r="H60" s="31"/>
      <c r="I60" s="31"/>
      <c r="J60" s="33"/>
      <c r="K60" s="33"/>
      <c r="L60" s="33"/>
      <c r="M60" s="33">
        <v>-4417.295546409543</v>
      </c>
      <c r="N60" s="33">
        <v>183.84584407000344</v>
      </c>
      <c r="O60" s="33">
        <v>2683.7226307814099</v>
      </c>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row>
    <row r="61" spans="1:45" ht="12.1" customHeight="1">
      <c r="A61" s="35" t="s">
        <v>130</v>
      </c>
      <c r="B61" s="31"/>
      <c r="C61" s="31" t="s">
        <v>287</v>
      </c>
      <c r="D61" s="31"/>
      <c r="E61" s="31"/>
      <c r="F61" s="31"/>
      <c r="G61" s="31"/>
      <c r="H61" s="31"/>
      <c r="I61" s="31"/>
      <c r="J61" s="33"/>
      <c r="K61" s="33"/>
      <c r="L61" s="33"/>
      <c r="M61" s="33">
        <v>-1.6072092447916788</v>
      </c>
      <c r="N61" s="33">
        <v>-26.555457291666649</v>
      </c>
      <c r="O61" s="33">
        <v>119.17451549479172</v>
      </c>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row>
    <row r="62" spans="1:45" ht="12.1" customHeight="1">
      <c r="A62" s="35" t="s">
        <v>131</v>
      </c>
      <c r="B62" s="31"/>
      <c r="C62" s="31" t="s">
        <v>287</v>
      </c>
      <c r="D62" s="31"/>
      <c r="E62" s="31"/>
      <c r="F62" s="31"/>
      <c r="G62" s="31"/>
      <c r="H62" s="31"/>
      <c r="I62" s="31"/>
      <c r="J62" s="33"/>
      <c r="K62" s="33"/>
      <c r="L62" s="33"/>
      <c r="M62" s="33">
        <v>-3.853346817708319</v>
      </c>
      <c r="N62" s="33">
        <v>0</v>
      </c>
      <c r="O62" s="33">
        <v>0</v>
      </c>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row>
    <row r="63" spans="1:45" ht="12.1" customHeight="1">
      <c r="A63" s="35" t="s">
        <v>128</v>
      </c>
      <c r="B63" s="31"/>
      <c r="C63" s="31" t="s">
        <v>287</v>
      </c>
      <c r="D63" s="31"/>
      <c r="E63" s="31"/>
      <c r="F63" s="31"/>
      <c r="G63" s="31"/>
      <c r="H63" s="31"/>
      <c r="I63" s="31"/>
      <c r="J63" s="33"/>
      <c r="K63" s="33"/>
      <c r="L63" s="33"/>
      <c r="M63" s="33">
        <f>SUM(M60:M62)</f>
        <v>-4422.7561024720435</v>
      </c>
      <c r="N63" s="33">
        <f t="shared" ref="N63:O63" si="8">SUM(N60:N62)</f>
        <v>157.2903867783368</v>
      </c>
      <c r="O63" s="33">
        <f t="shared" si="8"/>
        <v>2802.8971462762015</v>
      </c>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row>
    <row r="64" spans="1:45" ht="12.1" customHeight="1">
      <c r="A64" s="35"/>
      <c r="B64" s="31"/>
      <c r="C64" s="31"/>
      <c r="D64" s="31"/>
      <c r="E64" s="31"/>
      <c r="F64" s="31"/>
      <c r="G64" s="31"/>
      <c r="H64" s="31"/>
      <c r="I64" s="31"/>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row>
    <row r="65" spans="1:45" ht="12.1" customHeight="1">
      <c r="A65" s="35" t="s">
        <v>193</v>
      </c>
      <c r="B65" s="31"/>
      <c r="C65" s="31"/>
      <c r="D65" s="31"/>
      <c r="E65" s="31"/>
      <c r="F65" s="31"/>
      <c r="G65" s="31"/>
      <c r="H65" s="31"/>
      <c r="I65" s="31"/>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row>
    <row r="66" spans="1:45" ht="12.1" customHeight="1">
      <c r="A66" s="35" t="s">
        <v>129</v>
      </c>
      <c r="B66" s="31"/>
      <c r="C66" s="31" t="s">
        <v>257</v>
      </c>
      <c r="D66" s="31"/>
      <c r="E66" s="31"/>
      <c r="F66" s="31"/>
      <c r="G66" s="31"/>
      <c r="H66" s="31"/>
      <c r="I66" s="31"/>
      <c r="J66" s="33"/>
      <c r="K66" s="33"/>
      <c r="L66" s="33"/>
      <c r="M66" s="33"/>
      <c r="N66" s="33"/>
      <c r="O66" s="33"/>
      <c r="P66" s="33">
        <v>15151.923223385147</v>
      </c>
      <c r="Q66" s="33">
        <v>12704.52278355015</v>
      </c>
      <c r="R66" s="33">
        <v>12817.754097996376</v>
      </c>
      <c r="S66" s="33">
        <v>13005.416208427849</v>
      </c>
      <c r="T66" s="33">
        <v>13271.924538960326</v>
      </c>
      <c r="U66" s="33">
        <v>13512.460412379418</v>
      </c>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row>
    <row r="67" spans="1:45" ht="12.1" customHeight="1">
      <c r="A67" s="35" t="s">
        <v>130</v>
      </c>
      <c r="B67" s="31"/>
      <c r="C67" s="31" t="s">
        <v>257</v>
      </c>
      <c r="D67" s="31"/>
      <c r="E67" s="31"/>
      <c r="F67" s="31"/>
      <c r="G67" s="31"/>
      <c r="H67" s="31"/>
      <c r="I67" s="31"/>
      <c r="J67" s="33"/>
      <c r="K67" s="33"/>
      <c r="L67" s="33"/>
      <c r="M67" s="33"/>
      <c r="N67" s="33"/>
      <c r="O67" s="33"/>
      <c r="P67" s="33">
        <v>1139.5417736392174</v>
      </c>
      <c r="Q67" s="33">
        <v>1223.7900889081002</v>
      </c>
      <c r="R67" s="33">
        <v>1282.4168869698681</v>
      </c>
      <c r="S67" s="33">
        <v>1339.7577679449953</v>
      </c>
      <c r="T67" s="33">
        <v>1382.7739367305071</v>
      </c>
      <c r="U67" s="33">
        <v>1454.923112892121</v>
      </c>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row>
    <row r="68" spans="1:45" ht="12.1" customHeight="1">
      <c r="A68" s="35" t="s">
        <v>131</v>
      </c>
      <c r="B68" s="31"/>
      <c r="C68" s="31" t="s">
        <v>257</v>
      </c>
      <c r="D68" s="31"/>
      <c r="E68" s="31"/>
      <c r="F68" s="31"/>
      <c r="G68" s="31"/>
      <c r="H68" s="31"/>
      <c r="I68" s="31"/>
      <c r="J68" s="33"/>
      <c r="K68" s="33"/>
      <c r="L68" s="33"/>
      <c r="M68" s="33"/>
      <c r="N68" s="33"/>
      <c r="O68" s="33"/>
      <c r="P68" s="33">
        <v>578.56743176510656</v>
      </c>
      <c r="Q68" s="33">
        <v>126.78573621678636</v>
      </c>
      <c r="R68" s="33">
        <v>124.55790765920669</v>
      </c>
      <c r="S68" s="33">
        <v>123.74383730304753</v>
      </c>
      <c r="T68" s="33">
        <v>113.63678954164691</v>
      </c>
      <c r="U68" s="33">
        <v>112.89409609509308</v>
      </c>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row>
    <row r="69" spans="1:45" ht="12.1" customHeight="1">
      <c r="A69" s="35" t="s">
        <v>128</v>
      </c>
      <c r="B69" s="31"/>
      <c r="C69" s="31" t="s">
        <v>257</v>
      </c>
      <c r="D69" s="31"/>
      <c r="E69" s="31"/>
      <c r="F69" s="31"/>
      <c r="G69" s="31"/>
      <c r="H69" s="31"/>
      <c r="I69" s="31"/>
      <c r="J69" s="33"/>
      <c r="K69" s="33"/>
      <c r="L69" s="33"/>
      <c r="M69" s="33"/>
      <c r="N69" s="33"/>
      <c r="O69" s="33"/>
      <c r="P69" s="33">
        <f>SUM(P66:P68)</f>
        <v>16870.032428789473</v>
      </c>
      <c r="Q69" s="33">
        <f t="shared" ref="Q69:U69" si="9">SUM(Q66:Q68)</f>
        <v>14055.098608675036</v>
      </c>
      <c r="R69" s="33">
        <f t="shared" si="9"/>
        <v>14224.728892625451</v>
      </c>
      <c r="S69" s="33">
        <f t="shared" si="9"/>
        <v>14468.917813675891</v>
      </c>
      <c r="T69" s="33">
        <f t="shared" si="9"/>
        <v>14768.335265232479</v>
      </c>
      <c r="U69" s="33">
        <f t="shared" si="9"/>
        <v>15080.277621366633</v>
      </c>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row>
    <row r="70" spans="1:45" ht="12.1" customHeight="1">
      <c r="A70" s="35"/>
      <c r="B70" s="31"/>
      <c r="C70" s="31"/>
      <c r="D70" s="31"/>
      <c r="E70" s="31"/>
      <c r="F70" s="31"/>
      <c r="G70" s="31"/>
      <c r="H70" s="31"/>
      <c r="I70" s="31"/>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row>
    <row r="71" spans="1:45" ht="12.1" customHeight="1">
      <c r="A71" s="35" t="s">
        <v>192</v>
      </c>
      <c r="B71" s="31"/>
      <c r="C71" s="31"/>
      <c r="D71" s="31"/>
      <c r="E71" s="31"/>
      <c r="F71" s="31"/>
      <c r="G71" s="31"/>
      <c r="H71" s="31"/>
      <c r="I71" s="31"/>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row>
    <row r="72" spans="1:45" ht="12.1" customHeight="1">
      <c r="A72" s="35" t="s">
        <v>129</v>
      </c>
      <c r="B72" s="31"/>
      <c r="C72" s="31" t="s">
        <v>263</v>
      </c>
      <c r="D72" s="31"/>
      <c r="E72" s="31"/>
      <c r="F72" s="31"/>
      <c r="G72" s="31"/>
      <c r="H72" s="31"/>
      <c r="I72" s="31"/>
      <c r="J72" s="33"/>
      <c r="K72" s="33"/>
      <c r="L72" s="33"/>
      <c r="M72" s="33"/>
      <c r="N72" s="33"/>
      <c r="O72" s="33"/>
      <c r="P72" s="33">
        <v>-1807.7200761879128</v>
      </c>
      <c r="Q72" s="33">
        <v>2184.9667933615656</v>
      </c>
      <c r="R72" s="33">
        <v>2315.1847821352867</v>
      </c>
      <c r="S72" s="33">
        <v>3368.6062873210226</v>
      </c>
      <c r="T72" s="33">
        <v>4381.0956119438188</v>
      </c>
      <c r="U72" s="33">
        <v>3491.3586998381238</v>
      </c>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row>
    <row r="73" spans="1:45" ht="12.1" customHeight="1">
      <c r="A73" s="35" t="s">
        <v>130</v>
      </c>
      <c r="B73" s="31"/>
      <c r="C73" s="31" t="s">
        <v>263</v>
      </c>
      <c r="D73" s="31"/>
      <c r="E73" s="31"/>
      <c r="F73" s="31"/>
      <c r="G73" s="31"/>
      <c r="H73" s="31"/>
      <c r="I73" s="31"/>
      <c r="J73" s="33"/>
      <c r="K73" s="33"/>
      <c r="L73" s="33"/>
      <c r="M73" s="33"/>
      <c r="N73" s="33"/>
      <c r="O73" s="33"/>
      <c r="P73" s="33">
        <v>130.42666735059893</v>
      </c>
      <c r="Q73" s="33">
        <v>93.703404492419381</v>
      </c>
      <c r="R73" s="33">
        <v>278.13241157549692</v>
      </c>
      <c r="S73" s="33">
        <v>183.82067457723653</v>
      </c>
      <c r="T73" s="33">
        <v>109.99895209458776</v>
      </c>
      <c r="U73" s="33">
        <v>27.947283399378126</v>
      </c>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row>
    <row r="74" spans="1:45" ht="12.1" customHeight="1">
      <c r="A74" s="35" t="s">
        <v>131</v>
      </c>
      <c r="B74" s="31"/>
      <c r="C74" s="31" t="s">
        <v>263</v>
      </c>
      <c r="D74" s="31"/>
      <c r="E74" s="31"/>
      <c r="F74" s="31"/>
      <c r="G74" s="31"/>
      <c r="H74" s="31"/>
      <c r="I74" s="31"/>
      <c r="J74" s="33"/>
      <c r="K74" s="33"/>
      <c r="L74" s="33"/>
      <c r="M74" s="33"/>
      <c r="N74" s="33"/>
      <c r="O74" s="33"/>
      <c r="P74" s="33">
        <v>0</v>
      </c>
      <c r="Q74" s="33">
        <v>0</v>
      </c>
      <c r="R74" s="33">
        <v>0</v>
      </c>
      <c r="S74" s="33">
        <v>0</v>
      </c>
      <c r="T74" s="33">
        <v>0</v>
      </c>
      <c r="U74" s="33">
        <v>0</v>
      </c>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row>
    <row r="75" spans="1:45" ht="12.1" customHeight="1">
      <c r="A75" s="35" t="s">
        <v>128</v>
      </c>
      <c r="B75" s="31"/>
      <c r="C75" s="31" t="s">
        <v>263</v>
      </c>
      <c r="D75" s="31"/>
      <c r="E75" s="31"/>
      <c r="F75" s="31"/>
      <c r="G75" s="31"/>
      <c r="H75" s="31"/>
      <c r="I75" s="31"/>
      <c r="J75" s="33"/>
      <c r="K75" s="33"/>
      <c r="L75" s="33"/>
      <c r="M75" s="33"/>
      <c r="N75" s="33"/>
      <c r="O75" s="33"/>
      <c r="P75" s="33">
        <f>SUM(P72:P74)</f>
        <v>-1677.2934088373138</v>
      </c>
      <c r="Q75" s="33">
        <f t="shared" ref="Q75:U75" si="10">SUM(Q72:Q74)</f>
        <v>2278.670197853985</v>
      </c>
      <c r="R75" s="33">
        <f t="shared" si="10"/>
        <v>2593.3171937107836</v>
      </c>
      <c r="S75" s="33">
        <f t="shared" si="10"/>
        <v>3552.4269618982589</v>
      </c>
      <c r="T75" s="33">
        <f t="shared" si="10"/>
        <v>4491.0945640384061</v>
      </c>
      <c r="U75" s="33">
        <f t="shared" si="10"/>
        <v>3519.305983237502</v>
      </c>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row>
    <row r="76" spans="1:45" ht="12.1" customHeight="1">
      <c r="A76" s="35"/>
      <c r="B76" s="31"/>
      <c r="C76" s="31"/>
      <c r="D76" s="31"/>
      <c r="E76" s="31"/>
      <c r="F76" s="31"/>
      <c r="G76" s="31"/>
      <c r="H76" s="31"/>
      <c r="I76" s="31"/>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row>
    <row r="77" spans="1:45" ht="12.1" customHeight="1">
      <c r="A77" s="35" t="s">
        <v>288</v>
      </c>
      <c r="B77" s="31"/>
      <c r="C77" s="31"/>
      <c r="D77" s="31"/>
      <c r="E77" s="31"/>
      <c r="F77" s="31"/>
      <c r="G77" s="31"/>
      <c r="H77" s="31"/>
      <c r="I77" s="31"/>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row>
    <row r="78" spans="1:45" ht="12.1" customHeight="1">
      <c r="A78" s="35" t="s">
        <v>289</v>
      </c>
      <c r="B78" s="31"/>
      <c r="C78" s="31"/>
      <c r="D78" s="31"/>
      <c r="E78" s="31"/>
      <c r="F78" s="31"/>
      <c r="G78" s="31"/>
      <c r="H78" s="31"/>
      <c r="I78" s="31"/>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row>
    <row r="79" spans="1:45" ht="12.1" customHeight="1">
      <c r="A79" s="35" t="s">
        <v>195</v>
      </c>
      <c r="B79" s="31"/>
      <c r="C79" s="31"/>
      <c r="D79" s="31"/>
      <c r="E79" s="31"/>
      <c r="F79" s="31"/>
      <c r="G79" s="31"/>
      <c r="H79" s="31"/>
      <c r="I79" s="31"/>
      <c r="J79" s="33"/>
      <c r="K79" s="33"/>
      <c r="L79" s="33"/>
      <c r="M79" s="33">
        <v>10917.523716125379</v>
      </c>
      <c r="N79" s="33">
        <v>11709.4592430024</v>
      </c>
      <c r="O79" s="33">
        <v>11734.827055427017</v>
      </c>
      <c r="P79" s="33">
        <v>12250.460939743103</v>
      </c>
      <c r="Q79" s="33">
        <v>14797.29578691918</v>
      </c>
      <c r="R79" s="33">
        <v>14839.940155368362</v>
      </c>
      <c r="S79" s="33">
        <v>15726.61977482088</v>
      </c>
      <c r="T79" s="33">
        <v>19356.859095632848</v>
      </c>
      <c r="U79" s="33">
        <v>21909.235922645854</v>
      </c>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row>
    <row r="80" spans="1:45" ht="12.1" customHeight="1">
      <c r="A80" s="35"/>
      <c r="B80" s="31"/>
      <c r="C80" s="31"/>
      <c r="D80" s="31"/>
      <c r="E80" s="31"/>
      <c r="F80" s="31"/>
      <c r="G80" s="31"/>
      <c r="H80" s="31"/>
      <c r="I80" s="31"/>
      <c r="J80" s="67"/>
      <c r="K80" s="67"/>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row>
    <row r="81" spans="1:45" ht="12.1" customHeight="1">
      <c r="A81" s="28" t="s">
        <v>104</v>
      </c>
      <c r="B81" s="35"/>
      <c r="C81" s="31"/>
      <c r="D81" s="31"/>
      <c r="E81" s="31"/>
      <c r="F81" s="31"/>
      <c r="G81" s="31"/>
      <c r="H81" s="31"/>
      <c r="I81" s="31"/>
      <c r="J81" s="33"/>
      <c r="K81" s="33"/>
      <c r="L81" s="33"/>
      <c r="M81" s="33"/>
      <c r="N81" s="33"/>
      <c r="O81" s="33"/>
      <c r="P81" s="33"/>
      <c r="Q81" s="33"/>
      <c r="R81" s="33"/>
      <c r="S81" s="33"/>
      <c r="T81" s="67"/>
      <c r="U81" s="67"/>
      <c r="V81" s="67"/>
      <c r="W81" s="67"/>
      <c r="X81" s="67"/>
      <c r="Y81" s="67"/>
      <c r="Z81" s="67"/>
      <c r="AA81" s="67"/>
      <c r="AB81" s="33"/>
      <c r="AC81" s="33"/>
      <c r="AD81" s="33"/>
      <c r="AE81" s="33"/>
      <c r="AF81" s="33"/>
      <c r="AG81" s="33"/>
      <c r="AH81" s="33"/>
      <c r="AI81" s="33"/>
      <c r="AJ81" s="33"/>
      <c r="AK81" s="33"/>
      <c r="AL81" s="33"/>
      <c r="AM81" s="33"/>
      <c r="AN81" s="33"/>
      <c r="AO81" s="33"/>
      <c r="AP81" s="33"/>
      <c r="AQ81" s="33"/>
      <c r="AR81" s="33"/>
      <c r="AS81" s="33"/>
    </row>
    <row r="82" spans="1:45" ht="12.1" customHeight="1">
      <c r="A82" s="28"/>
      <c r="B82" s="35"/>
      <c r="C82" s="31"/>
      <c r="D82" s="31"/>
      <c r="E82" s="31"/>
      <c r="F82" s="31"/>
      <c r="G82" s="31"/>
      <c r="H82" s="31"/>
      <c r="I82" s="31"/>
      <c r="J82" s="33"/>
      <c r="K82" s="33"/>
      <c r="L82" s="33"/>
      <c r="M82" s="33"/>
      <c r="N82" s="33"/>
      <c r="O82" s="33"/>
      <c r="P82" s="33"/>
      <c r="Q82" s="33"/>
      <c r="R82" s="33"/>
      <c r="S82" s="33"/>
      <c r="T82" s="67"/>
      <c r="U82" s="67"/>
      <c r="V82" s="67"/>
      <c r="W82" s="67"/>
      <c r="X82" s="67"/>
      <c r="Y82" s="67"/>
      <c r="Z82" s="67"/>
      <c r="AA82" s="67"/>
      <c r="AB82" s="33"/>
      <c r="AC82" s="33"/>
      <c r="AD82" s="33"/>
      <c r="AE82" s="33"/>
      <c r="AF82" s="33"/>
      <c r="AG82" s="33"/>
      <c r="AH82" s="33"/>
      <c r="AI82" s="33"/>
      <c r="AJ82" s="33"/>
      <c r="AK82" s="33"/>
      <c r="AL82" s="33"/>
      <c r="AM82" s="33"/>
      <c r="AN82" s="33"/>
      <c r="AO82" s="33"/>
      <c r="AP82" s="33"/>
      <c r="AQ82" s="33"/>
      <c r="AR82" s="33"/>
      <c r="AS82" s="33"/>
    </row>
    <row r="83" spans="1:45" ht="12.1" customHeight="1">
      <c r="A83" s="35" t="s">
        <v>116</v>
      </c>
      <c r="B83" s="35"/>
      <c r="C83" s="31"/>
      <c r="D83" s="31"/>
      <c r="E83" s="31"/>
      <c r="F83" s="31"/>
      <c r="G83" s="31"/>
      <c r="H83" s="31"/>
      <c r="I83" s="31"/>
      <c r="J83" s="33"/>
      <c r="K83" s="33"/>
      <c r="L83" s="33"/>
      <c r="M83" s="33"/>
      <c r="N83" s="33"/>
      <c r="O83" s="33"/>
      <c r="P83" s="33"/>
      <c r="Q83" s="33"/>
      <c r="R83" s="33"/>
      <c r="S83" s="33"/>
      <c r="T83" s="67"/>
      <c r="U83" s="67"/>
      <c r="V83" s="67"/>
      <c r="W83" s="67"/>
      <c r="X83" s="67"/>
      <c r="Y83" s="67"/>
      <c r="Z83" s="67"/>
      <c r="AA83" s="67"/>
      <c r="AB83" s="33"/>
      <c r="AC83" s="33"/>
      <c r="AD83" s="33"/>
      <c r="AE83" s="33"/>
      <c r="AF83" s="33"/>
      <c r="AG83" s="33"/>
      <c r="AH83" s="33"/>
      <c r="AI83" s="33"/>
      <c r="AJ83" s="33"/>
      <c r="AK83" s="33"/>
      <c r="AL83" s="33"/>
      <c r="AM83" s="33"/>
      <c r="AN83" s="33"/>
      <c r="AO83" s="33"/>
      <c r="AP83" s="33"/>
      <c r="AQ83" s="33"/>
      <c r="AR83" s="33"/>
      <c r="AS83" s="33"/>
    </row>
    <row r="84" spans="1:45" ht="12.1" customHeight="1">
      <c r="A84" s="35" t="s">
        <v>105</v>
      </c>
      <c r="B84" s="35"/>
      <c r="C84" s="31"/>
      <c r="D84" s="31"/>
      <c r="E84" s="31"/>
      <c r="F84" s="31"/>
      <c r="G84" s="31"/>
      <c r="H84" s="31"/>
      <c r="I84" s="31"/>
      <c r="J84" s="33"/>
      <c r="K84" s="33"/>
      <c r="L84" s="33"/>
      <c r="M84" s="33"/>
      <c r="N84" s="33"/>
      <c r="O84" s="33"/>
      <c r="P84" s="33"/>
      <c r="Q84" s="33"/>
      <c r="R84" s="33"/>
      <c r="S84" s="33"/>
      <c r="T84" s="67">
        <v>5579.9830000000002</v>
      </c>
      <c r="U84" s="67"/>
      <c r="V84" s="67"/>
      <c r="W84" s="67"/>
      <c r="X84" s="67"/>
      <c r="Y84" s="67"/>
      <c r="Z84" s="67"/>
      <c r="AA84" s="67"/>
      <c r="AB84" s="33"/>
      <c r="AC84" s="33"/>
      <c r="AD84" s="33"/>
      <c r="AE84" s="33"/>
      <c r="AF84" s="33"/>
      <c r="AG84" s="33"/>
      <c r="AH84" s="33"/>
      <c r="AI84" s="33"/>
      <c r="AJ84" s="33"/>
      <c r="AK84" s="33"/>
      <c r="AL84" s="33"/>
      <c r="AM84" s="33"/>
      <c r="AN84" s="33"/>
      <c r="AO84" s="33"/>
      <c r="AP84" s="33"/>
      <c r="AQ84" s="33"/>
      <c r="AR84" s="33"/>
      <c r="AS84" s="33"/>
    </row>
    <row r="85" spans="1:45" ht="12.1" customHeight="1">
      <c r="A85" s="35" t="s">
        <v>115</v>
      </c>
      <c r="B85" s="35"/>
      <c r="C85" s="31"/>
      <c r="D85" s="31"/>
      <c r="E85" s="31"/>
      <c r="F85" s="31"/>
      <c r="G85" s="31"/>
      <c r="H85" s="31"/>
      <c r="I85" s="31"/>
      <c r="J85" s="33"/>
      <c r="K85" s="33"/>
      <c r="L85" s="33"/>
      <c r="M85" s="33"/>
      <c r="N85" s="33"/>
      <c r="O85" s="33"/>
      <c r="P85" s="33"/>
      <c r="Q85" s="33"/>
      <c r="R85" s="33"/>
      <c r="S85" s="33"/>
      <c r="T85" s="67">
        <v>1360.9380000000001</v>
      </c>
      <c r="U85" s="67"/>
      <c r="V85" s="67"/>
      <c r="W85" s="67"/>
      <c r="X85" s="67"/>
      <c r="Y85" s="67"/>
      <c r="Z85" s="67"/>
      <c r="AA85" s="67"/>
      <c r="AB85" s="33"/>
      <c r="AC85" s="33"/>
      <c r="AD85" s="33"/>
      <c r="AE85" s="33"/>
      <c r="AF85" s="33"/>
      <c r="AG85" s="33"/>
      <c r="AH85" s="33"/>
      <c r="AI85" s="33"/>
      <c r="AJ85" s="33"/>
      <c r="AK85" s="33"/>
      <c r="AL85" s="33"/>
      <c r="AM85" s="33"/>
      <c r="AN85" s="33"/>
      <c r="AO85" s="33"/>
      <c r="AP85" s="33"/>
      <c r="AQ85" s="33"/>
      <c r="AR85" s="33"/>
      <c r="AS85" s="33"/>
    </row>
    <row r="86" spans="1:45" ht="12.1" customHeight="1">
      <c r="A86" s="35" t="s">
        <v>172</v>
      </c>
      <c r="B86" s="35"/>
      <c r="C86" s="31"/>
      <c r="D86" s="31"/>
      <c r="E86" s="31"/>
      <c r="F86" s="31"/>
      <c r="G86" s="31"/>
      <c r="H86" s="31"/>
      <c r="I86" s="31"/>
      <c r="J86" s="33"/>
      <c r="K86" s="33"/>
      <c r="L86" s="33"/>
      <c r="M86" s="33"/>
      <c r="N86" s="33"/>
      <c r="O86" s="33"/>
      <c r="P86" s="33"/>
      <c r="Q86" s="33"/>
      <c r="R86" s="33"/>
      <c r="S86" s="33"/>
      <c r="T86" s="10">
        <v>0.13720679924239051</v>
      </c>
      <c r="U86" s="67"/>
      <c r="V86" s="67"/>
      <c r="W86" s="67"/>
      <c r="X86" s="67"/>
      <c r="Y86" s="67"/>
      <c r="Z86" s="67"/>
      <c r="AA86" s="67"/>
      <c r="AB86" s="33"/>
      <c r="AC86" s="33"/>
      <c r="AD86" s="33"/>
      <c r="AE86" s="33"/>
      <c r="AF86" s="33"/>
      <c r="AG86" s="33"/>
      <c r="AH86" s="33"/>
      <c r="AI86" s="33"/>
      <c r="AJ86" s="33"/>
      <c r="AK86" s="33"/>
      <c r="AL86" s="33"/>
      <c r="AM86" s="33"/>
      <c r="AN86" s="33"/>
      <c r="AO86" s="33"/>
      <c r="AP86" s="33"/>
      <c r="AQ86" s="33"/>
      <c r="AR86" s="33"/>
      <c r="AS86" s="33"/>
    </row>
    <row r="87" spans="1:45" ht="12.1" customHeight="1">
      <c r="A87" s="35" t="s">
        <v>173</v>
      </c>
      <c r="B87" s="35"/>
      <c r="C87" s="31"/>
      <c r="D87" s="31"/>
      <c r="E87" s="31"/>
      <c r="F87" s="31"/>
      <c r="G87" s="31"/>
      <c r="H87" s="31"/>
      <c r="I87" s="31"/>
      <c r="J87" s="33"/>
      <c r="K87" s="33"/>
      <c r="L87" s="33"/>
      <c r="M87" s="33"/>
      <c r="N87" s="33"/>
      <c r="O87" s="33"/>
      <c r="P87" s="33"/>
      <c r="Q87" s="33"/>
      <c r="R87" s="33"/>
      <c r="S87" s="33"/>
      <c r="T87" s="10">
        <v>0.76453286136229437</v>
      </c>
      <c r="U87" s="67"/>
      <c r="V87" s="67"/>
      <c r="W87" s="67"/>
      <c r="X87" s="67"/>
      <c r="Y87" s="67"/>
      <c r="Z87" s="67"/>
      <c r="AA87" s="67"/>
      <c r="AB87" s="33"/>
      <c r="AC87" s="33"/>
      <c r="AD87" s="33"/>
      <c r="AE87" s="33"/>
      <c r="AF87" s="33"/>
      <c r="AG87" s="33"/>
      <c r="AH87" s="33"/>
      <c r="AI87" s="33"/>
      <c r="AJ87" s="33"/>
      <c r="AK87" s="33"/>
      <c r="AL87" s="33"/>
      <c r="AM87" s="33"/>
      <c r="AN87" s="33"/>
      <c r="AO87" s="33"/>
      <c r="AP87" s="33"/>
      <c r="AQ87" s="33"/>
      <c r="AR87" s="33"/>
      <c r="AS87" s="33"/>
    </row>
    <row r="88" spans="1:45" ht="12.1" customHeight="1">
      <c r="A88" s="35" t="s">
        <v>174</v>
      </c>
      <c r="B88" s="35"/>
      <c r="C88" s="31"/>
      <c r="D88" s="31"/>
      <c r="E88" s="31"/>
      <c r="F88" s="31"/>
      <c r="G88" s="31"/>
      <c r="H88" s="31"/>
      <c r="I88" s="31"/>
      <c r="J88" s="33"/>
      <c r="K88" s="33"/>
      <c r="L88" s="33"/>
      <c r="M88" s="33"/>
      <c r="N88" s="33"/>
      <c r="O88" s="33"/>
      <c r="P88" s="33"/>
      <c r="Q88" s="33"/>
      <c r="R88" s="33"/>
      <c r="S88" s="33"/>
      <c r="T88" s="10">
        <v>9.8260339395315158E-2</v>
      </c>
      <c r="U88" s="67"/>
      <c r="V88" s="67"/>
      <c r="W88" s="67"/>
      <c r="X88" s="67"/>
      <c r="Y88" s="67"/>
      <c r="Z88" s="67"/>
      <c r="AA88" s="67"/>
      <c r="AB88" s="33"/>
      <c r="AC88" s="33"/>
      <c r="AD88" s="33"/>
      <c r="AE88" s="33"/>
      <c r="AF88" s="33"/>
      <c r="AG88" s="33"/>
      <c r="AH88" s="33"/>
      <c r="AI88" s="33"/>
      <c r="AJ88" s="33"/>
      <c r="AK88" s="33"/>
      <c r="AL88" s="33"/>
      <c r="AM88" s="33"/>
      <c r="AN88" s="33"/>
      <c r="AO88" s="33"/>
      <c r="AP88" s="33"/>
      <c r="AQ88" s="33"/>
      <c r="AR88" s="33"/>
      <c r="AS88" s="33"/>
    </row>
    <row r="89" spans="1:45" ht="12.1" customHeight="1">
      <c r="A89" s="35" t="s">
        <v>106</v>
      </c>
      <c r="B89" s="35"/>
      <c r="C89" s="31"/>
      <c r="D89" s="31"/>
      <c r="E89" s="31"/>
      <c r="F89" s="31"/>
      <c r="G89" s="31"/>
      <c r="H89" s="31"/>
      <c r="I89" s="31"/>
      <c r="J89" s="33"/>
      <c r="K89" s="33"/>
      <c r="L89" s="33"/>
      <c r="M89" s="33"/>
      <c r="N89" s="33"/>
      <c r="O89" s="33"/>
      <c r="P89" s="33"/>
      <c r="Q89" s="33"/>
      <c r="R89" s="33"/>
      <c r="S89" s="33"/>
      <c r="T89" s="84">
        <v>0.18</v>
      </c>
      <c r="U89" s="33"/>
      <c r="V89" s="67"/>
      <c r="W89" s="67"/>
      <c r="X89" s="67"/>
      <c r="Y89" s="67"/>
      <c r="Z89" s="67"/>
      <c r="AA89" s="67"/>
      <c r="AB89" s="33"/>
      <c r="AC89" s="33"/>
      <c r="AD89" s="33"/>
      <c r="AE89" s="33"/>
      <c r="AF89" s="33"/>
      <c r="AG89" s="33"/>
      <c r="AH89" s="33"/>
      <c r="AI89" s="33"/>
      <c r="AJ89" s="33"/>
      <c r="AK89" s="33"/>
      <c r="AL89" s="33"/>
      <c r="AM89" s="33"/>
      <c r="AN89" s="33"/>
      <c r="AO89" s="33"/>
      <c r="AP89" s="33"/>
      <c r="AQ89" s="33"/>
      <c r="AR89" s="33"/>
      <c r="AS89" s="33"/>
    </row>
    <row r="90" spans="1:45" ht="12.1" customHeight="1">
      <c r="A90" s="35" t="s">
        <v>107</v>
      </c>
      <c r="B90" s="35"/>
      <c r="C90" s="31"/>
      <c r="D90" s="31"/>
      <c r="E90" s="31"/>
      <c r="F90" s="31"/>
      <c r="G90" s="31"/>
      <c r="H90" s="31"/>
      <c r="I90" s="31"/>
      <c r="J90" s="33"/>
      <c r="K90" s="33"/>
      <c r="L90" s="33"/>
      <c r="M90" s="33"/>
      <c r="N90" s="33"/>
      <c r="O90" s="33"/>
      <c r="P90" s="33"/>
      <c r="Q90" s="33"/>
      <c r="R90" s="33"/>
      <c r="S90" s="33"/>
      <c r="T90" s="84">
        <v>1.3</v>
      </c>
      <c r="U90" s="33"/>
      <c r="V90" s="67"/>
      <c r="W90" s="67"/>
      <c r="X90" s="67"/>
      <c r="Y90" s="67"/>
      <c r="Z90" s="67"/>
      <c r="AA90" s="67"/>
      <c r="AB90" s="33"/>
      <c r="AC90" s="33"/>
      <c r="AD90" s="33"/>
      <c r="AE90" s="33"/>
      <c r="AF90" s="33"/>
      <c r="AG90" s="33"/>
      <c r="AH90" s="33"/>
      <c r="AI90" s="33"/>
      <c r="AJ90" s="33"/>
      <c r="AK90" s="33"/>
      <c r="AL90" s="33"/>
      <c r="AM90" s="33"/>
      <c r="AN90" s="33"/>
      <c r="AO90" s="33"/>
      <c r="AP90" s="33"/>
      <c r="AQ90" s="33"/>
      <c r="AR90" s="33"/>
      <c r="AS90" s="33"/>
    </row>
    <row r="91" spans="1:45" ht="12.1" customHeight="1">
      <c r="A91" s="35" t="s">
        <v>171</v>
      </c>
      <c r="B91" s="35"/>
      <c r="C91" s="31"/>
      <c r="D91" s="31"/>
      <c r="E91" s="31"/>
      <c r="F91" s="31"/>
      <c r="G91" s="31"/>
      <c r="H91" s="31"/>
      <c r="I91" s="31"/>
      <c r="J91" s="33"/>
      <c r="K91" s="33"/>
      <c r="L91" s="33"/>
      <c r="M91" s="33"/>
      <c r="N91" s="33"/>
      <c r="O91" s="33"/>
      <c r="P91" s="33"/>
      <c r="Q91" s="33"/>
      <c r="R91" s="33"/>
      <c r="S91" s="33"/>
      <c r="T91" s="84">
        <v>0.1</v>
      </c>
      <c r="U91" s="33"/>
      <c r="V91" s="67"/>
      <c r="W91" s="67"/>
      <c r="X91" s="67"/>
      <c r="Y91" s="67"/>
      <c r="Z91" s="67"/>
      <c r="AA91" s="67"/>
      <c r="AB91" s="33"/>
      <c r="AC91" s="33"/>
      <c r="AD91" s="33"/>
      <c r="AE91" s="33"/>
      <c r="AF91" s="33"/>
      <c r="AG91" s="33"/>
      <c r="AH91" s="33"/>
      <c r="AI91" s="33"/>
      <c r="AJ91" s="33"/>
      <c r="AK91" s="33"/>
      <c r="AL91" s="33"/>
      <c r="AM91" s="33"/>
      <c r="AN91" s="33"/>
      <c r="AO91" s="33"/>
      <c r="AP91" s="33"/>
      <c r="AQ91" s="33"/>
      <c r="AR91" s="33"/>
      <c r="AS91" s="33"/>
    </row>
    <row r="92" spans="1:45" ht="12.1" customHeight="1">
      <c r="A92" s="35" t="s">
        <v>178</v>
      </c>
      <c r="B92" s="35"/>
      <c r="C92" s="31"/>
      <c r="D92" s="31"/>
      <c r="E92" s="31"/>
      <c r="F92" s="31"/>
      <c r="G92" s="31"/>
      <c r="H92" s="31"/>
      <c r="I92" s="31"/>
      <c r="J92" s="33"/>
      <c r="K92" s="33"/>
      <c r="L92" s="33"/>
      <c r="M92" s="33"/>
      <c r="N92" s="33"/>
      <c r="O92" s="33"/>
      <c r="P92" s="33"/>
      <c r="Q92" s="33"/>
      <c r="R92" s="33"/>
      <c r="S92" s="33"/>
      <c r="T92" s="84">
        <v>0</v>
      </c>
      <c r="U92" s="33"/>
      <c r="V92" s="67"/>
      <c r="W92" s="67"/>
      <c r="X92" s="67"/>
      <c r="Y92" s="67"/>
      <c r="Z92" s="67"/>
      <c r="AA92" s="67"/>
      <c r="AB92" s="33"/>
      <c r="AC92" s="33"/>
      <c r="AD92" s="33"/>
      <c r="AE92" s="33"/>
      <c r="AF92" s="33"/>
      <c r="AG92" s="33"/>
      <c r="AH92" s="33"/>
      <c r="AI92" s="33"/>
      <c r="AJ92" s="33"/>
      <c r="AK92" s="33"/>
      <c r="AL92" s="33"/>
      <c r="AM92" s="33"/>
      <c r="AN92" s="33"/>
      <c r="AO92" s="33"/>
      <c r="AP92" s="33"/>
      <c r="AQ92" s="33"/>
      <c r="AR92" s="33"/>
      <c r="AS92" s="33"/>
    </row>
    <row r="93" spans="1:45" ht="12.1" customHeight="1">
      <c r="A93" s="35" t="s">
        <v>108</v>
      </c>
      <c r="B93" s="35"/>
      <c r="C93" s="31"/>
      <c r="D93" s="31"/>
      <c r="E93" s="31"/>
      <c r="F93" s="31"/>
      <c r="G93" s="31"/>
      <c r="H93" s="31"/>
      <c r="I93" s="31"/>
      <c r="J93" s="33"/>
      <c r="K93" s="33"/>
      <c r="L93" s="33"/>
      <c r="M93" s="33"/>
      <c r="N93" s="33"/>
      <c r="O93" s="33"/>
      <c r="P93" s="33"/>
      <c r="Q93" s="33"/>
      <c r="R93" s="33"/>
      <c r="S93" s="33"/>
      <c r="T93" s="67">
        <f>95978.0046715952</f>
        <v>95978.004671595205</v>
      </c>
      <c r="U93" s="67"/>
      <c r="V93" s="67"/>
      <c r="W93" s="67"/>
      <c r="X93" s="67"/>
      <c r="Y93" s="67"/>
      <c r="Z93" s="67"/>
      <c r="AA93" s="67"/>
      <c r="AB93" s="33"/>
      <c r="AC93" s="33"/>
      <c r="AD93" s="33"/>
      <c r="AE93" s="33"/>
      <c r="AF93" s="33"/>
      <c r="AG93" s="33"/>
      <c r="AH93" s="33"/>
      <c r="AI93" s="33"/>
      <c r="AJ93" s="33"/>
      <c r="AK93" s="33"/>
      <c r="AL93" s="33"/>
      <c r="AM93" s="33"/>
      <c r="AN93" s="33"/>
      <c r="AO93" s="33"/>
      <c r="AP93" s="33"/>
      <c r="AQ93" s="33"/>
      <c r="AR93" s="33"/>
      <c r="AS93" s="33"/>
    </row>
    <row r="94" spans="1:45" ht="12.1" customHeight="1">
      <c r="A94" s="35" t="s">
        <v>109</v>
      </c>
      <c r="B94" s="35"/>
      <c r="C94" s="31"/>
      <c r="D94" s="31"/>
      <c r="E94" s="31"/>
      <c r="F94" s="31"/>
      <c r="G94" s="31"/>
      <c r="H94" s="31"/>
      <c r="I94" s="31"/>
      <c r="J94" s="33"/>
      <c r="K94" s="33"/>
      <c r="L94" s="33"/>
      <c r="M94" s="33"/>
      <c r="N94" s="33"/>
      <c r="O94" s="33"/>
      <c r="P94" s="33"/>
      <c r="Q94" s="33"/>
      <c r="R94" s="33"/>
      <c r="S94" s="33"/>
      <c r="T94" s="67">
        <v>-1000</v>
      </c>
      <c r="U94" s="67">
        <v>-1000</v>
      </c>
      <c r="V94" s="67">
        <v>-400</v>
      </c>
      <c r="W94" s="67">
        <v>-200</v>
      </c>
      <c r="X94" s="67">
        <v>-200</v>
      </c>
      <c r="Y94" s="67">
        <v>-200</v>
      </c>
      <c r="Z94" s="67">
        <v>-200</v>
      </c>
      <c r="AA94" s="67">
        <v>-200</v>
      </c>
      <c r="AB94" s="33"/>
      <c r="AC94" s="33"/>
      <c r="AD94" s="33"/>
      <c r="AE94" s="33"/>
      <c r="AF94" s="33"/>
      <c r="AG94" s="33"/>
      <c r="AH94" s="33"/>
      <c r="AI94" s="33"/>
      <c r="AJ94" s="33"/>
      <c r="AK94" s="33"/>
      <c r="AL94" s="33"/>
      <c r="AM94" s="33"/>
      <c r="AN94" s="33"/>
      <c r="AO94" s="33"/>
      <c r="AP94" s="33"/>
      <c r="AQ94" s="33"/>
      <c r="AR94" s="33"/>
      <c r="AS94" s="33"/>
    </row>
    <row r="95" spans="1:45" ht="12.1" customHeight="1">
      <c r="A95" s="35" t="s">
        <v>110</v>
      </c>
      <c r="B95" s="35"/>
      <c r="C95" s="31"/>
      <c r="D95" s="31"/>
      <c r="E95" s="31"/>
      <c r="F95" s="31"/>
      <c r="G95" s="31"/>
      <c r="H95" s="31"/>
      <c r="I95" s="31"/>
      <c r="J95" s="33"/>
      <c r="K95" s="33"/>
      <c r="L95" s="33"/>
      <c r="M95" s="33"/>
      <c r="N95" s="33"/>
      <c r="O95" s="33"/>
      <c r="P95" s="33"/>
      <c r="Q95" s="33"/>
      <c r="R95" s="33"/>
      <c r="S95" s="33"/>
      <c r="T95" s="84">
        <v>0.06</v>
      </c>
      <c r="U95" s="10"/>
      <c r="V95" s="84"/>
      <c r="W95" s="84"/>
      <c r="X95" s="84"/>
      <c r="Y95" s="84"/>
      <c r="Z95" s="84"/>
      <c r="AA95" s="84"/>
      <c r="AB95" s="33"/>
      <c r="AC95" s="33"/>
      <c r="AD95" s="33"/>
      <c r="AE95" s="33"/>
      <c r="AF95" s="33"/>
      <c r="AG95" s="33"/>
      <c r="AH95" s="33"/>
      <c r="AI95" s="33"/>
      <c r="AJ95" s="33"/>
      <c r="AK95" s="33"/>
      <c r="AL95" s="33"/>
      <c r="AM95" s="33"/>
      <c r="AN95" s="33"/>
      <c r="AO95" s="33"/>
      <c r="AP95" s="33"/>
      <c r="AQ95" s="33"/>
      <c r="AR95" s="33"/>
      <c r="AS95" s="33"/>
    </row>
    <row r="96" spans="1:45" ht="12.1" customHeight="1">
      <c r="A96" s="35" t="s">
        <v>111</v>
      </c>
      <c r="B96" s="35"/>
      <c r="C96" s="31"/>
      <c r="D96" s="31"/>
      <c r="E96" s="31"/>
      <c r="F96" s="31"/>
      <c r="G96" s="31"/>
      <c r="H96" s="31"/>
      <c r="I96" s="31"/>
      <c r="J96" s="33"/>
      <c r="K96" s="33"/>
      <c r="L96" s="33"/>
      <c r="M96" s="33"/>
      <c r="N96" s="33"/>
      <c r="O96" s="33"/>
      <c r="P96" s="33"/>
      <c r="Q96" s="33"/>
      <c r="R96" s="33"/>
      <c r="S96" s="33"/>
      <c r="T96" s="84">
        <v>0.5</v>
      </c>
      <c r="U96" s="10"/>
      <c r="V96" s="84"/>
      <c r="W96" s="84"/>
      <c r="X96" s="84"/>
      <c r="Y96" s="84"/>
      <c r="Z96" s="84"/>
      <c r="AA96" s="84"/>
      <c r="AB96" s="33"/>
      <c r="AC96" s="33"/>
      <c r="AD96" s="33"/>
      <c r="AE96" s="33"/>
      <c r="AF96" s="33"/>
      <c r="AG96" s="33"/>
      <c r="AH96" s="33"/>
      <c r="AI96" s="33"/>
      <c r="AJ96" s="33"/>
      <c r="AK96" s="33"/>
      <c r="AL96" s="33"/>
      <c r="AM96" s="33"/>
      <c r="AN96" s="33"/>
      <c r="AO96" s="33"/>
      <c r="AP96" s="33"/>
      <c r="AQ96" s="33"/>
      <c r="AR96" s="33"/>
      <c r="AS96" s="33"/>
    </row>
    <row r="97" spans="1:45" ht="12.1" customHeight="1">
      <c r="A97" s="35" t="s">
        <v>112</v>
      </c>
      <c r="B97" s="35"/>
      <c r="C97" s="31"/>
      <c r="D97" s="31"/>
      <c r="E97" s="31"/>
      <c r="F97" s="31"/>
      <c r="G97" s="31"/>
      <c r="H97" s="31"/>
      <c r="I97" s="31"/>
      <c r="J97" s="33"/>
      <c r="K97" s="33"/>
      <c r="L97" s="33"/>
      <c r="M97" s="33"/>
      <c r="N97" s="33"/>
      <c r="O97" s="33"/>
      <c r="P97" s="33"/>
      <c r="Q97" s="33"/>
      <c r="R97" s="33"/>
      <c r="S97" s="33"/>
      <c r="T97" s="84">
        <v>0</v>
      </c>
      <c r="U97" s="10"/>
      <c r="V97" s="84"/>
      <c r="W97" s="84"/>
      <c r="X97" s="84"/>
      <c r="Y97" s="84"/>
      <c r="Z97" s="84"/>
      <c r="AA97" s="84"/>
      <c r="AB97" s="33"/>
      <c r="AC97" s="33"/>
      <c r="AD97" s="33"/>
      <c r="AE97" s="33"/>
      <c r="AF97" s="33"/>
      <c r="AG97" s="33"/>
      <c r="AH97" s="33"/>
      <c r="AI97" s="33"/>
      <c r="AJ97" s="33"/>
      <c r="AK97" s="33"/>
      <c r="AL97" s="33"/>
      <c r="AM97" s="33"/>
      <c r="AN97" s="33"/>
      <c r="AO97" s="33"/>
      <c r="AP97" s="33"/>
      <c r="AQ97" s="33"/>
      <c r="AR97" s="33"/>
      <c r="AS97" s="33"/>
    </row>
    <row r="98" spans="1:45" ht="12.1" customHeight="1">
      <c r="A98" s="35" t="s">
        <v>113</v>
      </c>
      <c r="B98" s="35"/>
      <c r="C98" s="31"/>
      <c r="D98" s="31"/>
      <c r="E98" s="31"/>
      <c r="F98" s="31"/>
      <c r="G98" s="31"/>
      <c r="H98" s="31"/>
      <c r="I98" s="31"/>
      <c r="J98" s="33"/>
      <c r="K98" s="33"/>
      <c r="L98" s="33"/>
      <c r="M98" s="33"/>
      <c r="N98" s="33"/>
      <c r="O98" s="33"/>
      <c r="P98" s="33"/>
      <c r="Q98" s="33"/>
      <c r="R98" s="33"/>
      <c r="S98" s="33"/>
      <c r="T98" s="84">
        <v>0.02</v>
      </c>
      <c r="U98" s="10"/>
      <c r="V98" s="84"/>
      <c r="W98" s="84"/>
      <c r="X98" s="84"/>
      <c r="Y98" s="84"/>
      <c r="Z98" s="84"/>
      <c r="AA98" s="84"/>
      <c r="AB98" s="33"/>
      <c r="AC98" s="33"/>
      <c r="AD98" s="33"/>
      <c r="AE98" s="33"/>
      <c r="AF98" s="33"/>
      <c r="AG98" s="33"/>
      <c r="AH98" s="33"/>
      <c r="AI98" s="33"/>
      <c r="AJ98" s="33"/>
      <c r="AK98" s="33"/>
      <c r="AL98" s="33"/>
      <c r="AM98" s="33"/>
      <c r="AN98" s="33"/>
      <c r="AO98" s="33"/>
      <c r="AP98" s="33"/>
      <c r="AQ98" s="33"/>
      <c r="AR98" s="33"/>
      <c r="AS98" s="33"/>
    </row>
    <row r="99" spans="1:45" ht="12.1" customHeight="1">
      <c r="A99" s="35" t="s">
        <v>127</v>
      </c>
      <c r="B99" s="31"/>
      <c r="C99" s="31"/>
      <c r="D99" s="31"/>
      <c r="E99" s="31"/>
      <c r="F99" s="31"/>
      <c r="G99" s="31"/>
      <c r="H99" s="31"/>
      <c r="I99" s="31"/>
      <c r="J99" s="33"/>
      <c r="K99" s="33"/>
      <c r="L99" s="33"/>
      <c r="M99" s="33"/>
      <c r="N99" s="33"/>
      <c r="O99" s="33"/>
      <c r="P99" s="33"/>
      <c r="Q99" s="33"/>
      <c r="R99" s="33"/>
      <c r="S99" s="33"/>
      <c r="T99" s="10">
        <v>0</v>
      </c>
      <c r="U99" s="10"/>
      <c r="V99" s="10"/>
      <c r="W99" s="10"/>
      <c r="X99" s="10"/>
      <c r="Y99" s="10"/>
      <c r="Z99" s="10"/>
      <c r="AA99" s="10"/>
      <c r="AB99" s="33"/>
      <c r="AC99" s="33"/>
      <c r="AD99" s="33"/>
      <c r="AE99" s="33"/>
      <c r="AF99" s="33"/>
      <c r="AG99" s="33"/>
      <c r="AH99" s="33"/>
      <c r="AI99" s="33"/>
      <c r="AJ99" s="33"/>
      <c r="AK99" s="33"/>
      <c r="AL99" s="33"/>
      <c r="AM99" s="33"/>
      <c r="AN99" s="33"/>
      <c r="AO99" s="33"/>
      <c r="AP99" s="33"/>
      <c r="AQ99" s="33"/>
      <c r="AR99" s="33"/>
      <c r="AS99" s="33"/>
    </row>
    <row r="100" spans="1:45" ht="12.1" customHeight="1">
      <c r="A100" s="35" t="s">
        <v>60</v>
      </c>
      <c r="B100" s="31"/>
      <c r="C100" s="31"/>
      <c r="D100" s="31"/>
      <c r="E100" s="31"/>
      <c r="F100" s="31"/>
      <c r="G100" s="31"/>
      <c r="H100" s="31"/>
      <c r="I100" s="31"/>
      <c r="J100" s="33"/>
      <c r="K100" s="33"/>
      <c r="L100" s="68"/>
      <c r="M100" s="69"/>
      <c r="N100" s="69"/>
      <c r="O100" s="69"/>
      <c r="P100" s="69"/>
      <c r="Q100" s="69"/>
      <c r="R100" s="69"/>
      <c r="S100" s="69"/>
      <c r="T100" s="81"/>
      <c r="U100" s="81">
        <v>0.19</v>
      </c>
      <c r="V100" s="81">
        <v>0.25</v>
      </c>
      <c r="W100" s="81">
        <v>0.25</v>
      </c>
      <c r="X100" s="81">
        <v>0.25</v>
      </c>
      <c r="Y100" s="81">
        <v>0.25</v>
      </c>
      <c r="Z100" s="81">
        <v>0.25</v>
      </c>
      <c r="AA100" s="81">
        <v>0.25</v>
      </c>
      <c r="AB100" s="33"/>
      <c r="AC100" s="33"/>
      <c r="AD100" s="33"/>
      <c r="AE100" s="33"/>
      <c r="AF100" s="33"/>
      <c r="AG100" s="33"/>
      <c r="AH100" s="33"/>
      <c r="AI100" s="33"/>
      <c r="AJ100" s="33"/>
      <c r="AK100" s="33"/>
      <c r="AL100" s="33"/>
      <c r="AM100" s="33"/>
      <c r="AN100" s="33"/>
      <c r="AO100" s="33"/>
      <c r="AP100" s="33"/>
      <c r="AQ100" s="33"/>
      <c r="AR100" s="33"/>
      <c r="AS100" s="33"/>
    </row>
    <row r="101" spans="1:45" ht="12.1" customHeight="1">
      <c r="A101" s="35" t="s">
        <v>61</v>
      </c>
      <c r="B101" s="31"/>
      <c r="C101" s="31"/>
      <c r="D101" s="31"/>
      <c r="E101" s="31"/>
      <c r="F101" s="31"/>
      <c r="G101" s="31"/>
      <c r="H101" s="31"/>
      <c r="I101" s="31"/>
      <c r="J101" s="33"/>
      <c r="K101" s="33"/>
      <c r="L101" s="68"/>
      <c r="M101" s="69"/>
      <c r="N101" s="69"/>
      <c r="O101" s="69"/>
      <c r="P101" s="69"/>
      <c r="Q101" s="69"/>
      <c r="R101" s="69"/>
      <c r="S101" s="69"/>
      <c r="T101" s="81"/>
      <c r="U101" s="81"/>
      <c r="V101" s="81">
        <f t="shared" ref="V101:AA101" si="11">+U100*0.25+V100*0.75</f>
        <v>0.23499999999999999</v>
      </c>
      <c r="W101" s="81">
        <f t="shared" si="11"/>
        <v>0.25</v>
      </c>
      <c r="X101" s="81">
        <f t="shared" si="11"/>
        <v>0.25</v>
      </c>
      <c r="Y101" s="81">
        <f t="shared" si="11"/>
        <v>0.25</v>
      </c>
      <c r="Z101" s="81">
        <f t="shared" si="11"/>
        <v>0.25</v>
      </c>
      <c r="AA101" s="81">
        <f t="shared" si="11"/>
        <v>0.25</v>
      </c>
      <c r="AB101" s="33"/>
      <c r="AC101" s="33"/>
      <c r="AD101" s="33"/>
      <c r="AE101" s="33"/>
      <c r="AF101" s="33"/>
      <c r="AG101" s="33"/>
      <c r="AH101" s="33"/>
      <c r="AI101" s="33"/>
      <c r="AJ101" s="33"/>
      <c r="AK101" s="33"/>
      <c r="AL101" s="33"/>
      <c r="AM101" s="33"/>
      <c r="AN101" s="33"/>
      <c r="AO101" s="33"/>
      <c r="AP101" s="33"/>
      <c r="AQ101" s="33"/>
      <c r="AR101" s="33"/>
      <c r="AS101" s="33"/>
    </row>
    <row r="102" spans="1:45" ht="12.1" customHeight="1">
      <c r="A102" s="35" t="s">
        <v>187</v>
      </c>
      <c r="B102" s="31"/>
      <c r="C102" s="31"/>
      <c r="D102" s="31"/>
      <c r="E102" s="31"/>
      <c r="F102" s="31"/>
      <c r="G102" s="31"/>
      <c r="H102" s="31"/>
      <c r="I102" s="31"/>
      <c r="J102" s="33"/>
      <c r="K102" s="33"/>
      <c r="L102" s="33"/>
      <c r="M102" s="33"/>
      <c r="N102" s="33"/>
      <c r="O102" s="33"/>
      <c r="P102" s="33"/>
      <c r="Q102" s="33"/>
      <c r="R102" s="33"/>
      <c r="S102" s="33"/>
      <c r="T102" s="33"/>
      <c r="U102" s="33"/>
      <c r="V102" s="33">
        <v>5000</v>
      </c>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row>
    <row r="103" spans="1:45" ht="12.1" customHeight="1">
      <c r="A103" s="35"/>
      <c r="B103" s="31"/>
      <c r="C103" s="31"/>
      <c r="D103" s="31"/>
      <c r="E103" s="31"/>
      <c r="F103" s="31"/>
      <c r="G103" s="31"/>
      <c r="H103" s="31"/>
      <c r="I103" s="31"/>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row>
    <row r="104" spans="1:45" ht="12.1" customHeight="1">
      <c r="A104" s="35" t="s">
        <v>183</v>
      </c>
      <c r="B104" s="31"/>
      <c r="C104" s="31"/>
      <c r="D104" s="31"/>
      <c r="E104" s="31"/>
      <c r="F104" s="31"/>
      <c r="G104" s="31"/>
      <c r="H104" s="31"/>
      <c r="I104" s="31"/>
      <c r="J104" s="33"/>
      <c r="K104" s="33"/>
      <c r="L104" s="33"/>
      <c r="M104" s="33"/>
      <c r="N104" s="33"/>
      <c r="O104" s="33"/>
      <c r="P104" s="33"/>
      <c r="Q104" s="33"/>
      <c r="R104" s="33"/>
      <c r="S104" s="33"/>
      <c r="T104" s="33"/>
      <c r="U104" s="90">
        <v>0.5</v>
      </c>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row>
    <row r="105" spans="1:45" ht="12.1" customHeight="1">
      <c r="A105" s="35" t="s">
        <v>7</v>
      </c>
      <c r="B105" s="31"/>
      <c r="C105" s="31"/>
      <c r="D105" s="31"/>
      <c r="E105" s="31"/>
      <c r="F105" s="31"/>
      <c r="G105" s="31"/>
      <c r="H105" s="31"/>
      <c r="I105" s="31"/>
      <c r="J105" s="33"/>
      <c r="K105" s="33"/>
      <c r="L105" s="33"/>
      <c r="M105" s="33"/>
      <c r="N105" s="33"/>
      <c r="O105" s="33"/>
      <c r="P105" s="33"/>
      <c r="Q105" s="33"/>
      <c r="R105" s="33"/>
      <c r="S105" s="33"/>
      <c r="T105" s="33"/>
      <c r="U105" s="10">
        <v>1</v>
      </c>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row>
    <row r="106" spans="1:45" ht="12.1" customHeight="1">
      <c r="A106" s="35"/>
      <c r="B106" s="31"/>
      <c r="C106" s="31"/>
      <c r="D106" s="31"/>
      <c r="E106" s="31"/>
      <c r="F106" s="31"/>
      <c r="G106" s="31"/>
      <c r="H106" s="31"/>
      <c r="I106" s="31"/>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row>
    <row r="107" spans="1:45" ht="12.1" customHeight="1">
      <c r="A107" s="28" t="s">
        <v>255</v>
      </c>
      <c r="B107" s="31"/>
      <c r="C107" s="31"/>
      <c r="D107" s="31"/>
      <c r="E107" s="31"/>
      <c r="F107" s="31"/>
      <c r="G107" s="31"/>
      <c r="H107" s="31"/>
      <c r="I107" s="31"/>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row>
    <row r="108" spans="1:45" ht="12.1" customHeight="1">
      <c r="A108" s="15" t="s">
        <v>45</v>
      </c>
      <c r="B108" s="14"/>
      <c r="C108" s="14"/>
      <c r="D108" s="14"/>
      <c r="E108" s="14"/>
      <c r="F108" s="14"/>
      <c r="G108" s="14"/>
      <c r="H108" s="14"/>
      <c r="I108" s="14"/>
      <c r="J108" s="14"/>
      <c r="K108" s="14"/>
      <c r="L108" s="14"/>
      <c r="M108" s="14"/>
      <c r="N108" s="14"/>
      <c r="O108" s="14"/>
      <c r="P108" s="14"/>
      <c r="Q108" s="14"/>
      <c r="R108" s="14"/>
      <c r="S108" s="14"/>
      <c r="T108" s="33"/>
      <c r="U108" s="16" t="s">
        <v>256</v>
      </c>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row>
    <row r="109" spans="1:45" ht="12.1" customHeight="1">
      <c r="A109" s="15" t="s">
        <v>46</v>
      </c>
      <c r="B109" s="14"/>
      <c r="C109" s="14"/>
      <c r="D109" s="14"/>
      <c r="E109" s="14"/>
      <c r="F109" s="14"/>
      <c r="G109" s="14"/>
      <c r="H109" s="14"/>
      <c r="I109" s="14"/>
      <c r="J109" s="14"/>
      <c r="K109" s="14"/>
      <c r="L109" s="14"/>
      <c r="M109" s="14"/>
      <c r="N109" s="14"/>
      <c r="O109" s="14"/>
      <c r="P109" s="14"/>
      <c r="Q109" s="14"/>
      <c r="R109" s="14"/>
      <c r="S109" s="14"/>
      <c r="T109" s="13"/>
      <c r="U109" s="16">
        <v>0.70249326086221142</v>
      </c>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row>
    <row r="110" spans="1:45" ht="12.1" customHeight="1">
      <c r="A110" s="15" t="s">
        <v>47</v>
      </c>
      <c r="B110" s="14"/>
      <c r="C110" s="14"/>
      <c r="D110" s="14"/>
      <c r="E110" s="14"/>
      <c r="F110" s="14"/>
      <c r="G110" s="14"/>
      <c r="H110" s="14"/>
      <c r="I110" s="14"/>
      <c r="J110" s="14"/>
      <c r="K110" s="14"/>
      <c r="L110" s="14"/>
      <c r="M110" s="14"/>
      <c r="N110" s="14"/>
      <c r="O110" s="14"/>
      <c r="P110" s="14"/>
      <c r="Q110" s="14"/>
      <c r="R110" s="14"/>
      <c r="S110" s="14"/>
      <c r="T110" s="13"/>
      <c r="U110" s="16">
        <v>0.62966323886435094</v>
      </c>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row>
    <row r="111" spans="1:45" ht="12.1" customHeight="1">
      <c r="A111" s="15" t="s">
        <v>48</v>
      </c>
      <c r="B111" s="14"/>
      <c r="C111" s="14"/>
      <c r="D111" s="14"/>
      <c r="E111" s="14"/>
      <c r="F111" s="14"/>
      <c r="G111" s="14"/>
      <c r="H111" s="14"/>
      <c r="I111" s="14"/>
      <c r="J111" s="14"/>
      <c r="K111" s="14"/>
      <c r="L111" s="14"/>
      <c r="M111" s="14"/>
      <c r="N111" s="14"/>
      <c r="O111" s="14"/>
      <c r="P111" s="14"/>
      <c r="Q111" s="14"/>
      <c r="R111" s="14"/>
      <c r="S111" s="14"/>
      <c r="T111" s="13"/>
      <c r="U111" s="16">
        <v>0.5</v>
      </c>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row>
    <row r="112" spans="1:45" ht="12.1" customHeight="1">
      <c r="A112" s="15" t="s">
        <v>184</v>
      </c>
      <c r="B112" s="14"/>
      <c r="C112" s="14"/>
      <c r="D112" s="14"/>
      <c r="E112" s="14"/>
      <c r="F112" s="14"/>
      <c r="G112" s="14"/>
      <c r="H112" s="14"/>
      <c r="I112" s="14"/>
      <c r="J112" s="14"/>
      <c r="K112" s="14"/>
      <c r="L112" s="14"/>
      <c r="M112" s="14"/>
      <c r="N112" s="14"/>
      <c r="O112" s="14"/>
      <c r="P112" s="14"/>
      <c r="Q112" s="14"/>
      <c r="R112" s="14"/>
      <c r="S112" s="14"/>
      <c r="T112" s="13"/>
      <c r="U112" s="16">
        <v>0.59008170977553098</v>
      </c>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row>
    <row r="113" spans="1:45" ht="12.1" customHeight="1">
      <c r="A113" s="15" t="s">
        <v>185</v>
      </c>
      <c r="B113" s="14"/>
      <c r="C113" s="14"/>
      <c r="D113" s="14"/>
      <c r="E113" s="14"/>
      <c r="F113" s="14"/>
      <c r="G113" s="14"/>
      <c r="H113" s="14"/>
      <c r="I113" s="14"/>
      <c r="J113" s="14"/>
      <c r="K113" s="14"/>
      <c r="L113" s="14"/>
      <c r="M113" s="14"/>
      <c r="N113" s="14"/>
      <c r="O113" s="14"/>
      <c r="P113" s="14"/>
      <c r="Q113" s="14"/>
      <c r="R113" s="14"/>
      <c r="S113" s="14"/>
      <c r="T113" s="13"/>
      <c r="U113" s="16">
        <v>0.53600000000000003</v>
      </c>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row>
  </sheetData>
  <dataConsolidate/>
  <mergeCells count="1">
    <mergeCell ref="U34:AA34"/>
  </mergeCells>
  <pageMargins left="0.70866141732283472" right="0.70866141732283472" top="0.74803149606299213" bottom="0.74803149606299213" header="0.31496062992125984" footer="0.31496062992125984"/>
  <pageSetup paperSize="8" scale="3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pageSetUpPr fitToPage="1"/>
  </sheetPr>
  <dimension ref="A1:AL58"/>
  <sheetViews>
    <sheetView zoomScaleNormal="100" workbookViewId="0">
      <pane xSplit="9" ySplit="1" topLeftCell="J22" activePane="bottomRight" state="frozen"/>
      <selection pane="topRight" activeCell="D1" sqref="D1"/>
      <selection pane="bottomLeft" activeCell="A2" sqref="A2"/>
      <selection pane="bottomRight" activeCell="U54" sqref="U54"/>
    </sheetView>
  </sheetViews>
  <sheetFormatPr defaultColWidth="4" defaultRowHeight="12.1" customHeight="1"/>
  <cols>
    <col min="1" max="1" width="28.625" style="197" bestFit="1" customWidth="1"/>
    <col min="2" max="2" width="4.75" style="197" bestFit="1" customWidth="1"/>
    <col min="3" max="3" width="5.5" style="197" customWidth="1"/>
    <col min="4" max="9" width="5.5" style="197" hidden="1" customWidth="1"/>
    <col min="10" max="12" width="4.375" style="197" bestFit="1" customWidth="1"/>
    <col min="13" max="21" width="5.25" style="197" bestFit="1" customWidth="1"/>
    <col min="22" max="38" width="4.375" style="197" bestFit="1" customWidth="1"/>
    <col min="39" max="65" width="4" style="197" customWidth="1"/>
    <col min="66" max="16384" width="4" style="197"/>
  </cols>
  <sheetData>
    <row r="1" spans="1:38" ht="12.1" customHeight="1">
      <c r="A1" s="34" t="s">
        <v>53</v>
      </c>
      <c r="B1" s="38"/>
      <c r="C1" s="38"/>
      <c r="D1" s="38"/>
      <c r="E1" s="38"/>
      <c r="F1" s="38"/>
      <c r="G1" s="38"/>
      <c r="H1" s="38"/>
      <c r="I1" s="38"/>
      <c r="J1" s="38">
        <f>+Inputs!J1</f>
        <v>2011</v>
      </c>
      <c r="K1" s="38">
        <f>+Inputs!K1</f>
        <v>2012</v>
      </c>
      <c r="L1" s="38">
        <f>+Inputs!L1</f>
        <v>2013</v>
      </c>
      <c r="M1" s="38">
        <f>+Inputs!M1</f>
        <v>2014</v>
      </c>
      <c r="N1" s="38">
        <f>+Inputs!N1</f>
        <v>2015</v>
      </c>
      <c r="O1" s="38">
        <f>+Inputs!O1</f>
        <v>2016</v>
      </c>
      <c r="P1" s="38">
        <f>+Inputs!P1</f>
        <v>2017</v>
      </c>
      <c r="Q1" s="38">
        <f>+Inputs!Q1</f>
        <v>2018</v>
      </c>
      <c r="R1" s="38">
        <f>+Inputs!R1</f>
        <v>2019</v>
      </c>
      <c r="S1" s="38">
        <f>+Inputs!S1</f>
        <v>2020</v>
      </c>
      <c r="T1" s="38">
        <f>+Inputs!T1</f>
        <v>2021</v>
      </c>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row>
    <row r="2" spans="1:38" ht="12.1" customHeight="1">
      <c r="A2" s="30"/>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2.1" customHeight="1">
      <c r="A3" s="34" t="s">
        <v>270</v>
      </c>
      <c r="B3" s="90">
        <f>+Inputs!K28</f>
        <v>242.7</v>
      </c>
      <c r="C3" s="90"/>
      <c r="D3" s="90"/>
      <c r="E3" s="90"/>
      <c r="F3" s="90"/>
      <c r="G3" s="90"/>
      <c r="H3" s="90"/>
      <c r="I3" s="90"/>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2.1" customHeight="1">
      <c r="A4" s="29" t="s">
        <v>129</v>
      </c>
      <c r="B4" s="36"/>
      <c r="C4" s="36"/>
      <c r="D4" s="36"/>
      <c r="E4" s="36"/>
      <c r="F4" s="36"/>
      <c r="G4" s="36"/>
      <c r="H4" s="36"/>
      <c r="I4" s="36"/>
      <c r="J4" s="41"/>
      <c r="K4" s="41"/>
      <c r="L4" s="41"/>
      <c r="M4" s="41">
        <f>+Inputs!M54</f>
        <v>10405.388319749683</v>
      </c>
      <c r="N4" s="41">
        <f>+Inputs!N54</f>
        <v>8750.78155184364</v>
      </c>
      <c r="O4" s="41">
        <f>+Inputs!O54</f>
        <v>7928.9938559655548</v>
      </c>
      <c r="P4" s="41"/>
      <c r="Q4" s="41"/>
      <c r="R4" s="41"/>
      <c r="S4" s="41"/>
      <c r="T4" s="41"/>
      <c r="U4" s="41"/>
      <c r="V4" s="41"/>
      <c r="W4" s="41"/>
      <c r="X4" s="33"/>
      <c r="Y4" s="41"/>
      <c r="Z4" s="41"/>
      <c r="AA4" s="41"/>
      <c r="AB4" s="41"/>
      <c r="AC4" s="41"/>
      <c r="AD4" s="41"/>
      <c r="AE4" s="41"/>
      <c r="AF4" s="41"/>
      <c r="AG4" s="41"/>
      <c r="AH4" s="41"/>
      <c r="AI4" s="41"/>
      <c r="AJ4" s="41"/>
      <c r="AK4" s="41"/>
      <c r="AL4" s="41"/>
    </row>
    <row r="5" spans="1:38" ht="12.1" customHeight="1">
      <c r="A5" s="29" t="s">
        <v>130</v>
      </c>
      <c r="B5" s="36"/>
      <c r="C5" s="36"/>
      <c r="D5" s="36"/>
      <c r="E5" s="36"/>
      <c r="F5" s="36"/>
      <c r="G5" s="36"/>
      <c r="H5" s="36"/>
      <c r="I5" s="36"/>
      <c r="J5" s="41"/>
      <c r="K5" s="41"/>
      <c r="L5" s="41"/>
      <c r="M5" s="41">
        <f>+Inputs!M55</f>
        <v>1028.354</v>
      </c>
      <c r="N5" s="41">
        <f>+Inputs!N55</f>
        <v>978.99</v>
      </c>
      <c r="O5" s="41">
        <f>+Inputs!O55</f>
        <v>890.81899999999996</v>
      </c>
      <c r="P5" s="41"/>
      <c r="Q5" s="41"/>
      <c r="R5" s="41"/>
      <c r="S5" s="41"/>
      <c r="T5" s="41"/>
      <c r="U5" s="41"/>
      <c r="V5" s="41"/>
      <c r="W5" s="41"/>
      <c r="X5" s="33"/>
      <c r="Y5" s="41"/>
      <c r="Z5" s="41"/>
      <c r="AA5" s="41"/>
      <c r="AB5" s="41"/>
      <c r="AC5" s="41"/>
      <c r="AD5" s="41"/>
      <c r="AE5" s="41"/>
      <c r="AF5" s="41"/>
      <c r="AG5" s="41"/>
      <c r="AH5" s="41"/>
      <c r="AI5" s="41"/>
      <c r="AJ5" s="41"/>
      <c r="AK5" s="41"/>
      <c r="AL5" s="41"/>
    </row>
    <row r="6" spans="1:38" ht="12.1" customHeight="1">
      <c r="A6" s="29" t="s">
        <v>131</v>
      </c>
      <c r="B6" s="36"/>
      <c r="C6" s="36"/>
      <c r="D6" s="36"/>
      <c r="E6" s="36"/>
      <c r="F6" s="36"/>
      <c r="G6" s="36"/>
      <c r="H6" s="36"/>
      <c r="I6" s="36"/>
      <c r="J6" s="41"/>
      <c r="K6" s="41"/>
      <c r="L6" s="41"/>
      <c r="M6" s="41">
        <f>+Inputs!M56</f>
        <v>147.00000000000026</v>
      </c>
      <c r="N6" s="41">
        <f>+Inputs!N56</f>
        <v>46.999999999999993</v>
      </c>
      <c r="O6" s="41">
        <f>+Inputs!O56</f>
        <v>31</v>
      </c>
      <c r="P6" s="41"/>
      <c r="Q6" s="41"/>
      <c r="R6" s="41"/>
      <c r="S6" s="41"/>
      <c r="T6" s="41"/>
      <c r="U6" s="41"/>
      <c r="V6" s="41"/>
      <c r="W6" s="41"/>
      <c r="X6" s="33"/>
      <c r="Y6" s="41"/>
      <c r="Z6" s="41"/>
      <c r="AA6" s="41"/>
      <c r="AB6" s="41"/>
      <c r="AC6" s="41"/>
      <c r="AD6" s="41"/>
      <c r="AE6" s="41"/>
      <c r="AF6" s="41"/>
      <c r="AG6" s="41"/>
      <c r="AH6" s="41"/>
      <c r="AI6" s="41"/>
      <c r="AJ6" s="41"/>
      <c r="AK6" s="41"/>
      <c r="AL6" s="41"/>
    </row>
    <row r="7" spans="1:38" ht="12.1" customHeight="1">
      <c r="A7" s="27" t="s">
        <v>128</v>
      </c>
      <c r="B7" s="33"/>
      <c r="C7" s="33"/>
      <c r="D7" s="33"/>
      <c r="E7" s="33"/>
      <c r="F7" s="33"/>
      <c r="G7" s="33"/>
      <c r="H7" s="33"/>
      <c r="I7" s="33"/>
      <c r="J7" s="48"/>
      <c r="K7" s="48"/>
      <c r="L7" s="48"/>
      <c r="M7" s="48">
        <f>SUM(M4:M6)</f>
        <v>11580.742319749683</v>
      </c>
      <c r="N7" s="48">
        <f>SUM(N4:N6)</f>
        <v>9776.7715518436398</v>
      </c>
      <c r="O7" s="48">
        <f>SUM(O4:O6)</f>
        <v>8850.8128559655543</v>
      </c>
      <c r="P7" s="48"/>
      <c r="Q7" s="48"/>
      <c r="R7" s="48"/>
      <c r="S7" s="48"/>
      <c r="T7" s="48"/>
      <c r="U7" s="48"/>
      <c r="V7" s="44"/>
      <c r="W7" s="44"/>
      <c r="X7" s="33"/>
      <c r="Y7" s="44"/>
      <c r="Z7" s="44"/>
      <c r="AA7" s="44"/>
      <c r="AB7" s="44"/>
      <c r="AC7" s="44"/>
      <c r="AD7" s="44"/>
      <c r="AE7" s="44"/>
      <c r="AF7" s="44"/>
      <c r="AG7" s="44"/>
      <c r="AH7" s="44"/>
      <c r="AI7" s="44"/>
      <c r="AJ7" s="44"/>
      <c r="AK7" s="44"/>
      <c r="AL7" s="44"/>
    </row>
    <row r="8" spans="1:38" ht="12.1" customHeight="1">
      <c r="A8" s="27"/>
      <c r="B8" s="33"/>
      <c r="C8" s="33"/>
      <c r="D8" s="33"/>
      <c r="E8" s="33"/>
      <c r="F8" s="33"/>
      <c r="G8" s="33"/>
      <c r="H8" s="33"/>
      <c r="I8" s="33"/>
      <c r="J8" s="44"/>
      <c r="K8" s="44"/>
      <c r="L8" s="44"/>
      <c r="M8" s="44"/>
      <c r="N8" s="44"/>
      <c r="O8" s="44"/>
      <c r="P8" s="44"/>
      <c r="Q8" s="44"/>
      <c r="R8" s="44"/>
      <c r="S8" s="44"/>
      <c r="T8" s="44"/>
      <c r="U8" s="44"/>
      <c r="V8" s="44"/>
      <c r="W8" s="44"/>
      <c r="X8" s="33"/>
      <c r="Y8" s="44"/>
      <c r="Z8" s="44"/>
      <c r="AA8" s="44"/>
      <c r="AB8" s="44"/>
      <c r="AC8" s="44"/>
      <c r="AD8" s="44"/>
      <c r="AE8" s="44"/>
      <c r="AF8" s="44"/>
      <c r="AG8" s="44"/>
      <c r="AH8" s="44"/>
      <c r="AI8" s="44"/>
      <c r="AJ8" s="44"/>
      <c r="AK8" s="44"/>
      <c r="AL8" s="44"/>
    </row>
    <row r="9" spans="1:38" ht="12.1" customHeight="1">
      <c r="A9" s="34" t="s">
        <v>276</v>
      </c>
      <c r="B9" s="90"/>
      <c r="C9" s="90"/>
      <c r="D9" s="90"/>
      <c r="E9" s="90"/>
      <c r="F9" s="90"/>
      <c r="G9" s="90"/>
      <c r="H9" s="90"/>
      <c r="I9" s="90"/>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ht="12.1" customHeight="1">
      <c r="A10" s="29" t="s">
        <v>129</v>
      </c>
      <c r="B10" s="36"/>
      <c r="C10" s="36"/>
      <c r="D10" s="36"/>
      <c r="E10" s="36"/>
      <c r="F10" s="36"/>
      <c r="G10" s="36"/>
      <c r="H10" s="36"/>
      <c r="I10" s="36"/>
      <c r="J10" s="41"/>
      <c r="K10" s="41"/>
      <c r="L10" s="41"/>
      <c r="M10" s="33">
        <f>+Inputs!M60</f>
        <v>-4417.295546409543</v>
      </c>
      <c r="N10" s="33">
        <f>+Inputs!N60</f>
        <v>183.84584407000344</v>
      </c>
      <c r="O10" s="33">
        <f>+Inputs!O60</f>
        <v>2683.7226307814099</v>
      </c>
      <c r="P10" s="41"/>
      <c r="Q10" s="41"/>
      <c r="R10" s="41"/>
      <c r="S10" s="41"/>
      <c r="T10" s="41"/>
      <c r="U10" s="41"/>
      <c r="V10" s="41"/>
      <c r="W10" s="41"/>
      <c r="X10" s="33"/>
      <c r="Y10" s="41"/>
      <c r="Z10" s="41"/>
      <c r="AA10" s="41"/>
      <c r="AB10" s="41"/>
      <c r="AC10" s="41"/>
      <c r="AD10" s="41"/>
      <c r="AE10" s="41"/>
      <c r="AF10" s="41"/>
      <c r="AG10" s="41"/>
      <c r="AH10" s="41"/>
      <c r="AI10" s="41"/>
      <c r="AJ10" s="41"/>
      <c r="AK10" s="41"/>
      <c r="AL10" s="41"/>
    </row>
    <row r="11" spans="1:38" ht="12.1" customHeight="1">
      <c r="A11" s="29" t="s">
        <v>130</v>
      </c>
      <c r="B11" s="36"/>
      <c r="C11" s="36"/>
      <c r="D11" s="36"/>
      <c r="E11" s="36"/>
      <c r="F11" s="36"/>
      <c r="G11" s="36"/>
      <c r="H11" s="36"/>
      <c r="I11" s="36"/>
      <c r="J11" s="41"/>
      <c r="K11" s="41"/>
      <c r="L11" s="41"/>
      <c r="M11" s="33">
        <f>+Inputs!M61</f>
        <v>-1.6072092447916788</v>
      </c>
      <c r="N11" s="33">
        <f>+Inputs!N61</f>
        <v>-26.555457291666649</v>
      </c>
      <c r="O11" s="33">
        <f>+Inputs!O61</f>
        <v>119.17451549479172</v>
      </c>
      <c r="P11" s="41"/>
      <c r="Q11" s="41"/>
      <c r="R11" s="41"/>
      <c r="S11" s="41"/>
      <c r="T11" s="41"/>
      <c r="U11" s="41"/>
      <c r="V11" s="41"/>
      <c r="W11" s="41"/>
      <c r="X11" s="33"/>
      <c r="Y11" s="41"/>
      <c r="Z11" s="41"/>
      <c r="AA11" s="41"/>
      <c r="AB11" s="41"/>
      <c r="AC11" s="41"/>
      <c r="AD11" s="41"/>
      <c r="AE11" s="41"/>
      <c r="AF11" s="41"/>
      <c r="AG11" s="41"/>
      <c r="AH11" s="41"/>
      <c r="AI11" s="41"/>
      <c r="AJ11" s="41"/>
      <c r="AK11" s="41"/>
      <c r="AL11" s="41"/>
    </row>
    <row r="12" spans="1:38" ht="12.1" customHeight="1">
      <c r="A12" s="29" t="s">
        <v>131</v>
      </c>
      <c r="B12" s="36"/>
      <c r="C12" s="36"/>
      <c r="D12" s="36"/>
      <c r="E12" s="36"/>
      <c r="F12" s="36"/>
      <c r="G12" s="36"/>
      <c r="H12" s="36"/>
      <c r="I12" s="36"/>
      <c r="J12" s="41"/>
      <c r="K12" s="41"/>
      <c r="L12" s="41"/>
      <c r="M12" s="33">
        <f>+Inputs!M62</f>
        <v>-3.853346817708319</v>
      </c>
      <c r="N12" s="33">
        <f>+Inputs!N62</f>
        <v>0</v>
      </c>
      <c r="O12" s="33">
        <f>+Inputs!O62</f>
        <v>0</v>
      </c>
      <c r="P12" s="41"/>
      <c r="Q12" s="41"/>
      <c r="R12" s="41"/>
      <c r="S12" s="41"/>
      <c r="T12" s="41"/>
      <c r="U12" s="41"/>
      <c r="V12" s="41"/>
      <c r="W12" s="41"/>
      <c r="X12" s="33"/>
      <c r="Y12" s="41"/>
      <c r="Z12" s="41"/>
      <c r="AA12" s="41"/>
      <c r="AB12" s="41"/>
      <c r="AC12" s="41"/>
      <c r="AD12" s="41"/>
      <c r="AE12" s="41"/>
      <c r="AF12" s="41"/>
      <c r="AG12" s="41"/>
      <c r="AH12" s="41"/>
      <c r="AI12" s="41"/>
      <c r="AJ12" s="41"/>
      <c r="AK12" s="41"/>
      <c r="AL12" s="41"/>
    </row>
    <row r="13" spans="1:38" ht="12.1" customHeight="1">
      <c r="A13" s="27" t="s">
        <v>128</v>
      </c>
      <c r="B13" s="33"/>
      <c r="C13" s="33"/>
      <c r="D13" s="33"/>
      <c r="E13" s="33"/>
      <c r="F13" s="33"/>
      <c r="G13" s="33"/>
      <c r="H13" s="33"/>
      <c r="I13" s="33"/>
      <c r="J13" s="48"/>
      <c r="K13" s="48"/>
      <c r="L13" s="48"/>
      <c r="M13" s="48">
        <f>SUM(M10:M12)</f>
        <v>-4422.7561024720435</v>
      </c>
      <c r="N13" s="48">
        <f t="shared" ref="N13:O13" si="0">SUM(N10:N12)</f>
        <v>157.2903867783368</v>
      </c>
      <c r="O13" s="48">
        <f t="shared" si="0"/>
        <v>2802.8971462762015</v>
      </c>
      <c r="P13" s="48"/>
      <c r="Q13" s="48"/>
      <c r="R13" s="48"/>
      <c r="S13" s="48"/>
      <c r="T13" s="48"/>
      <c r="U13" s="48"/>
      <c r="V13" s="44"/>
      <c r="W13" s="44"/>
      <c r="X13" s="33"/>
      <c r="Y13" s="44"/>
      <c r="Z13" s="44"/>
      <c r="AA13" s="44"/>
      <c r="AB13" s="44"/>
      <c r="AC13" s="44"/>
      <c r="AD13" s="44"/>
      <c r="AE13" s="44"/>
      <c r="AF13" s="44"/>
      <c r="AG13" s="44"/>
      <c r="AH13" s="44"/>
      <c r="AI13" s="44"/>
      <c r="AJ13" s="44"/>
      <c r="AK13" s="44"/>
      <c r="AL13" s="44"/>
    </row>
    <row r="14" spans="1:38" ht="12.1" customHeight="1">
      <c r="A14" s="27"/>
      <c r="B14" s="33"/>
      <c r="C14" s="33"/>
      <c r="D14" s="33"/>
      <c r="E14" s="33"/>
      <c r="F14" s="33"/>
      <c r="G14" s="33"/>
      <c r="H14" s="33"/>
      <c r="I14" s="33"/>
      <c r="J14" s="44"/>
      <c r="K14" s="44"/>
      <c r="L14" s="44"/>
      <c r="M14" s="44"/>
      <c r="N14" s="44"/>
      <c r="O14" s="44"/>
      <c r="P14" s="44"/>
      <c r="Q14" s="44"/>
      <c r="R14" s="44"/>
      <c r="S14" s="44"/>
      <c r="T14" s="44"/>
      <c r="U14" s="44"/>
      <c r="V14" s="44"/>
      <c r="W14" s="44"/>
      <c r="X14" s="33"/>
      <c r="Y14" s="44"/>
      <c r="Z14" s="44"/>
      <c r="AA14" s="44"/>
      <c r="AB14" s="44"/>
      <c r="AC14" s="44"/>
      <c r="AD14" s="44"/>
      <c r="AE14" s="44"/>
      <c r="AF14" s="44"/>
      <c r="AG14" s="44"/>
      <c r="AH14" s="44"/>
      <c r="AI14" s="44"/>
      <c r="AJ14" s="44"/>
      <c r="AK14" s="44"/>
      <c r="AL14" s="44"/>
    </row>
    <row r="15" spans="1:38" ht="12.1" customHeight="1">
      <c r="A15" s="34" t="s">
        <v>277</v>
      </c>
      <c r="B15" s="90"/>
      <c r="C15" s="90"/>
      <c r="D15" s="90"/>
      <c r="E15" s="90"/>
      <c r="F15" s="90"/>
      <c r="G15" s="90"/>
      <c r="H15" s="90"/>
      <c r="I15" s="90"/>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38" ht="12.1" customHeight="1">
      <c r="A16" s="29" t="s">
        <v>129</v>
      </c>
      <c r="B16" s="36"/>
      <c r="C16" s="36"/>
      <c r="D16" s="36"/>
      <c r="E16" s="36"/>
      <c r="F16" s="36"/>
      <c r="G16" s="36"/>
      <c r="H16" s="36"/>
      <c r="I16" s="36"/>
      <c r="J16" s="41"/>
      <c r="K16" s="41"/>
      <c r="L16" s="41"/>
      <c r="M16" s="41">
        <f>+M4+M10</f>
        <v>5988.0927733401404</v>
      </c>
      <c r="N16" s="41">
        <f t="shared" ref="N16:O16" si="1">+N4+N10</f>
        <v>8934.6273959136433</v>
      </c>
      <c r="O16" s="41">
        <f t="shared" si="1"/>
        <v>10612.716486746966</v>
      </c>
      <c r="P16" s="41"/>
      <c r="Q16" s="41"/>
      <c r="R16" s="41"/>
      <c r="S16" s="41"/>
      <c r="T16" s="41"/>
      <c r="U16" s="41"/>
      <c r="V16" s="41"/>
      <c r="W16" s="41"/>
      <c r="X16" s="33"/>
      <c r="Y16" s="41"/>
      <c r="Z16" s="41"/>
      <c r="AA16" s="41"/>
      <c r="AB16" s="41"/>
      <c r="AC16" s="41"/>
      <c r="AD16" s="41"/>
      <c r="AE16" s="41"/>
      <c r="AF16" s="41"/>
      <c r="AG16" s="41"/>
      <c r="AH16" s="41"/>
      <c r="AI16" s="41"/>
      <c r="AJ16" s="41"/>
      <c r="AK16" s="41"/>
      <c r="AL16" s="41"/>
    </row>
    <row r="17" spans="1:38" ht="12.1" customHeight="1">
      <c r="A17" s="29" t="s">
        <v>130</v>
      </c>
      <c r="B17" s="36"/>
      <c r="C17" s="36"/>
      <c r="D17" s="36"/>
      <c r="E17" s="36"/>
      <c r="F17" s="36"/>
      <c r="G17" s="36"/>
      <c r="H17" s="36"/>
      <c r="I17" s="36"/>
      <c r="J17" s="41"/>
      <c r="K17" s="41"/>
      <c r="L17" s="41"/>
      <c r="M17" s="41">
        <f t="shared" ref="M17:O18" si="2">+M5+M11</f>
        <v>1026.7467907552084</v>
      </c>
      <c r="N17" s="41">
        <f t="shared" si="2"/>
        <v>952.43454270833331</v>
      </c>
      <c r="O17" s="41">
        <f t="shared" si="2"/>
        <v>1009.9935154947917</v>
      </c>
      <c r="P17" s="41"/>
      <c r="Q17" s="41"/>
      <c r="R17" s="41"/>
      <c r="S17" s="41"/>
      <c r="T17" s="41"/>
      <c r="U17" s="41"/>
      <c r="V17" s="41"/>
      <c r="W17" s="41"/>
      <c r="X17" s="33"/>
      <c r="Y17" s="41"/>
      <c r="Z17" s="41"/>
      <c r="AA17" s="41"/>
      <c r="AB17" s="41"/>
      <c r="AC17" s="41"/>
      <c r="AD17" s="41"/>
      <c r="AE17" s="41"/>
      <c r="AF17" s="41"/>
      <c r="AG17" s="41"/>
      <c r="AH17" s="41"/>
      <c r="AI17" s="41"/>
      <c r="AJ17" s="41"/>
      <c r="AK17" s="41"/>
      <c r="AL17" s="41"/>
    </row>
    <row r="18" spans="1:38" ht="12.1" customHeight="1">
      <c r="A18" s="29" t="s">
        <v>131</v>
      </c>
      <c r="B18" s="36"/>
      <c r="C18" s="36"/>
      <c r="D18" s="36"/>
      <c r="E18" s="36"/>
      <c r="F18" s="36"/>
      <c r="G18" s="36"/>
      <c r="H18" s="36"/>
      <c r="I18" s="36"/>
      <c r="J18" s="41"/>
      <c r="K18" s="41"/>
      <c r="L18" s="41"/>
      <c r="M18" s="41">
        <f t="shared" si="2"/>
        <v>143.14665318229194</v>
      </c>
      <c r="N18" s="41">
        <f t="shared" si="2"/>
        <v>46.999999999999993</v>
      </c>
      <c r="O18" s="41">
        <f t="shared" si="2"/>
        <v>31</v>
      </c>
      <c r="P18" s="41"/>
      <c r="Q18" s="41"/>
      <c r="R18" s="41"/>
      <c r="S18" s="41"/>
      <c r="T18" s="41"/>
      <c r="U18" s="41"/>
      <c r="V18" s="41"/>
      <c r="W18" s="41"/>
      <c r="X18" s="33"/>
      <c r="Y18" s="41"/>
      <c r="Z18" s="41"/>
      <c r="AA18" s="41"/>
      <c r="AB18" s="41"/>
      <c r="AC18" s="41"/>
      <c r="AD18" s="41"/>
      <c r="AE18" s="41"/>
      <c r="AF18" s="41"/>
      <c r="AG18" s="41"/>
      <c r="AH18" s="41"/>
      <c r="AI18" s="41"/>
      <c r="AJ18" s="41"/>
      <c r="AK18" s="41"/>
      <c r="AL18" s="41"/>
    </row>
    <row r="19" spans="1:38" ht="12.1" customHeight="1">
      <c r="A19" s="27" t="s">
        <v>128</v>
      </c>
      <c r="B19" s="33"/>
      <c r="C19" s="33"/>
      <c r="D19" s="33"/>
      <c r="E19" s="33"/>
      <c r="F19" s="33"/>
      <c r="G19" s="33"/>
      <c r="H19" s="33"/>
      <c r="I19" s="33"/>
      <c r="J19" s="48"/>
      <c r="K19" s="48"/>
      <c r="L19" s="48"/>
      <c r="M19" s="48">
        <f>SUM(M16:M18)</f>
        <v>7157.9862172776402</v>
      </c>
      <c r="N19" s="48">
        <f>SUM(N16:N18)</f>
        <v>9934.0619386219769</v>
      </c>
      <c r="O19" s="48">
        <f>SUM(O16:O18)</f>
        <v>11653.710002241758</v>
      </c>
      <c r="P19" s="48"/>
      <c r="Q19" s="48"/>
      <c r="R19" s="48"/>
      <c r="S19" s="48"/>
      <c r="T19" s="48"/>
      <c r="U19" s="48"/>
      <c r="V19" s="44"/>
      <c r="W19" s="44"/>
      <c r="X19" s="33"/>
      <c r="Y19" s="44"/>
      <c r="Z19" s="44"/>
      <c r="AA19" s="44"/>
      <c r="AB19" s="44"/>
      <c r="AC19" s="44"/>
      <c r="AD19" s="44"/>
      <c r="AE19" s="44"/>
      <c r="AF19" s="44"/>
      <c r="AG19" s="44"/>
      <c r="AH19" s="44"/>
      <c r="AI19" s="44"/>
      <c r="AJ19" s="44"/>
      <c r="AK19" s="44"/>
      <c r="AL19" s="44"/>
    </row>
    <row r="20" spans="1:38" ht="12.1" customHeight="1">
      <c r="A20" s="30"/>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12.1" customHeight="1">
      <c r="A21" s="34" t="s">
        <v>278</v>
      </c>
      <c r="B21" s="90"/>
      <c r="C21" s="90"/>
      <c r="D21" s="90"/>
      <c r="E21" s="90"/>
      <c r="F21" s="90"/>
      <c r="G21" s="90"/>
      <c r="H21" s="90"/>
      <c r="I21" s="90"/>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8" ht="12.1" customHeight="1">
      <c r="A22" s="29" t="s">
        <v>129</v>
      </c>
      <c r="B22" s="36"/>
      <c r="C22" s="36"/>
      <c r="D22" s="36"/>
      <c r="E22" s="36"/>
      <c r="F22" s="36"/>
      <c r="G22" s="36"/>
      <c r="H22" s="36"/>
      <c r="I22" s="36"/>
      <c r="J22" s="41"/>
      <c r="K22" s="41"/>
      <c r="L22" s="41"/>
      <c r="M22" s="41">
        <f>+M16/$B$3*$B$27</f>
        <v>6316.2412442318746</v>
      </c>
      <c r="N22" s="41">
        <f t="shared" ref="N22:O22" si="3">+N16/$B$3*$B$27</f>
        <v>9424.2464497482197</v>
      </c>
      <c r="O22" s="41">
        <f t="shared" si="3"/>
        <v>11194.295099329309</v>
      </c>
      <c r="P22" s="41"/>
      <c r="Q22" s="41"/>
      <c r="R22" s="41"/>
      <c r="S22" s="41"/>
      <c r="T22" s="41"/>
      <c r="U22" s="41"/>
      <c r="V22" s="33"/>
      <c r="W22" s="33"/>
      <c r="X22" s="33"/>
      <c r="Y22" s="33"/>
      <c r="Z22" s="33"/>
      <c r="AA22" s="33"/>
      <c r="AB22" s="33"/>
      <c r="AC22" s="33"/>
      <c r="AD22" s="33"/>
      <c r="AE22" s="33"/>
      <c r="AF22" s="33"/>
      <c r="AG22" s="33"/>
      <c r="AH22" s="33"/>
      <c r="AI22" s="33"/>
      <c r="AJ22" s="33"/>
      <c r="AK22" s="33"/>
      <c r="AL22" s="33"/>
    </row>
    <row r="23" spans="1:38" ht="12.1" customHeight="1">
      <c r="A23" s="29" t="s">
        <v>130</v>
      </c>
      <c r="B23" s="36"/>
      <c r="C23" s="36"/>
      <c r="D23" s="36"/>
      <c r="E23" s="36"/>
      <c r="F23" s="36"/>
      <c r="G23" s="36"/>
      <c r="H23" s="36"/>
      <c r="I23" s="36"/>
      <c r="J23" s="41"/>
      <c r="K23" s="41"/>
      <c r="L23" s="41"/>
      <c r="M23" s="41">
        <f t="shared" ref="M23:O24" si="4">+M17/$B$3*$B$27</f>
        <v>1083.0126841093258</v>
      </c>
      <c r="N23" s="41">
        <f t="shared" si="4"/>
        <v>1004.6281126218926</v>
      </c>
      <c r="O23" s="41">
        <f t="shared" si="4"/>
        <v>1065.3413266034886</v>
      </c>
      <c r="P23" s="41"/>
      <c r="Q23" s="41"/>
      <c r="R23" s="41"/>
      <c r="S23" s="41"/>
      <c r="T23" s="41"/>
      <c r="U23" s="41"/>
      <c r="V23" s="33"/>
      <c r="W23" s="33"/>
      <c r="X23" s="33"/>
      <c r="Y23" s="33"/>
      <c r="Z23" s="33"/>
      <c r="AA23" s="33"/>
      <c r="AB23" s="33"/>
      <c r="AC23" s="33"/>
      <c r="AD23" s="33"/>
      <c r="AE23" s="33"/>
      <c r="AF23" s="33"/>
      <c r="AG23" s="33"/>
      <c r="AH23" s="33"/>
      <c r="AI23" s="33"/>
      <c r="AJ23" s="33"/>
      <c r="AK23" s="33"/>
      <c r="AL23" s="33"/>
    </row>
    <row r="24" spans="1:38" ht="12.1" customHeight="1">
      <c r="A24" s="29" t="s">
        <v>131</v>
      </c>
      <c r="B24" s="36"/>
      <c r="C24" s="36"/>
      <c r="D24" s="36"/>
      <c r="E24" s="36"/>
      <c r="F24" s="36"/>
      <c r="G24" s="36"/>
      <c r="H24" s="36"/>
      <c r="I24" s="36"/>
      <c r="J24" s="41"/>
      <c r="K24" s="41"/>
      <c r="L24" s="41"/>
      <c r="M24" s="41">
        <f t="shared" si="4"/>
        <v>150.99111336904301</v>
      </c>
      <c r="N24" s="41">
        <f t="shared" si="4"/>
        <v>49.575607746188702</v>
      </c>
      <c r="O24" s="41">
        <f t="shared" si="4"/>
        <v>32.698805109188299</v>
      </c>
      <c r="P24" s="41"/>
      <c r="Q24" s="41"/>
      <c r="R24" s="41"/>
      <c r="S24" s="41"/>
      <c r="T24" s="41"/>
      <c r="U24" s="41"/>
      <c r="V24" s="33"/>
      <c r="W24" s="33"/>
      <c r="X24" s="33"/>
      <c r="Y24" s="33"/>
      <c r="Z24" s="33"/>
      <c r="AA24" s="33"/>
      <c r="AB24" s="33"/>
      <c r="AC24" s="33"/>
      <c r="AD24" s="33"/>
      <c r="AE24" s="33"/>
      <c r="AF24" s="33"/>
      <c r="AG24" s="33"/>
      <c r="AH24" s="33"/>
      <c r="AI24" s="33"/>
      <c r="AJ24" s="33"/>
      <c r="AK24" s="33"/>
      <c r="AL24" s="33"/>
    </row>
    <row r="25" spans="1:38" ht="12.1" customHeight="1">
      <c r="A25" s="27" t="s">
        <v>128</v>
      </c>
      <c r="B25" s="33"/>
      <c r="C25" s="33"/>
      <c r="D25" s="33"/>
      <c r="E25" s="33"/>
      <c r="F25" s="33"/>
      <c r="G25" s="33"/>
      <c r="H25" s="33"/>
      <c r="I25" s="33"/>
      <c r="J25" s="48"/>
      <c r="K25" s="48"/>
      <c r="L25" s="48"/>
      <c r="M25" s="48">
        <f>SUM(M22:M24)</f>
        <v>7550.2450417102436</v>
      </c>
      <c r="N25" s="48">
        <f>SUM(N22:N24)</f>
        <v>10478.450170116301</v>
      </c>
      <c r="O25" s="48">
        <f>SUM(O22:O24)</f>
        <v>12292.335231041985</v>
      </c>
      <c r="P25" s="48"/>
      <c r="Q25" s="48"/>
      <c r="R25" s="48"/>
      <c r="S25" s="48"/>
      <c r="T25" s="48"/>
      <c r="U25" s="48"/>
      <c r="V25" s="33"/>
      <c r="W25" s="33"/>
      <c r="X25" s="33"/>
      <c r="Y25" s="33"/>
      <c r="Z25" s="33"/>
      <c r="AA25" s="33"/>
      <c r="AB25" s="33"/>
      <c r="AC25" s="33"/>
      <c r="AD25" s="33"/>
      <c r="AE25" s="33"/>
      <c r="AF25" s="33"/>
      <c r="AG25" s="33"/>
      <c r="AH25" s="33"/>
      <c r="AI25" s="33"/>
      <c r="AJ25" s="33"/>
      <c r="AK25" s="33"/>
      <c r="AL25" s="33"/>
    </row>
    <row r="26" spans="1:38" ht="12.1" customHeight="1">
      <c r="A26" s="30"/>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row>
    <row r="27" spans="1:38" ht="12.1" customHeight="1">
      <c r="A27" s="34" t="s">
        <v>193</v>
      </c>
      <c r="B27" s="90">
        <f>+Inputs!M28</f>
        <v>256</v>
      </c>
      <c r="C27" s="90"/>
      <c r="D27" s="90"/>
      <c r="E27" s="90"/>
      <c r="F27" s="90"/>
      <c r="G27" s="90"/>
      <c r="H27" s="90"/>
      <c r="I27" s="90"/>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row>
    <row r="28" spans="1:38" ht="12.1" customHeight="1">
      <c r="A28" s="29" t="s">
        <v>129</v>
      </c>
      <c r="B28" s="36"/>
      <c r="C28" s="36"/>
      <c r="D28" s="36"/>
      <c r="E28" s="36"/>
      <c r="F28" s="36"/>
      <c r="G28" s="36"/>
      <c r="H28" s="36"/>
      <c r="I28" s="36"/>
      <c r="J28" s="41"/>
      <c r="K28" s="41"/>
      <c r="L28" s="41"/>
      <c r="M28" s="41"/>
      <c r="N28" s="41"/>
      <c r="O28" s="41"/>
      <c r="P28" s="33">
        <f>+Inputs!P66</f>
        <v>15151.923223385147</v>
      </c>
      <c r="Q28" s="33">
        <f>+Inputs!Q66</f>
        <v>12704.52278355015</v>
      </c>
      <c r="R28" s="33">
        <f>+Inputs!R66</f>
        <v>12817.754097996376</v>
      </c>
      <c r="S28" s="33">
        <f>+Inputs!S66</f>
        <v>13005.416208427849</v>
      </c>
      <c r="T28" s="33">
        <f>+Inputs!T66</f>
        <v>13271.924538960326</v>
      </c>
      <c r="U28" s="33">
        <f>+Inputs!U66</f>
        <v>13512.460412379418</v>
      </c>
      <c r="V28" s="33"/>
      <c r="W28" s="33"/>
      <c r="X28" s="33"/>
      <c r="Y28" s="33"/>
      <c r="Z28" s="33"/>
      <c r="AA28" s="33"/>
      <c r="AB28" s="33"/>
      <c r="AC28" s="33"/>
      <c r="AD28" s="33"/>
      <c r="AE28" s="33"/>
      <c r="AF28" s="33"/>
      <c r="AG28" s="33"/>
      <c r="AH28" s="33"/>
      <c r="AI28" s="33"/>
      <c r="AJ28" s="33"/>
      <c r="AK28" s="33"/>
      <c r="AL28" s="33"/>
    </row>
    <row r="29" spans="1:38" ht="12.1" customHeight="1">
      <c r="A29" s="29" t="s">
        <v>130</v>
      </c>
      <c r="B29" s="36"/>
      <c r="C29" s="36"/>
      <c r="D29" s="36"/>
      <c r="E29" s="36"/>
      <c r="F29" s="36"/>
      <c r="G29" s="36"/>
      <c r="H29" s="36"/>
      <c r="I29" s="36"/>
      <c r="J29" s="41"/>
      <c r="K29" s="41"/>
      <c r="L29" s="41"/>
      <c r="M29" s="41"/>
      <c r="N29" s="41"/>
      <c r="O29" s="41"/>
      <c r="P29" s="33">
        <f>+Inputs!P67</f>
        <v>1139.5417736392174</v>
      </c>
      <c r="Q29" s="33">
        <f>+Inputs!Q67</f>
        <v>1223.7900889081002</v>
      </c>
      <c r="R29" s="33">
        <f>+Inputs!R67</f>
        <v>1282.4168869698681</v>
      </c>
      <c r="S29" s="33">
        <f>+Inputs!S67</f>
        <v>1339.7577679449953</v>
      </c>
      <c r="T29" s="33">
        <f>+Inputs!T67</f>
        <v>1382.7739367305071</v>
      </c>
      <c r="U29" s="33">
        <f>+Inputs!U67</f>
        <v>1454.923112892121</v>
      </c>
      <c r="V29" s="33"/>
      <c r="W29" s="33"/>
      <c r="X29" s="33"/>
      <c r="Y29" s="33"/>
      <c r="Z29" s="33"/>
      <c r="AA29" s="33"/>
      <c r="AB29" s="33"/>
      <c r="AC29" s="33"/>
      <c r="AD29" s="33"/>
      <c r="AE29" s="33"/>
      <c r="AF29" s="33"/>
      <c r="AG29" s="33"/>
      <c r="AH29" s="33"/>
      <c r="AI29" s="33"/>
      <c r="AJ29" s="33"/>
      <c r="AK29" s="33"/>
      <c r="AL29" s="33"/>
    </row>
    <row r="30" spans="1:38" ht="12.1" customHeight="1">
      <c r="A30" s="29" t="s">
        <v>131</v>
      </c>
      <c r="B30" s="36"/>
      <c r="C30" s="36"/>
      <c r="D30" s="36"/>
      <c r="E30" s="36"/>
      <c r="F30" s="36"/>
      <c r="G30" s="36"/>
      <c r="H30" s="36"/>
      <c r="I30" s="36"/>
      <c r="J30" s="41"/>
      <c r="K30" s="41"/>
      <c r="L30" s="41"/>
      <c r="M30" s="41"/>
      <c r="N30" s="41"/>
      <c r="O30" s="41"/>
      <c r="P30" s="33">
        <f>+Inputs!P68</f>
        <v>578.56743176510656</v>
      </c>
      <c r="Q30" s="33">
        <f>+Inputs!Q68</f>
        <v>126.78573621678636</v>
      </c>
      <c r="R30" s="33">
        <f>+Inputs!R68</f>
        <v>124.55790765920669</v>
      </c>
      <c r="S30" s="33">
        <f>+Inputs!S68</f>
        <v>123.74383730304753</v>
      </c>
      <c r="T30" s="33">
        <f>+Inputs!T68</f>
        <v>113.63678954164691</v>
      </c>
      <c r="U30" s="33">
        <f>+Inputs!U68</f>
        <v>112.89409609509308</v>
      </c>
      <c r="V30" s="33"/>
      <c r="W30" s="33"/>
      <c r="X30" s="33"/>
      <c r="Y30" s="33"/>
      <c r="Z30" s="33"/>
      <c r="AA30" s="33"/>
      <c r="AB30" s="33"/>
      <c r="AC30" s="33"/>
      <c r="AD30" s="33"/>
      <c r="AE30" s="33"/>
      <c r="AF30" s="33"/>
      <c r="AG30" s="33"/>
      <c r="AH30" s="33"/>
      <c r="AI30" s="33"/>
      <c r="AJ30" s="33"/>
      <c r="AK30" s="33"/>
      <c r="AL30" s="33"/>
    </row>
    <row r="31" spans="1:38" ht="12.1" customHeight="1">
      <c r="A31" s="27" t="s">
        <v>128</v>
      </c>
      <c r="B31" s="33"/>
      <c r="C31" s="33"/>
      <c r="D31" s="33"/>
      <c r="E31" s="33"/>
      <c r="F31" s="33"/>
      <c r="G31" s="33"/>
      <c r="H31" s="33"/>
      <c r="I31" s="33"/>
      <c r="J31" s="48"/>
      <c r="K31" s="48"/>
      <c r="L31" s="48"/>
      <c r="M31" s="48"/>
      <c r="N31" s="48"/>
      <c r="O31" s="48"/>
      <c r="P31" s="48">
        <f t="shared" ref="P31:T31" si="5">SUM(P28:P30)</f>
        <v>16870.032428789473</v>
      </c>
      <c r="Q31" s="48">
        <f t="shared" si="5"/>
        <v>14055.098608675036</v>
      </c>
      <c r="R31" s="48">
        <f t="shared" si="5"/>
        <v>14224.728892625451</v>
      </c>
      <c r="S31" s="48">
        <f t="shared" si="5"/>
        <v>14468.917813675891</v>
      </c>
      <c r="T31" s="48">
        <f t="shared" si="5"/>
        <v>14768.335265232479</v>
      </c>
      <c r="U31" s="48">
        <f>SUM(U28:U30)</f>
        <v>15080.277621366633</v>
      </c>
      <c r="V31" s="33"/>
      <c r="W31" s="33"/>
      <c r="X31" s="33"/>
      <c r="Y31" s="33"/>
      <c r="Z31" s="33"/>
      <c r="AA31" s="33"/>
      <c r="AB31" s="33"/>
      <c r="AC31" s="33"/>
      <c r="AD31" s="33"/>
      <c r="AE31" s="33"/>
      <c r="AF31" s="33"/>
      <c r="AG31" s="33"/>
      <c r="AH31" s="33"/>
      <c r="AI31" s="33"/>
      <c r="AJ31" s="33"/>
      <c r="AK31" s="33"/>
      <c r="AL31" s="33"/>
    </row>
    <row r="32" spans="1:38" ht="12.1" customHeight="1">
      <c r="A32" s="30"/>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2.1" customHeight="1">
      <c r="A33" s="34" t="s">
        <v>192</v>
      </c>
      <c r="B33" s="90"/>
      <c r="C33" s="90"/>
      <c r="D33" s="90"/>
      <c r="E33" s="90"/>
      <c r="F33" s="90"/>
      <c r="G33" s="90"/>
      <c r="H33" s="90"/>
      <c r="I33" s="90"/>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2.1" customHeight="1">
      <c r="A34" s="29" t="s">
        <v>129</v>
      </c>
      <c r="B34" s="36"/>
      <c r="C34" s="36"/>
      <c r="D34" s="36"/>
      <c r="E34" s="36"/>
      <c r="F34" s="36"/>
      <c r="G34" s="36"/>
      <c r="H34" s="36"/>
      <c r="I34" s="36"/>
      <c r="J34" s="41"/>
      <c r="K34" s="41"/>
      <c r="L34" s="41"/>
      <c r="M34" s="41"/>
      <c r="N34" s="41"/>
      <c r="O34" s="41"/>
      <c r="P34" s="33">
        <f>+Inputs!P72</f>
        <v>-1807.7200761879128</v>
      </c>
      <c r="Q34" s="33">
        <f>+Inputs!Q72</f>
        <v>2184.9667933615656</v>
      </c>
      <c r="R34" s="33">
        <f>+Inputs!R72</f>
        <v>2315.1847821352867</v>
      </c>
      <c r="S34" s="33">
        <f>+Inputs!S72</f>
        <v>3368.6062873210226</v>
      </c>
      <c r="T34" s="33">
        <f>+Inputs!T72</f>
        <v>4381.0956119438188</v>
      </c>
      <c r="U34" s="33">
        <f>+Inputs!U72</f>
        <v>3491.3586998381238</v>
      </c>
      <c r="V34" s="41"/>
      <c r="W34" s="41"/>
      <c r="X34" s="33"/>
      <c r="Y34" s="41"/>
      <c r="Z34" s="41"/>
      <c r="AA34" s="41"/>
      <c r="AB34" s="41"/>
      <c r="AC34" s="41"/>
      <c r="AD34" s="41"/>
      <c r="AE34" s="41"/>
      <c r="AF34" s="41"/>
      <c r="AG34" s="41"/>
      <c r="AH34" s="41"/>
      <c r="AI34" s="41"/>
      <c r="AJ34" s="41"/>
      <c r="AK34" s="41"/>
      <c r="AL34" s="41"/>
    </row>
    <row r="35" spans="1:38" ht="12.1" customHeight="1">
      <c r="A35" s="29" t="s">
        <v>130</v>
      </c>
      <c r="B35" s="36"/>
      <c r="C35" s="36"/>
      <c r="D35" s="36"/>
      <c r="E35" s="36"/>
      <c r="F35" s="36"/>
      <c r="G35" s="36"/>
      <c r="H35" s="36"/>
      <c r="I35" s="36"/>
      <c r="J35" s="41"/>
      <c r="K35" s="41"/>
      <c r="L35" s="41"/>
      <c r="M35" s="41"/>
      <c r="N35" s="41"/>
      <c r="O35" s="41"/>
      <c r="P35" s="33">
        <f>+Inputs!P73</f>
        <v>130.42666735059893</v>
      </c>
      <c r="Q35" s="33">
        <f>+Inputs!Q73</f>
        <v>93.703404492419381</v>
      </c>
      <c r="R35" s="33">
        <f>+Inputs!R73</f>
        <v>278.13241157549692</v>
      </c>
      <c r="S35" s="33">
        <f>+Inputs!S73</f>
        <v>183.82067457723653</v>
      </c>
      <c r="T35" s="33">
        <f>+Inputs!T73</f>
        <v>109.99895209458776</v>
      </c>
      <c r="U35" s="33">
        <f>+Inputs!U73</f>
        <v>27.947283399378126</v>
      </c>
      <c r="V35" s="41"/>
      <c r="W35" s="41"/>
      <c r="X35" s="33"/>
      <c r="Y35" s="41"/>
      <c r="Z35" s="41"/>
      <c r="AA35" s="41"/>
      <c r="AB35" s="41"/>
      <c r="AC35" s="41"/>
      <c r="AD35" s="41"/>
      <c r="AE35" s="41"/>
      <c r="AF35" s="41"/>
      <c r="AG35" s="41"/>
      <c r="AH35" s="41"/>
      <c r="AI35" s="41"/>
      <c r="AJ35" s="41"/>
      <c r="AK35" s="41"/>
      <c r="AL35" s="41"/>
    </row>
    <row r="36" spans="1:38" ht="12.1" customHeight="1">
      <c r="A36" s="29" t="s">
        <v>131</v>
      </c>
      <c r="B36" s="36"/>
      <c r="C36" s="36"/>
      <c r="D36" s="36"/>
      <c r="E36" s="36"/>
      <c r="F36" s="36"/>
      <c r="G36" s="36"/>
      <c r="H36" s="36"/>
      <c r="I36" s="36"/>
      <c r="J36" s="41"/>
      <c r="K36" s="41"/>
      <c r="L36" s="41"/>
      <c r="M36" s="41"/>
      <c r="N36" s="41"/>
      <c r="O36" s="41"/>
      <c r="P36" s="33">
        <f>+Inputs!P74</f>
        <v>0</v>
      </c>
      <c r="Q36" s="33">
        <f>+Inputs!Q74</f>
        <v>0</v>
      </c>
      <c r="R36" s="33">
        <f>+Inputs!R74</f>
        <v>0</v>
      </c>
      <c r="S36" s="33">
        <f>+Inputs!S74</f>
        <v>0</v>
      </c>
      <c r="T36" s="33">
        <f>+Inputs!T74</f>
        <v>0</v>
      </c>
      <c r="U36" s="33">
        <f>+Inputs!U74</f>
        <v>0</v>
      </c>
      <c r="V36" s="41"/>
      <c r="W36" s="41"/>
      <c r="X36" s="33"/>
      <c r="Y36" s="41"/>
      <c r="Z36" s="41"/>
      <c r="AA36" s="41"/>
      <c r="AB36" s="41"/>
      <c r="AC36" s="41"/>
      <c r="AD36" s="41"/>
      <c r="AE36" s="41"/>
      <c r="AF36" s="41"/>
      <c r="AG36" s="41"/>
      <c r="AH36" s="41"/>
      <c r="AI36" s="41"/>
      <c r="AJ36" s="41"/>
      <c r="AK36" s="41"/>
      <c r="AL36" s="41"/>
    </row>
    <row r="37" spans="1:38" ht="12.1" customHeight="1">
      <c r="A37" s="27" t="s">
        <v>128</v>
      </c>
      <c r="B37" s="33"/>
      <c r="C37" s="33"/>
      <c r="D37" s="33"/>
      <c r="E37" s="33"/>
      <c r="F37" s="33"/>
      <c r="G37" s="33"/>
      <c r="H37" s="33"/>
      <c r="I37" s="33"/>
      <c r="J37" s="48"/>
      <c r="K37" s="48"/>
      <c r="L37" s="48"/>
      <c r="M37" s="48"/>
      <c r="N37" s="48"/>
      <c r="O37" s="48"/>
      <c r="P37" s="48">
        <f t="shared" ref="P37:T37" si="6">SUM(P34:P36)</f>
        <v>-1677.2934088373138</v>
      </c>
      <c r="Q37" s="48">
        <f t="shared" si="6"/>
        <v>2278.670197853985</v>
      </c>
      <c r="R37" s="48">
        <f t="shared" si="6"/>
        <v>2593.3171937107836</v>
      </c>
      <c r="S37" s="48">
        <f t="shared" si="6"/>
        <v>3552.4269618982589</v>
      </c>
      <c r="T37" s="48">
        <f t="shared" si="6"/>
        <v>4491.0945640384061</v>
      </c>
      <c r="U37" s="48">
        <f>SUM(U34:U36)</f>
        <v>3519.305983237502</v>
      </c>
      <c r="V37" s="44"/>
      <c r="W37" s="44"/>
      <c r="X37" s="33"/>
      <c r="Y37" s="44"/>
      <c r="Z37" s="44"/>
      <c r="AA37" s="44"/>
      <c r="AB37" s="44"/>
      <c r="AC37" s="44"/>
      <c r="AD37" s="44"/>
      <c r="AE37" s="44"/>
      <c r="AF37" s="44"/>
      <c r="AG37" s="44"/>
      <c r="AH37" s="44"/>
      <c r="AI37" s="44"/>
      <c r="AJ37" s="44"/>
      <c r="AK37" s="44"/>
      <c r="AL37" s="44"/>
    </row>
    <row r="38" spans="1:38" ht="12.1" customHeight="1">
      <c r="A38" s="3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2.1" customHeight="1">
      <c r="A39" s="34" t="s">
        <v>194</v>
      </c>
      <c r="B39" s="90"/>
      <c r="C39" s="90"/>
      <c r="D39" s="90"/>
      <c r="E39" s="90"/>
      <c r="F39" s="90"/>
      <c r="G39" s="90"/>
      <c r="H39" s="90"/>
      <c r="I39" s="90"/>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2.1" customHeight="1">
      <c r="A40" s="29" t="s">
        <v>129</v>
      </c>
      <c r="B40" s="36"/>
      <c r="C40" s="36"/>
      <c r="D40" s="36"/>
      <c r="E40" s="36"/>
      <c r="F40" s="36"/>
      <c r="G40" s="36"/>
      <c r="H40" s="36"/>
      <c r="I40" s="36"/>
      <c r="J40" s="41"/>
      <c r="K40" s="41"/>
      <c r="L40" s="41"/>
      <c r="M40" s="41"/>
      <c r="N40" s="41"/>
      <c r="O40" s="41"/>
      <c r="P40" s="33">
        <f t="shared" ref="P40:U42" si="7">+P28+P34</f>
        <v>13344.203147197235</v>
      </c>
      <c r="Q40" s="33">
        <f t="shared" si="7"/>
        <v>14889.489576911716</v>
      </c>
      <c r="R40" s="33">
        <f t="shared" si="7"/>
        <v>15132.938880131664</v>
      </c>
      <c r="S40" s="33">
        <f t="shared" si="7"/>
        <v>16374.022495748872</v>
      </c>
      <c r="T40" s="33">
        <f t="shared" si="7"/>
        <v>17653.020150904144</v>
      </c>
      <c r="U40" s="33">
        <f t="shared" si="7"/>
        <v>17003.819112217541</v>
      </c>
      <c r="V40" s="33"/>
      <c r="W40" s="33"/>
      <c r="X40" s="33"/>
      <c r="Y40" s="33"/>
      <c r="Z40" s="33"/>
      <c r="AA40" s="33"/>
      <c r="AB40" s="33"/>
      <c r="AC40" s="33"/>
      <c r="AD40" s="33"/>
      <c r="AE40" s="33"/>
      <c r="AF40" s="33"/>
      <c r="AG40" s="33"/>
      <c r="AH40" s="33"/>
      <c r="AI40" s="33"/>
      <c r="AJ40" s="33"/>
      <c r="AK40" s="33"/>
      <c r="AL40" s="33"/>
    </row>
    <row r="41" spans="1:38" ht="12.1" customHeight="1">
      <c r="A41" s="29" t="s">
        <v>130</v>
      </c>
      <c r="B41" s="36"/>
      <c r="C41" s="36"/>
      <c r="D41" s="36"/>
      <c r="E41" s="36"/>
      <c r="F41" s="36"/>
      <c r="G41" s="36"/>
      <c r="H41" s="36"/>
      <c r="I41" s="36"/>
      <c r="J41" s="41"/>
      <c r="K41" s="41"/>
      <c r="L41" s="41"/>
      <c r="M41" s="41"/>
      <c r="N41" s="41"/>
      <c r="O41" s="41"/>
      <c r="P41" s="33">
        <f t="shared" si="7"/>
        <v>1269.9684409898164</v>
      </c>
      <c r="Q41" s="33">
        <f t="shared" si="7"/>
        <v>1317.4934934005196</v>
      </c>
      <c r="R41" s="33">
        <f t="shared" si="7"/>
        <v>1560.549298545365</v>
      </c>
      <c r="S41" s="33">
        <f t="shared" si="7"/>
        <v>1523.5784425222319</v>
      </c>
      <c r="T41" s="33">
        <f t="shared" si="7"/>
        <v>1492.7728888250949</v>
      </c>
      <c r="U41" s="33">
        <f t="shared" si="7"/>
        <v>1482.8703962914992</v>
      </c>
      <c r="V41" s="33"/>
      <c r="W41" s="33"/>
      <c r="X41" s="33"/>
      <c r="Y41" s="33"/>
      <c r="Z41" s="33"/>
      <c r="AA41" s="33"/>
      <c r="AB41" s="33"/>
      <c r="AC41" s="33"/>
      <c r="AD41" s="33"/>
      <c r="AE41" s="33"/>
      <c r="AF41" s="33"/>
      <c r="AG41" s="33"/>
      <c r="AH41" s="33"/>
      <c r="AI41" s="33"/>
      <c r="AJ41" s="33"/>
      <c r="AK41" s="33"/>
      <c r="AL41" s="33"/>
    </row>
    <row r="42" spans="1:38" ht="12.1" customHeight="1">
      <c r="A42" s="29" t="s">
        <v>131</v>
      </c>
      <c r="B42" s="36"/>
      <c r="C42" s="36"/>
      <c r="D42" s="36"/>
      <c r="E42" s="36"/>
      <c r="F42" s="36"/>
      <c r="G42" s="36"/>
      <c r="H42" s="36"/>
      <c r="I42" s="36"/>
      <c r="J42" s="41"/>
      <c r="K42" s="41"/>
      <c r="L42" s="41"/>
      <c r="M42" s="41"/>
      <c r="N42" s="41"/>
      <c r="O42" s="41"/>
      <c r="P42" s="33">
        <f t="shared" si="7"/>
        <v>578.56743176510656</v>
      </c>
      <c r="Q42" s="33">
        <f t="shared" si="7"/>
        <v>126.78573621678636</v>
      </c>
      <c r="R42" s="33">
        <f t="shared" si="7"/>
        <v>124.55790765920669</v>
      </c>
      <c r="S42" s="33">
        <f t="shared" si="7"/>
        <v>123.74383730304753</v>
      </c>
      <c r="T42" s="33">
        <f t="shared" si="7"/>
        <v>113.63678954164691</v>
      </c>
      <c r="U42" s="33">
        <f t="shared" si="7"/>
        <v>112.89409609509308</v>
      </c>
      <c r="V42" s="33"/>
      <c r="W42" s="33"/>
      <c r="X42" s="33"/>
      <c r="Y42" s="33"/>
      <c r="Z42" s="33"/>
      <c r="AA42" s="33"/>
      <c r="AB42" s="33"/>
      <c r="AC42" s="33"/>
      <c r="AD42" s="33"/>
      <c r="AE42" s="33"/>
      <c r="AF42" s="33"/>
      <c r="AG42" s="33"/>
      <c r="AH42" s="33"/>
      <c r="AI42" s="33"/>
      <c r="AJ42" s="33"/>
      <c r="AK42" s="33"/>
      <c r="AL42" s="33"/>
    </row>
    <row r="43" spans="1:38" ht="12.1" customHeight="1">
      <c r="A43" s="27" t="s">
        <v>128</v>
      </c>
      <c r="B43" s="33"/>
      <c r="C43" s="33"/>
      <c r="D43" s="33"/>
      <c r="E43" s="33"/>
      <c r="F43" s="33"/>
      <c r="G43" s="33"/>
      <c r="H43" s="33"/>
      <c r="I43" s="33"/>
      <c r="J43" s="48"/>
      <c r="K43" s="48"/>
      <c r="L43" s="48"/>
      <c r="M43" s="48"/>
      <c r="N43" s="48"/>
      <c r="O43" s="48"/>
      <c r="P43" s="48">
        <f t="shared" ref="P43:U43" si="8">SUM(P40:P42)</f>
        <v>15192.739019952158</v>
      </c>
      <c r="Q43" s="48">
        <f t="shared" si="8"/>
        <v>16333.768806529022</v>
      </c>
      <c r="R43" s="48">
        <f t="shared" si="8"/>
        <v>16818.046086336235</v>
      </c>
      <c r="S43" s="48">
        <f t="shared" si="8"/>
        <v>18021.344775574154</v>
      </c>
      <c r="T43" s="48">
        <f t="shared" si="8"/>
        <v>19259.429829270885</v>
      </c>
      <c r="U43" s="48">
        <f t="shared" si="8"/>
        <v>18599.583604604133</v>
      </c>
      <c r="V43" s="33"/>
      <c r="W43" s="33"/>
      <c r="X43" s="33"/>
      <c r="Y43" s="33"/>
      <c r="Z43" s="33"/>
      <c r="AA43" s="33"/>
      <c r="AB43" s="33"/>
      <c r="AC43" s="33"/>
      <c r="AD43" s="33"/>
      <c r="AE43" s="33"/>
      <c r="AF43" s="33"/>
      <c r="AG43" s="33"/>
      <c r="AH43" s="33"/>
      <c r="AI43" s="33"/>
      <c r="AJ43" s="33"/>
      <c r="AK43" s="33"/>
      <c r="AL43" s="33"/>
    </row>
    <row r="44" spans="1:38" ht="12.1" customHeight="1">
      <c r="A44" s="30"/>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2.1" customHeight="1">
      <c r="A45" s="34" t="s">
        <v>274</v>
      </c>
      <c r="B45" s="90">
        <f>+Inputs!S28</f>
        <v>293.10000000000002</v>
      </c>
      <c r="C45" s="90"/>
      <c r="D45" s="90"/>
      <c r="E45" s="90"/>
      <c r="F45" s="90"/>
      <c r="G45" s="90"/>
      <c r="H45" s="90"/>
      <c r="I45" s="90"/>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8" ht="12.1" customHeight="1">
      <c r="A46" s="29" t="s">
        <v>129</v>
      </c>
      <c r="B46" s="36"/>
      <c r="C46" s="36"/>
      <c r="D46" s="36"/>
      <c r="E46" s="36"/>
      <c r="F46" s="36"/>
      <c r="G46" s="36"/>
      <c r="H46" s="36"/>
      <c r="I46" s="36"/>
      <c r="J46" s="41"/>
      <c r="K46" s="41"/>
      <c r="L46" s="41"/>
      <c r="M46" s="41">
        <f>+M16*$B$45/$B$3</f>
        <v>7231.6027682982922</v>
      </c>
      <c r="N46" s="41">
        <f t="shared" ref="N46" si="9">+N16*$B$45/$B$3</f>
        <v>10790.025915707825</v>
      </c>
      <c r="O46" s="41">
        <f>+O16*$B$45/$B$3</f>
        <v>12816.593334427425</v>
      </c>
      <c r="P46" s="41">
        <f t="shared" ref="P46:U48" si="10">P40*$B$45/$B$27</f>
        <v>15278.070087669961</v>
      </c>
      <c r="Q46" s="41">
        <f t="shared" si="10"/>
        <v>17047.302324190721</v>
      </c>
      <c r="R46" s="41">
        <f t="shared" si="10"/>
        <v>17326.032756900746</v>
      </c>
      <c r="S46" s="41">
        <f t="shared" si="10"/>
        <v>18746.976537124978</v>
      </c>
      <c r="T46" s="41">
        <f t="shared" si="10"/>
        <v>20211.328930585958</v>
      </c>
      <c r="U46" s="41">
        <f t="shared" si="10"/>
        <v>19468.044460120946</v>
      </c>
      <c r="V46" s="41"/>
      <c r="W46" s="41"/>
      <c r="X46" s="33"/>
      <c r="Y46" s="41"/>
      <c r="Z46" s="41"/>
      <c r="AA46" s="41"/>
      <c r="AB46" s="41"/>
      <c r="AC46" s="41"/>
      <c r="AD46" s="41"/>
      <c r="AE46" s="41"/>
      <c r="AF46" s="41"/>
      <c r="AG46" s="41"/>
      <c r="AH46" s="41"/>
      <c r="AI46" s="41"/>
      <c r="AJ46" s="41"/>
      <c r="AK46" s="41"/>
      <c r="AL46" s="41"/>
    </row>
    <row r="47" spans="1:38" ht="12.1" customHeight="1">
      <c r="A47" s="29" t="s">
        <v>130</v>
      </c>
      <c r="B47" s="36"/>
      <c r="C47" s="36"/>
      <c r="D47" s="36"/>
      <c r="E47" s="36"/>
      <c r="F47" s="36"/>
      <c r="G47" s="36"/>
      <c r="H47" s="36"/>
      <c r="I47" s="36"/>
      <c r="J47" s="41"/>
      <c r="K47" s="41"/>
      <c r="L47" s="41"/>
      <c r="M47" s="41">
        <f t="shared" ref="M47:O48" si="11">+M17*$B$45/$B$3</f>
        <v>1239.9649129392319</v>
      </c>
      <c r="N47" s="41">
        <f t="shared" si="11"/>
        <v>1150.2207023807687</v>
      </c>
      <c r="O47" s="41">
        <f t="shared" si="11"/>
        <v>1219.7325891698536</v>
      </c>
      <c r="P47" s="41">
        <f t="shared" si="10"/>
        <v>1454.0146486488875</v>
      </c>
      <c r="Q47" s="41">
        <f t="shared" si="10"/>
        <v>1508.4271207644231</v>
      </c>
      <c r="R47" s="41">
        <f t="shared" si="10"/>
        <v>1786.7070289204942</v>
      </c>
      <c r="S47" s="41">
        <f t="shared" si="10"/>
        <v>1744.3782871221335</v>
      </c>
      <c r="T47" s="41">
        <f t="shared" si="10"/>
        <v>1709.1083348227944</v>
      </c>
      <c r="U47" s="41">
        <f t="shared" si="10"/>
        <v>1697.7707545040564</v>
      </c>
      <c r="V47" s="41"/>
      <c r="W47" s="41"/>
      <c r="X47" s="33"/>
      <c r="Y47" s="41"/>
      <c r="Z47" s="41"/>
      <c r="AA47" s="41"/>
      <c r="AB47" s="41"/>
      <c r="AC47" s="41"/>
      <c r="AD47" s="41"/>
      <c r="AE47" s="41"/>
      <c r="AF47" s="41"/>
      <c r="AG47" s="41"/>
      <c r="AH47" s="41"/>
      <c r="AI47" s="41"/>
      <c r="AJ47" s="41"/>
      <c r="AK47" s="41"/>
      <c r="AL47" s="41"/>
    </row>
    <row r="48" spans="1:38" ht="12.1" customHeight="1">
      <c r="A48" s="29" t="s">
        <v>131</v>
      </c>
      <c r="B48" s="36"/>
      <c r="C48" s="36"/>
      <c r="D48" s="36"/>
      <c r="E48" s="36"/>
      <c r="F48" s="36"/>
      <c r="G48" s="36"/>
      <c r="H48" s="36"/>
      <c r="I48" s="36"/>
      <c r="J48" s="41"/>
      <c r="K48" s="41"/>
      <c r="L48" s="41"/>
      <c r="M48" s="41">
        <f t="shared" si="11"/>
        <v>172.8730286268223</v>
      </c>
      <c r="N48" s="41">
        <f t="shared" si="11"/>
        <v>56.760197775030903</v>
      </c>
      <c r="O48" s="41">
        <f t="shared" si="11"/>
        <v>37.437577255871453</v>
      </c>
      <c r="P48" s="41">
        <f t="shared" si="10"/>
        <v>662.41450879044044</v>
      </c>
      <c r="Q48" s="41">
        <f t="shared" si="10"/>
        <v>145.15976283257845</v>
      </c>
      <c r="R48" s="41">
        <f t="shared" si="10"/>
        <v>142.60907318325579</v>
      </c>
      <c r="S48" s="41">
        <f t="shared" si="10"/>
        <v>141.67702622470014</v>
      </c>
      <c r="T48" s="41">
        <f t="shared" si="10"/>
        <v>130.10524615100277</v>
      </c>
      <c r="U48" s="41">
        <f t="shared" si="10"/>
        <v>129.25492017762414</v>
      </c>
      <c r="V48" s="41"/>
      <c r="W48" s="41"/>
      <c r="X48" s="33"/>
      <c r="Y48" s="41"/>
      <c r="Z48" s="41"/>
      <c r="AA48" s="41"/>
      <c r="AB48" s="41"/>
      <c r="AC48" s="41"/>
      <c r="AD48" s="41"/>
      <c r="AE48" s="41"/>
      <c r="AF48" s="41"/>
      <c r="AG48" s="41"/>
      <c r="AH48" s="41"/>
      <c r="AI48" s="41"/>
      <c r="AJ48" s="41"/>
      <c r="AK48" s="41"/>
      <c r="AL48" s="41"/>
    </row>
    <row r="49" spans="1:38" ht="12.1" customHeight="1">
      <c r="A49" s="27" t="s">
        <v>128</v>
      </c>
      <c r="B49" s="33"/>
      <c r="C49" s="33"/>
      <c r="D49" s="33"/>
      <c r="E49" s="33"/>
      <c r="F49" s="33"/>
      <c r="G49" s="33"/>
      <c r="H49" s="33"/>
      <c r="I49" s="33"/>
      <c r="J49" s="48"/>
      <c r="K49" s="48"/>
      <c r="L49" s="48"/>
      <c r="M49" s="48">
        <f t="shared" ref="M49:O49" si="12">SUM(M46:M48)</f>
        <v>8644.440709864346</v>
      </c>
      <c r="N49" s="48">
        <f t="shared" si="12"/>
        <v>11997.006815863624</v>
      </c>
      <c r="O49" s="48">
        <f t="shared" si="12"/>
        <v>14073.763500853149</v>
      </c>
      <c r="P49" s="48">
        <f t="shared" ref="P49:U49" si="13">SUM(P46:P48)</f>
        <v>17394.499245109288</v>
      </c>
      <c r="Q49" s="48">
        <f t="shared" si="13"/>
        <v>18700.889207787724</v>
      </c>
      <c r="R49" s="48">
        <f t="shared" si="13"/>
        <v>19255.348859004494</v>
      </c>
      <c r="S49" s="48">
        <f t="shared" si="13"/>
        <v>20633.031850471813</v>
      </c>
      <c r="T49" s="48">
        <f t="shared" si="13"/>
        <v>22050.542511559757</v>
      </c>
      <c r="U49" s="48">
        <f t="shared" si="13"/>
        <v>21295.070134802627</v>
      </c>
      <c r="V49" s="44"/>
      <c r="W49" s="44"/>
      <c r="X49" s="33"/>
      <c r="Y49" s="44"/>
      <c r="Z49" s="44"/>
      <c r="AA49" s="44"/>
      <c r="AB49" s="44"/>
      <c r="AC49" s="44"/>
      <c r="AD49" s="44"/>
      <c r="AE49" s="44"/>
      <c r="AF49" s="44"/>
      <c r="AG49" s="44"/>
      <c r="AH49" s="44"/>
      <c r="AI49" s="44"/>
      <c r="AJ49" s="44"/>
      <c r="AK49" s="44"/>
      <c r="AL49" s="44"/>
    </row>
    <row r="50" spans="1:38" ht="12.1" customHeight="1">
      <c r="A50" s="3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row>
    <row r="51" spans="1:38" ht="12.1" customHeight="1">
      <c r="A51" s="34" t="s">
        <v>195</v>
      </c>
      <c r="B51" s="33"/>
      <c r="C51" s="33"/>
      <c r="D51" s="33"/>
      <c r="E51" s="33"/>
      <c r="F51" s="33"/>
      <c r="G51" s="33"/>
      <c r="H51" s="33"/>
      <c r="I51" s="33"/>
      <c r="J51" s="33"/>
      <c r="K51" s="33"/>
      <c r="L51" s="33"/>
      <c r="M51" s="33">
        <f>+Inputs!M79</f>
        <v>10917.523716125379</v>
      </c>
      <c r="N51" s="33">
        <f>+Inputs!N79</f>
        <v>11709.4592430024</v>
      </c>
      <c r="O51" s="33">
        <f>+Inputs!O79</f>
        <v>11734.827055427017</v>
      </c>
      <c r="P51" s="33">
        <f>+Inputs!P79</f>
        <v>12250.460939743103</v>
      </c>
      <c r="Q51" s="33">
        <f>+Inputs!Q79</f>
        <v>14797.29578691918</v>
      </c>
      <c r="R51" s="33">
        <f>+Inputs!R79</f>
        <v>14839.940155368362</v>
      </c>
      <c r="S51" s="33">
        <f>+Inputs!S79</f>
        <v>15726.61977482088</v>
      </c>
      <c r="T51" s="33">
        <f>+Inputs!T79</f>
        <v>19356.859095632848</v>
      </c>
      <c r="U51" s="33">
        <f>+Inputs!U79</f>
        <v>21909.235922645854</v>
      </c>
      <c r="V51" s="33"/>
      <c r="W51" s="33"/>
      <c r="X51" s="33"/>
      <c r="Y51" s="33"/>
      <c r="Z51" s="33"/>
      <c r="AA51" s="33"/>
      <c r="AB51" s="33"/>
      <c r="AC51" s="33"/>
      <c r="AD51" s="33"/>
      <c r="AE51" s="33"/>
      <c r="AF51" s="33"/>
      <c r="AG51" s="33"/>
      <c r="AH51" s="33"/>
      <c r="AI51" s="33"/>
      <c r="AJ51" s="33"/>
      <c r="AK51" s="33"/>
      <c r="AL51" s="33"/>
    </row>
    <row r="52" spans="1:38" ht="12.1" customHeight="1">
      <c r="A52" s="30" t="s">
        <v>141</v>
      </c>
      <c r="B52" s="33"/>
      <c r="C52" s="33"/>
      <c r="D52" s="33"/>
      <c r="E52" s="33"/>
      <c r="F52" s="33"/>
      <c r="G52" s="33"/>
      <c r="H52" s="33"/>
      <c r="I52" s="33"/>
      <c r="J52" s="33"/>
      <c r="K52" s="33"/>
      <c r="L52" s="33"/>
      <c r="M52" s="33">
        <f t="shared" ref="M52:N52" si="14">+M51-M25</f>
        <v>3367.2786744151354</v>
      </c>
      <c r="N52" s="33">
        <f t="shared" si="14"/>
        <v>1231.0090728860996</v>
      </c>
      <c r="O52" s="33">
        <f>+O51-O25</f>
        <v>-557.50817561496842</v>
      </c>
      <c r="P52" s="33">
        <f t="shared" ref="P52:U52" si="15">+P51-P43</f>
        <v>-2942.2780802090547</v>
      </c>
      <c r="Q52" s="33">
        <f t="shared" si="15"/>
        <v>-1536.4730196098426</v>
      </c>
      <c r="R52" s="33">
        <f t="shared" si="15"/>
        <v>-1978.1059309678731</v>
      </c>
      <c r="S52" s="33">
        <f t="shared" si="15"/>
        <v>-2294.7250007532748</v>
      </c>
      <c r="T52" s="33">
        <f t="shared" si="15"/>
        <v>97.429266361963528</v>
      </c>
      <c r="U52" s="33">
        <f t="shared" si="15"/>
        <v>3309.6523180417207</v>
      </c>
      <c r="V52" s="33"/>
      <c r="W52" s="33"/>
      <c r="X52" s="33"/>
      <c r="Y52" s="33"/>
      <c r="Z52" s="33"/>
      <c r="AA52" s="33"/>
      <c r="AB52" s="33"/>
      <c r="AC52" s="33"/>
      <c r="AD52" s="33"/>
      <c r="AE52" s="33"/>
      <c r="AF52" s="33"/>
      <c r="AG52" s="33"/>
      <c r="AH52" s="33"/>
      <c r="AI52" s="33"/>
      <c r="AJ52" s="33"/>
      <c r="AK52" s="33"/>
      <c r="AL52" s="33"/>
    </row>
    <row r="53" spans="1:38" ht="12.1" customHeight="1">
      <c r="A53" s="34" t="s">
        <v>140</v>
      </c>
      <c r="B53" s="33"/>
      <c r="C53" s="33"/>
      <c r="D53" s="33"/>
      <c r="E53" s="33"/>
      <c r="F53" s="33"/>
      <c r="G53" s="33"/>
      <c r="H53" s="33"/>
      <c r="I53" s="33"/>
      <c r="J53" s="33"/>
      <c r="K53" s="33"/>
      <c r="L53" s="33"/>
      <c r="M53" s="33">
        <f t="shared" ref="M53:O53" si="16">+M51*$B$45/$B$27</f>
        <v>12499.711723423237</v>
      </c>
      <c r="N53" s="33">
        <f t="shared" si="16"/>
        <v>13406.41603173439</v>
      </c>
      <c r="O53" s="33">
        <f t="shared" si="16"/>
        <v>13435.46019510023</v>
      </c>
      <c r="P53" s="33">
        <f t="shared" ref="P53:U53" si="17">+P51*$B$45/$B$27</f>
        <v>14025.820708744937</v>
      </c>
      <c r="Q53" s="33">
        <f t="shared" si="17"/>
        <v>16941.747637289111</v>
      </c>
      <c r="R53" s="33">
        <f t="shared" si="17"/>
        <v>16990.572107572138</v>
      </c>
      <c r="S53" s="33">
        <f t="shared" si="17"/>
        <v>18005.751</v>
      </c>
      <c r="T53" s="33">
        <f t="shared" si="17"/>
        <v>22162.091409882767</v>
      </c>
      <c r="U53" s="33">
        <f t="shared" si="17"/>
        <v>25084.363472373047</v>
      </c>
      <c r="V53" s="33"/>
      <c r="W53" s="33"/>
      <c r="X53" s="33"/>
      <c r="Y53" s="33"/>
      <c r="Z53" s="33"/>
      <c r="AA53" s="33"/>
      <c r="AB53" s="33"/>
      <c r="AC53" s="33"/>
      <c r="AD53" s="33"/>
      <c r="AE53" s="33"/>
      <c r="AF53" s="33"/>
      <c r="AG53" s="33"/>
      <c r="AH53" s="33"/>
      <c r="AI53" s="33"/>
      <c r="AJ53" s="33"/>
      <c r="AK53" s="33"/>
      <c r="AL53" s="33"/>
    </row>
    <row r="54" spans="1:38" ht="12.1" customHeight="1">
      <c r="A54" s="30" t="s">
        <v>141</v>
      </c>
      <c r="B54" s="33"/>
      <c r="C54" s="33"/>
      <c r="D54" s="33"/>
      <c r="E54" s="33"/>
      <c r="F54" s="33"/>
      <c r="G54" s="33"/>
      <c r="H54" s="33"/>
      <c r="I54" s="33"/>
      <c r="J54" s="33"/>
      <c r="K54" s="33"/>
      <c r="L54" s="33"/>
      <c r="M54" s="33">
        <f t="shared" ref="M54:O54" si="18">+M53-M49</f>
        <v>3855.2710135588914</v>
      </c>
      <c r="N54" s="33">
        <f t="shared" si="18"/>
        <v>1409.4092158707663</v>
      </c>
      <c r="O54" s="33">
        <f t="shared" si="18"/>
        <v>-638.30330575291919</v>
      </c>
      <c r="P54" s="33">
        <f t="shared" ref="P54:U54" si="19">+P53-P49</f>
        <v>-3368.6785363643503</v>
      </c>
      <c r="Q54" s="33">
        <f t="shared" si="19"/>
        <v>-1759.1415704986139</v>
      </c>
      <c r="R54" s="33">
        <f t="shared" si="19"/>
        <v>-2264.7767514323568</v>
      </c>
      <c r="S54" s="33">
        <f t="shared" si="19"/>
        <v>-2627.2808504718123</v>
      </c>
      <c r="T54" s="33">
        <f t="shared" si="19"/>
        <v>111.54889832300978</v>
      </c>
      <c r="U54" s="33">
        <f t="shared" si="19"/>
        <v>3789.2933375704197</v>
      </c>
      <c r="V54" s="33"/>
      <c r="W54" s="33"/>
      <c r="X54" s="33"/>
      <c r="Y54" s="33"/>
      <c r="Z54" s="33"/>
      <c r="AA54" s="33"/>
      <c r="AB54" s="33"/>
      <c r="AC54" s="33"/>
      <c r="AD54" s="33"/>
      <c r="AE54" s="33"/>
      <c r="AF54" s="33"/>
      <c r="AG54" s="33"/>
      <c r="AH54" s="33"/>
      <c r="AI54" s="33"/>
      <c r="AJ54" s="33"/>
      <c r="AK54" s="33"/>
      <c r="AL54" s="33"/>
    </row>
    <row r="55" spans="1:38" ht="12.1" customHeight="1">
      <c r="A55" s="30"/>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2.1" customHeight="1">
      <c r="A56" s="3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2.1" customHeight="1">
      <c r="A57" s="3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2.1" customHeight="1">
      <c r="A58" s="3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sheetData>
  <dataConsolidate/>
  <pageMargins left="0.70866141732283472" right="0.70866141732283472" top="0.74803149606299213" bottom="0.74803149606299213" header="0.31496062992125984" footer="0.31496062992125984"/>
  <pageSetup paperSize="8" scale="3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254"/>
  <sheetViews>
    <sheetView showGridLines="0" topLeftCell="A16" workbookViewId="0">
      <selection activeCell="D31" sqref="D31"/>
    </sheetView>
  </sheetViews>
  <sheetFormatPr defaultColWidth="9.25" defaultRowHeight="13.25" customHeight="1"/>
  <cols>
    <col min="1" max="1" width="2.75" bestFit="1" customWidth="1"/>
    <col min="2" max="2" width="77.125" bestFit="1" customWidth="1"/>
    <col min="3" max="3" width="13.5" bestFit="1" customWidth="1"/>
    <col min="4" max="5" width="7.25" bestFit="1" customWidth="1"/>
    <col min="6" max="6" width="8.25" bestFit="1" customWidth="1"/>
    <col min="7" max="7" width="6.875" bestFit="1" customWidth="1"/>
  </cols>
  <sheetData>
    <row r="1" spans="1:18" ht="21.1">
      <c r="A1" s="144"/>
      <c r="B1" s="144" t="s">
        <v>271</v>
      </c>
      <c r="C1" s="144"/>
      <c r="D1" s="144"/>
      <c r="E1" s="144"/>
      <c r="F1" s="144"/>
      <c r="G1" s="144"/>
      <c r="H1" s="144"/>
      <c r="I1" s="144"/>
      <c r="J1" s="144"/>
      <c r="K1" s="144"/>
      <c r="L1" s="144"/>
      <c r="M1" s="144"/>
      <c r="N1" s="144"/>
      <c r="O1" s="144"/>
      <c r="P1" s="144"/>
      <c r="Q1" s="144"/>
      <c r="R1" s="144"/>
    </row>
    <row r="2" spans="1:18" ht="13.6" thickBot="1">
      <c r="A2" s="145"/>
      <c r="B2" s="145"/>
      <c r="C2" s="145"/>
      <c r="D2" s="145"/>
      <c r="E2" s="145"/>
      <c r="F2" s="145"/>
      <c r="G2" s="145"/>
      <c r="H2" s="145"/>
      <c r="I2" s="145"/>
      <c r="J2" s="145"/>
      <c r="K2" s="145"/>
      <c r="L2" s="145"/>
      <c r="M2" s="145"/>
      <c r="N2" s="145"/>
      <c r="O2" s="145"/>
      <c r="P2" s="145"/>
      <c r="Q2" s="145"/>
      <c r="R2" s="145"/>
    </row>
    <row r="3" spans="1:18" ht="13.6">
      <c r="A3" s="145"/>
      <c r="B3" s="146" t="s">
        <v>143</v>
      </c>
      <c r="C3" s="147"/>
      <c r="D3" s="148">
        <v>2</v>
      </c>
      <c r="E3" s="149">
        <v>2016</v>
      </c>
      <c r="F3" s="145"/>
      <c r="G3" s="145"/>
      <c r="H3" s="145"/>
      <c r="I3" s="145"/>
      <c r="J3" s="145"/>
      <c r="K3" s="145"/>
      <c r="L3" s="145"/>
      <c r="M3" s="145"/>
      <c r="N3" s="145"/>
      <c r="O3" s="145"/>
      <c r="P3" s="145"/>
      <c r="Q3" s="145"/>
      <c r="R3" s="145"/>
    </row>
    <row r="4" spans="1:18" ht="13.6">
      <c r="A4" s="145"/>
      <c r="B4" s="150" t="s">
        <v>197</v>
      </c>
      <c r="C4" s="151"/>
      <c r="D4" s="152">
        <v>5</v>
      </c>
      <c r="E4" s="145"/>
      <c r="F4" s="145"/>
      <c r="G4" s="145"/>
      <c r="H4" s="145"/>
      <c r="I4" s="145"/>
      <c r="J4" s="145"/>
      <c r="K4" s="145"/>
      <c r="L4" s="145"/>
      <c r="M4" s="145"/>
      <c r="N4" s="145"/>
      <c r="O4" s="145"/>
      <c r="P4" s="145"/>
      <c r="Q4" s="145"/>
      <c r="R4" s="145"/>
    </row>
    <row r="5" spans="1:18" ht="13.6">
      <c r="A5" s="145"/>
      <c r="B5" s="150" t="s">
        <v>199</v>
      </c>
      <c r="C5" s="151"/>
      <c r="D5" s="152">
        <v>33</v>
      </c>
      <c r="E5" s="145"/>
      <c r="F5" s="145"/>
      <c r="G5" s="145"/>
      <c r="H5" s="145"/>
      <c r="I5" s="145"/>
      <c r="J5" s="145"/>
      <c r="K5" s="145"/>
      <c r="L5" s="145"/>
      <c r="M5" s="145"/>
      <c r="N5" s="145"/>
      <c r="O5" s="145"/>
      <c r="P5" s="145"/>
      <c r="Q5" s="145"/>
      <c r="R5" s="145"/>
    </row>
    <row r="6" spans="1:18" ht="13.6">
      <c r="A6" s="145"/>
      <c r="B6" s="150" t="s">
        <v>201</v>
      </c>
      <c r="C6" s="151"/>
      <c r="D6" s="152">
        <v>7.4999999999999997E-2</v>
      </c>
      <c r="E6" s="145"/>
      <c r="F6" s="145"/>
      <c r="G6" s="145"/>
      <c r="H6" s="145"/>
      <c r="I6" s="145"/>
      <c r="J6" s="145"/>
      <c r="K6" s="145"/>
      <c r="L6" s="145"/>
      <c r="M6" s="145"/>
      <c r="N6" s="145"/>
      <c r="O6" s="145"/>
      <c r="P6" s="145"/>
      <c r="Q6" s="145"/>
      <c r="R6" s="145"/>
    </row>
    <row r="7" spans="1:18" ht="13.6">
      <c r="A7" s="145"/>
      <c r="B7" s="150" t="s">
        <v>203</v>
      </c>
      <c r="C7" s="151"/>
      <c r="D7" s="152">
        <v>7.4999999999999997E-2</v>
      </c>
      <c r="E7" s="145"/>
      <c r="F7" s="145"/>
      <c r="G7" s="145"/>
      <c r="H7" s="145"/>
      <c r="I7" s="145"/>
      <c r="J7" s="145"/>
      <c r="K7" s="145"/>
      <c r="L7" s="145"/>
      <c r="M7" s="145"/>
      <c r="N7" s="145"/>
      <c r="O7" s="145"/>
      <c r="P7" s="145"/>
      <c r="Q7" s="145"/>
      <c r="R7" s="145"/>
    </row>
    <row r="8" spans="1:18" ht="13.6">
      <c r="A8" s="145"/>
      <c r="B8" s="150" t="s">
        <v>205</v>
      </c>
      <c r="C8" s="151"/>
      <c r="D8" s="152">
        <v>0.5</v>
      </c>
      <c r="E8" s="145"/>
      <c r="F8" s="145"/>
      <c r="G8" s="145"/>
      <c r="H8" s="145"/>
      <c r="I8" s="145"/>
      <c r="J8" s="145"/>
      <c r="K8" s="145"/>
      <c r="L8" s="145"/>
      <c r="M8" s="145"/>
      <c r="N8" s="145"/>
      <c r="O8" s="145"/>
      <c r="P8" s="145"/>
      <c r="Q8" s="145"/>
      <c r="R8" s="145"/>
    </row>
    <row r="9" spans="1:18" ht="14.3" thickBot="1">
      <c r="A9" s="145"/>
      <c r="B9" s="153" t="s">
        <v>207</v>
      </c>
      <c r="C9" s="154"/>
      <c r="D9" s="155">
        <v>0.5</v>
      </c>
      <c r="E9" s="145"/>
      <c r="F9" s="145"/>
      <c r="G9" s="145"/>
      <c r="H9" s="145"/>
      <c r="I9" s="145"/>
      <c r="J9" s="145"/>
      <c r="K9" s="145"/>
      <c r="L9" s="145"/>
      <c r="M9" s="145"/>
      <c r="N9" s="145"/>
      <c r="O9" s="145"/>
      <c r="P9" s="145"/>
      <c r="Q9" s="145"/>
      <c r="R9" s="145"/>
    </row>
    <row r="10" spans="1:18" ht="14.3" thickBot="1">
      <c r="A10" s="145"/>
      <c r="B10" s="156"/>
      <c r="C10" s="156"/>
      <c r="D10" s="145"/>
      <c r="E10" s="145"/>
      <c r="F10" s="145"/>
      <c r="G10" s="145"/>
      <c r="H10" s="145"/>
      <c r="I10" s="145"/>
      <c r="J10" s="145"/>
      <c r="K10" s="145"/>
      <c r="L10" s="145"/>
      <c r="M10" s="145"/>
      <c r="N10" s="145"/>
      <c r="O10" s="145"/>
      <c r="P10" s="145"/>
      <c r="Q10" s="145"/>
      <c r="R10" s="145"/>
    </row>
    <row r="11" spans="1:18" ht="13.6">
      <c r="A11" s="145"/>
      <c r="B11" s="146" t="s">
        <v>209</v>
      </c>
      <c r="C11" s="147"/>
      <c r="D11" s="148">
        <v>1</v>
      </c>
      <c r="E11" s="145"/>
      <c r="F11" s="145"/>
      <c r="G11" s="145"/>
      <c r="H11" s="145"/>
      <c r="I11" s="145"/>
      <c r="J11" s="145"/>
      <c r="K11" s="145"/>
      <c r="L11" s="145"/>
      <c r="M11" s="145"/>
      <c r="N11" s="145"/>
      <c r="O11" s="145"/>
      <c r="P11" s="145"/>
      <c r="Q11" s="145"/>
      <c r="R11" s="145"/>
    </row>
    <row r="12" spans="1:18" ht="14.3" thickBot="1">
      <c r="A12" s="145"/>
      <c r="B12" s="153" t="s">
        <v>211</v>
      </c>
      <c r="C12" s="154"/>
      <c r="D12" s="155">
        <v>1</v>
      </c>
      <c r="E12" s="145"/>
      <c r="F12" s="145"/>
      <c r="G12" s="145"/>
      <c r="H12" s="145"/>
      <c r="I12" s="145"/>
      <c r="J12" s="145"/>
      <c r="K12" s="145"/>
      <c r="L12" s="145"/>
      <c r="M12" s="145"/>
      <c r="N12" s="145"/>
      <c r="O12" s="145"/>
      <c r="P12" s="145"/>
      <c r="Q12" s="145"/>
      <c r="R12" s="145"/>
    </row>
    <row r="13" spans="1:18" ht="13.6">
      <c r="A13" s="145"/>
      <c r="B13" s="156"/>
      <c r="C13" s="156"/>
      <c r="D13" s="145"/>
      <c r="E13" s="145"/>
      <c r="F13" s="145"/>
      <c r="G13" s="145"/>
      <c r="H13" s="145"/>
      <c r="I13" s="145"/>
      <c r="J13" s="145"/>
      <c r="K13" s="145"/>
      <c r="L13" s="145"/>
      <c r="M13" s="145"/>
      <c r="N13" s="145"/>
      <c r="O13" s="145"/>
      <c r="P13" s="145"/>
      <c r="Q13" s="145"/>
      <c r="R13" s="145"/>
    </row>
    <row r="14" spans="1:18" ht="13.6">
      <c r="A14" s="145"/>
      <c r="B14" s="156"/>
      <c r="C14" s="156"/>
      <c r="D14" s="145"/>
      <c r="E14" s="145"/>
      <c r="F14" s="145"/>
      <c r="G14" s="145"/>
      <c r="H14" s="145"/>
      <c r="I14" s="145"/>
      <c r="J14" s="145"/>
      <c r="K14" s="145"/>
      <c r="L14" s="145"/>
      <c r="M14" s="145"/>
      <c r="N14" s="145"/>
      <c r="O14" s="145"/>
      <c r="P14" s="145"/>
      <c r="Q14" s="145"/>
      <c r="R14" s="145"/>
    </row>
    <row r="15" spans="1:18" ht="13.6">
      <c r="A15" s="145"/>
      <c r="B15" s="156"/>
      <c r="C15" s="156"/>
      <c r="D15" s="145"/>
      <c r="E15" s="145"/>
      <c r="F15" s="145"/>
      <c r="G15" s="145"/>
      <c r="H15" s="145"/>
      <c r="I15" s="145"/>
      <c r="J15" s="145"/>
      <c r="K15" s="145"/>
      <c r="L15" s="145"/>
      <c r="M15" s="145"/>
      <c r="N15" s="145"/>
      <c r="O15" s="145"/>
      <c r="P15" s="145"/>
      <c r="Q15" s="145"/>
      <c r="R15" s="145"/>
    </row>
    <row r="16" spans="1:18" ht="13.6">
      <c r="A16" s="145"/>
      <c r="B16" s="156"/>
      <c r="C16" s="156"/>
      <c r="D16" s="145"/>
      <c r="E16" s="145"/>
      <c r="F16" s="145"/>
      <c r="G16" s="145"/>
      <c r="H16" s="145"/>
      <c r="I16" s="145"/>
      <c r="J16" s="145"/>
      <c r="K16" s="145"/>
      <c r="L16" s="145"/>
      <c r="M16" s="145"/>
      <c r="N16" s="145"/>
      <c r="O16" s="145"/>
      <c r="P16" s="145"/>
      <c r="Q16" s="145"/>
      <c r="R16" s="145"/>
    </row>
    <row r="17" spans="1:18" ht="13.6">
      <c r="A17" s="145"/>
      <c r="B17" s="156"/>
      <c r="C17" s="156"/>
      <c r="D17" s="145"/>
      <c r="E17" s="145"/>
      <c r="F17" s="145"/>
      <c r="G17" s="145"/>
      <c r="H17" s="145"/>
      <c r="I17" s="145"/>
      <c r="J17" s="145"/>
      <c r="K17" s="145"/>
      <c r="L17" s="145"/>
      <c r="M17" s="145"/>
      <c r="N17" s="145"/>
      <c r="O17" s="145"/>
      <c r="P17" s="145"/>
      <c r="Q17" s="145"/>
      <c r="R17" s="145"/>
    </row>
    <row r="18" spans="1:18" ht="13.6">
      <c r="A18" s="145"/>
      <c r="B18" s="156"/>
      <c r="C18" s="156"/>
      <c r="D18" s="145"/>
      <c r="E18" s="145"/>
      <c r="F18" s="145"/>
      <c r="G18" s="145"/>
      <c r="H18" s="145"/>
      <c r="I18" s="145"/>
      <c r="J18" s="145"/>
      <c r="K18" s="145"/>
      <c r="L18" s="145"/>
      <c r="M18" s="145"/>
      <c r="N18" s="145"/>
      <c r="O18" s="145"/>
      <c r="P18" s="145"/>
      <c r="Q18" s="145"/>
      <c r="R18" s="145"/>
    </row>
    <row r="19" spans="1:18" ht="13.6">
      <c r="A19" s="145"/>
      <c r="B19" s="156"/>
      <c r="C19" s="156"/>
      <c r="D19" s="145"/>
      <c r="E19" s="145"/>
      <c r="F19" s="145"/>
      <c r="G19" s="145"/>
      <c r="H19" s="145"/>
      <c r="I19" s="145"/>
      <c r="J19" s="145"/>
      <c r="K19" s="145"/>
      <c r="L19" s="145"/>
      <c r="M19" s="145"/>
      <c r="N19" s="145"/>
      <c r="O19" s="145"/>
      <c r="P19" s="145"/>
      <c r="Q19" s="145"/>
      <c r="R19" s="145"/>
    </row>
    <row r="20" spans="1:18" ht="13.6">
      <c r="A20" s="145"/>
      <c r="B20" s="156"/>
      <c r="C20" s="156"/>
      <c r="D20" s="145"/>
      <c r="E20" s="145"/>
      <c r="F20" s="145"/>
      <c r="G20" s="145"/>
      <c r="H20" s="145"/>
      <c r="I20" s="145"/>
      <c r="J20" s="145"/>
      <c r="K20" s="145"/>
      <c r="L20" s="145"/>
      <c r="M20" s="145"/>
      <c r="N20" s="145"/>
      <c r="O20" s="145"/>
      <c r="P20" s="145"/>
      <c r="Q20" s="145"/>
      <c r="R20" s="145"/>
    </row>
    <row r="21" spans="1:18" ht="18.350000000000001">
      <c r="A21" s="158"/>
      <c r="B21" s="157" t="s">
        <v>213</v>
      </c>
      <c r="C21" s="157"/>
      <c r="D21" s="158"/>
      <c r="E21" s="158"/>
      <c r="F21" s="158"/>
      <c r="G21" s="158"/>
      <c r="H21" s="158"/>
      <c r="I21" s="158"/>
      <c r="J21" s="158"/>
      <c r="K21" s="158"/>
      <c r="L21" s="158"/>
      <c r="M21" s="158"/>
      <c r="N21" s="158"/>
      <c r="O21" s="158"/>
      <c r="P21" s="158"/>
      <c r="Q21" s="158"/>
      <c r="R21" s="158"/>
    </row>
    <row r="22" spans="1:18" ht="13.6">
      <c r="A22" s="145"/>
      <c r="B22" s="156"/>
      <c r="C22" s="156"/>
      <c r="D22" s="145"/>
      <c r="E22" s="145"/>
      <c r="F22" s="145"/>
      <c r="G22" s="145"/>
      <c r="H22" s="145"/>
      <c r="I22" s="145"/>
      <c r="J22" s="145"/>
      <c r="K22" s="145"/>
      <c r="L22" s="145"/>
      <c r="M22" s="145"/>
      <c r="N22" s="145"/>
      <c r="O22" s="145"/>
      <c r="P22" s="145"/>
      <c r="Q22" s="145"/>
      <c r="R22" s="145"/>
    </row>
    <row r="23" spans="1:18" ht="13.6">
      <c r="A23" s="145"/>
      <c r="B23" s="145"/>
      <c r="C23" s="145"/>
      <c r="D23" s="159">
        <v>2014</v>
      </c>
      <c r="E23" s="159">
        <v>2015</v>
      </c>
      <c r="F23" s="159">
        <v>2016</v>
      </c>
      <c r="G23" s="160"/>
      <c r="H23" s="160"/>
      <c r="I23" s="160"/>
      <c r="J23" s="145"/>
      <c r="K23" s="145"/>
      <c r="L23" s="145"/>
      <c r="M23" s="145"/>
      <c r="N23" s="145"/>
      <c r="O23" s="145"/>
      <c r="P23" s="145"/>
      <c r="Q23" s="145"/>
      <c r="R23" s="145"/>
    </row>
    <row r="24" spans="1:18" ht="13.6">
      <c r="A24" s="145"/>
      <c r="B24" s="156" t="s">
        <v>214</v>
      </c>
      <c r="C24" s="156"/>
      <c r="D24" s="145">
        <v>0</v>
      </c>
      <c r="E24" s="145">
        <v>1</v>
      </c>
      <c r="F24" s="145">
        <v>2</v>
      </c>
      <c r="G24" s="145"/>
      <c r="H24" s="145"/>
      <c r="I24" s="145"/>
      <c r="J24" s="161"/>
      <c r="K24" s="161"/>
      <c r="L24" s="161"/>
      <c r="M24" s="161"/>
      <c r="N24" s="161"/>
      <c r="O24" s="161"/>
      <c r="P24" s="161"/>
      <c r="Q24" s="161"/>
      <c r="R24" s="161"/>
    </row>
    <row r="25" spans="1:18" ht="12.9">
      <c r="A25" s="145"/>
      <c r="B25" s="162"/>
      <c r="C25" s="162"/>
      <c r="D25" s="161"/>
      <c r="E25" s="161"/>
      <c r="F25" s="161"/>
      <c r="G25" s="161"/>
      <c r="H25" s="161"/>
      <c r="I25" s="161"/>
      <c r="J25" s="161"/>
      <c r="K25" s="161"/>
      <c r="L25" s="161"/>
      <c r="M25" s="161"/>
      <c r="N25" s="161"/>
      <c r="O25" s="161"/>
      <c r="P25" s="161"/>
      <c r="Q25" s="161"/>
      <c r="R25" s="161"/>
    </row>
    <row r="26" spans="1:18" ht="12.9">
      <c r="A26" s="145"/>
      <c r="B26" s="162"/>
      <c r="C26" s="162"/>
      <c r="D26" s="161"/>
      <c r="E26" s="161"/>
      <c r="F26" s="161"/>
      <c r="G26" s="161"/>
      <c r="H26" s="161"/>
      <c r="I26" s="161"/>
      <c r="J26" s="161"/>
      <c r="K26" s="161"/>
      <c r="L26" s="161"/>
      <c r="M26" s="161"/>
      <c r="N26" s="161"/>
      <c r="O26" s="161"/>
      <c r="P26" s="161"/>
      <c r="Q26" s="161"/>
      <c r="R26" s="161"/>
    </row>
    <row r="27" spans="1:18" ht="12.9">
      <c r="A27" s="145"/>
      <c r="B27" s="162" t="s">
        <v>215</v>
      </c>
      <c r="C27" s="163" t="s">
        <v>272</v>
      </c>
      <c r="D27" s="164">
        <f>+'DAV Inputs'!M19</f>
        <v>7157.9862172776402</v>
      </c>
      <c r="E27" s="164">
        <f>+'DAV Inputs'!N19</f>
        <v>9934.0619386219769</v>
      </c>
      <c r="F27" s="164">
        <f>+'DAV Inputs'!O19</f>
        <v>11653.710002241758</v>
      </c>
      <c r="G27" s="161"/>
      <c r="H27" s="161"/>
      <c r="I27" s="161"/>
      <c r="J27" s="161"/>
      <c r="K27" s="161"/>
      <c r="L27" s="161"/>
      <c r="M27" s="161"/>
      <c r="N27" s="161"/>
      <c r="O27" s="161"/>
      <c r="P27" s="161"/>
      <c r="Q27" s="161"/>
      <c r="R27" s="161"/>
    </row>
    <row r="28" spans="1:18" ht="12.9">
      <c r="A28" s="145"/>
      <c r="B28" s="162" t="s">
        <v>217</v>
      </c>
      <c r="C28" s="163" t="s">
        <v>273</v>
      </c>
      <c r="D28" s="165">
        <f>+'DAV Inputs'!B27/'DAV Inputs'!B3</f>
        <v>1.0548001648125258</v>
      </c>
      <c r="E28" s="165">
        <f>+D28</f>
        <v>1.0548001648125258</v>
      </c>
      <c r="F28" s="165">
        <f>+E28</f>
        <v>1.0548001648125258</v>
      </c>
      <c r="G28" s="145"/>
      <c r="H28" s="145"/>
      <c r="I28" s="145"/>
      <c r="J28" s="145"/>
      <c r="K28" s="145"/>
      <c r="L28" s="145"/>
      <c r="M28" s="145"/>
      <c r="N28" s="145"/>
      <c r="O28" s="145"/>
      <c r="P28" s="145"/>
      <c r="Q28" s="145"/>
      <c r="R28" s="145"/>
    </row>
    <row r="29" spans="1:18" ht="12.9">
      <c r="A29" s="145"/>
      <c r="B29" s="162" t="s">
        <v>218</v>
      </c>
      <c r="C29" s="163" t="s">
        <v>216</v>
      </c>
      <c r="D29" s="166">
        <f>D27*D28</f>
        <v>7550.2450417102427</v>
      </c>
      <c r="E29" s="166">
        <f t="shared" ref="E29:F29" si="0">E27*E28</f>
        <v>10478.450170116301</v>
      </c>
      <c r="F29" s="166">
        <f t="shared" si="0"/>
        <v>12292.335231041987</v>
      </c>
      <c r="G29" s="145"/>
      <c r="H29" s="145"/>
      <c r="I29" s="145"/>
      <c r="J29" s="145"/>
      <c r="K29" s="145"/>
      <c r="L29" s="145"/>
      <c r="M29" s="145"/>
      <c r="N29" s="145"/>
      <c r="O29" s="145"/>
      <c r="P29" s="145"/>
      <c r="Q29" s="145"/>
      <c r="R29" s="145"/>
    </row>
    <row r="30" spans="1:18" ht="12.9">
      <c r="A30" s="145"/>
      <c r="B30" s="162" t="s">
        <v>219</v>
      </c>
      <c r="C30" s="163" t="s">
        <v>216</v>
      </c>
      <c r="D30" s="167">
        <f>+'DAV Inputs'!M51</f>
        <v>10917.523716125379</v>
      </c>
      <c r="E30" s="167">
        <f>+'DAV Inputs'!N51</f>
        <v>11709.4592430024</v>
      </c>
      <c r="F30" s="167">
        <f>+'DAV Inputs'!O51</f>
        <v>11734.827055427017</v>
      </c>
      <c r="G30" s="145"/>
      <c r="H30" s="145"/>
      <c r="I30" s="145"/>
      <c r="J30" s="145"/>
      <c r="K30" s="145"/>
      <c r="L30" s="145"/>
      <c r="M30" s="145"/>
      <c r="N30" s="145"/>
      <c r="O30" s="145"/>
      <c r="P30" s="145"/>
      <c r="Q30" s="145"/>
      <c r="R30" s="145"/>
    </row>
    <row r="31" spans="1:18" ht="13.6">
      <c r="A31" s="145"/>
      <c r="B31" s="156" t="s">
        <v>220</v>
      </c>
      <c r="C31" s="163" t="s">
        <v>216</v>
      </c>
      <c r="D31" s="168">
        <f t="shared" ref="D31:E31" si="1">D29-D30</f>
        <v>-3367.2786744151363</v>
      </c>
      <c r="E31" s="168">
        <f t="shared" si="1"/>
        <v>-1231.0090728860996</v>
      </c>
      <c r="F31" s="168">
        <f>F29-F30</f>
        <v>557.50817561497024</v>
      </c>
      <c r="G31" s="145"/>
      <c r="H31" s="145"/>
      <c r="I31" s="145"/>
      <c r="J31" s="145"/>
      <c r="K31" s="145"/>
      <c r="L31" s="145"/>
      <c r="M31" s="145"/>
      <c r="N31" s="145"/>
      <c r="O31" s="145"/>
      <c r="P31" s="145"/>
      <c r="Q31" s="145"/>
      <c r="R31" s="145"/>
    </row>
    <row r="32" spans="1:18" ht="12.9">
      <c r="A32" s="145"/>
      <c r="B32" s="145"/>
      <c r="C32" s="145"/>
      <c r="D32" s="145"/>
      <c r="E32" s="145"/>
      <c r="F32" s="145"/>
      <c r="G32" s="145"/>
      <c r="H32" s="145"/>
      <c r="I32" s="145"/>
      <c r="J32" s="145"/>
      <c r="K32" s="145"/>
      <c r="L32" s="145"/>
      <c r="M32" s="145"/>
      <c r="N32" s="145"/>
      <c r="O32" s="145"/>
      <c r="P32" s="145"/>
      <c r="Q32" s="145"/>
      <c r="R32" s="145"/>
    </row>
    <row r="33" spans="1:18" ht="12.9">
      <c r="A33" s="145"/>
      <c r="B33" s="145"/>
      <c r="C33" s="145"/>
      <c r="D33" s="145"/>
      <c r="E33" s="145"/>
      <c r="F33" s="145"/>
      <c r="G33" s="145"/>
      <c r="H33" s="145"/>
      <c r="I33" s="145"/>
      <c r="J33" s="145"/>
      <c r="K33" s="145"/>
      <c r="L33" s="145"/>
      <c r="M33" s="145"/>
      <c r="N33" s="145"/>
      <c r="O33" s="145"/>
      <c r="P33" s="145"/>
      <c r="Q33" s="145"/>
      <c r="R33" s="145"/>
    </row>
    <row r="34" spans="1:18" ht="12.9">
      <c r="A34" s="145"/>
      <c r="B34" s="145"/>
      <c r="C34" s="145"/>
      <c r="D34" s="145"/>
      <c r="E34" s="145"/>
      <c r="F34" s="145"/>
      <c r="G34" s="145"/>
      <c r="H34" s="145"/>
      <c r="I34" s="145"/>
      <c r="J34" s="145"/>
      <c r="K34" s="145"/>
      <c r="L34" s="145"/>
      <c r="M34" s="145"/>
      <c r="N34" s="145"/>
      <c r="O34" s="145"/>
      <c r="P34" s="145"/>
      <c r="Q34" s="145"/>
      <c r="R34" s="145"/>
    </row>
    <row r="35" spans="1:18" ht="18.350000000000001">
      <c r="A35" s="158"/>
      <c r="B35" s="157" t="s">
        <v>221</v>
      </c>
      <c r="C35" s="157"/>
      <c r="D35" s="158"/>
      <c r="E35" s="158"/>
      <c r="F35" s="158"/>
      <c r="G35" s="158"/>
      <c r="H35" s="158"/>
      <c r="I35" s="158"/>
      <c r="J35" s="158"/>
      <c r="K35" s="158"/>
      <c r="L35" s="158"/>
      <c r="M35" s="158"/>
      <c r="N35" s="158"/>
      <c r="O35" s="158"/>
      <c r="P35" s="158"/>
      <c r="Q35" s="158"/>
      <c r="R35" s="158"/>
    </row>
    <row r="36" spans="1:18" ht="12.9">
      <c r="A36" s="145"/>
      <c r="B36" s="145"/>
      <c r="C36" s="145"/>
      <c r="D36" s="145"/>
      <c r="E36" s="145"/>
      <c r="F36" s="145"/>
      <c r="G36" s="145"/>
      <c r="H36" s="145"/>
      <c r="I36" s="145"/>
      <c r="J36" s="145"/>
      <c r="K36" s="145"/>
      <c r="L36" s="145"/>
      <c r="M36" s="145"/>
      <c r="N36" s="145"/>
      <c r="O36" s="145"/>
      <c r="P36" s="145"/>
      <c r="Q36" s="145"/>
      <c r="R36" s="145"/>
    </row>
    <row r="37" spans="1:18" ht="12.9">
      <c r="A37" s="145"/>
      <c r="B37" s="162" t="s">
        <v>222</v>
      </c>
      <c r="C37" s="162"/>
      <c r="D37" s="169">
        <f>D81</f>
        <v>-453.4626230012812</v>
      </c>
      <c r="E37" s="169">
        <f t="shared" ref="E37" si="2">E81</f>
        <v>-240.09530850421658</v>
      </c>
      <c r="F37" s="169">
        <f>F81</f>
        <v>140.04575835982033</v>
      </c>
      <c r="G37" s="169"/>
      <c r="H37" s="169"/>
      <c r="I37" s="169"/>
      <c r="J37" s="145"/>
      <c r="K37" s="145"/>
      <c r="L37" s="145"/>
      <c r="M37" s="145"/>
      <c r="N37" s="145"/>
      <c r="O37" s="145"/>
      <c r="P37" s="145"/>
      <c r="Q37" s="145"/>
      <c r="R37" s="145"/>
    </row>
    <row r="38" spans="1:18" ht="12.9">
      <c r="A38" s="145"/>
      <c r="B38" s="162" t="s">
        <v>223</v>
      </c>
      <c r="C38" s="162"/>
      <c r="D38" s="169">
        <f>D110</f>
        <v>0</v>
      </c>
      <c r="E38" s="169">
        <f t="shared" ref="E38:F38" si="3">E110</f>
        <v>0</v>
      </c>
      <c r="F38" s="169">
        <f t="shared" si="3"/>
        <v>0</v>
      </c>
      <c r="G38" s="169"/>
      <c r="H38" s="169"/>
      <c r="I38" s="169"/>
      <c r="J38" s="145"/>
      <c r="K38" s="145"/>
      <c r="L38" s="145"/>
      <c r="M38" s="145"/>
      <c r="N38" s="145"/>
      <c r="O38" s="145"/>
      <c r="P38" s="145"/>
      <c r="Q38" s="145"/>
      <c r="R38" s="145"/>
    </row>
    <row r="39" spans="1:18" ht="12.9">
      <c r="A39" s="145"/>
      <c r="B39" s="162" t="s">
        <v>224</v>
      </c>
      <c r="C39" s="162"/>
      <c r="D39" s="145"/>
      <c r="E39" s="145"/>
      <c r="F39" s="169">
        <f>$D$161</f>
        <v>-121.64886273978796</v>
      </c>
      <c r="G39" s="145"/>
      <c r="H39" s="145"/>
      <c r="I39" s="169"/>
      <c r="J39" s="145"/>
      <c r="K39" s="145"/>
      <c r="L39" s="145"/>
      <c r="M39" s="145"/>
      <c r="N39" s="145"/>
      <c r="O39" s="145"/>
      <c r="P39" s="145"/>
      <c r="Q39" s="145"/>
      <c r="R39" s="145"/>
    </row>
    <row r="40" spans="1:18" ht="12.9">
      <c r="A40" s="145"/>
      <c r="B40" s="162" t="s">
        <v>225</v>
      </c>
      <c r="C40" s="162"/>
      <c r="D40" s="145"/>
      <c r="E40" s="145"/>
      <c r="F40" s="169">
        <f>$D$203</f>
        <v>0</v>
      </c>
      <c r="G40" s="145"/>
      <c r="H40" s="145"/>
      <c r="I40" s="169"/>
      <c r="J40" s="145"/>
      <c r="K40" s="145"/>
      <c r="L40" s="145"/>
      <c r="M40" s="145"/>
      <c r="N40" s="145"/>
      <c r="O40" s="145"/>
      <c r="P40" s="145"/>
      <c r="Q40" s="145"/>
      <c r="R40" s="145"/>
    </row>
    <row r="41" spans="1:18" ht="12.9">
      <c r="A41" s="145"/>
      <c r="B41" s="162" t="s">
        <v>226</v>
      </c>
      <c r="C41" s="162"/>
      <c r="D41" s="145"/>
      <c r="E41" s="145"/>
      <c r="F41" s="169">
        <f>$D$236</f>
        <v>0</v>
      </c>
      <c r="G41" s="145"/>
      <c r="H41" s="145"/>
      <c r="I41" s="169"/>
      <c r="J41" s="145"/>
      <c r="K41" s="145"/>
      <c r="L41" s="145"/>
      <c r="M41" s="145"/>
      <c r="N41" s="145"/>
      <c r="O41" s="145"/>
      <c r="P41" s="145"/>
      <c r="Q41" s="145"/>
      <c r="R41" s="145"/>
    </row>
    <row r="42" spans="1:18" ht="12.9">
      <c r="A42" s="145"/>
      <c r="B42" s="162" t="s">
        <v>227</v>
      </c>
      <c r="C42" s="162"/>
      <c r="D42" s="145"/>
      <c r="E42" s="145"/>
      <c r="F42" s="169">
        <f>$D$254</f>
        <v>-509.9422023940607</v>
      </c>
      <c r="G42" s="145"/>
      <c r="H42" s="145"/>
      <c r="I42" s="169"/>
      <c r="J42" s="145"/>
      <c r="K42" s="145"/>
      <c r="L42" s="145"/>
      <c r="M42" s="145"/>
      <c r="N42" s="145"/>
      <c r="O42" s="145"/>
      <c r="P42" s="145"/>
      <c r="Q42" s="145"/>
      <c r="R42" s="145"/>
    </row>
    <row r="43" spans="1:18" ht="12.9">
      <c r="A43" s="145"/>
      <c r="B43" s="162"/>
      <c r="C43" s="162"/>
      <c r="D43" s="145"/>
      <c r="E43" s="145"/>
      <c r="F43" s="145"/>
      <c r="G43" s="145"/>
      <c r="H43" s="145"/>
      <c r="I43" s="145"/>
      <c r="J43" s="145"/>
      <c r="K43" s="145"/>
      <c r="L43" s="145"/>
      <c r="M43" s="145"/>
      <c r="N43" s="145"/>
      <c r="O43" s="145"/>
      <c r="P43" s="145"/>
      <c r="Q43" s="145"/>
      <c r="R43" s="145"/>
    </row>
    <row r="44" spans="1:18" ht="13.6">
      <c r="A44" s="145"/>
      <c r="B44" s="170" t="s">
        <v>228</v>
      </c>
      <c r="C44" s="170"/>
      <c r="D44" s="170"/>
      <c r="E44" s="170"/>
      <c r="F44" s="171">
        <f>$D$11*(SUM($D$37:$F$37)-SUM($D$38:$F$38)+F39+F40+($D$12*(F41+F42)))</f>
        <v>-1185.1032382795261</v>
      </c>
      <c r="G44" s="111">
        <f>F44</f>
        <v>-1185.1032382795261</v>
      </c>
      <c r="H44" s="172"/>
      <c r="I44" s="173"/>
      <c r="J44" s="145"/>
      <c r="K44" s="145"/>
      <c r="L44" s="145"/>
      <c r="M44" s="145"/>
      <c r="N44" s="145"/>
      <c r="O44" s="145"/>
      <c r="P44" s="145"/>
      <c r="Q44" s="145"/>
      <c r="R44" s="145"/>
    </row>
    <row r="45" spans="1:18" ht="13.6">
      <c r="A45" s="145"/>
      <c r="B45" s="156"/>
      <c r="C45" s="156"/>
      <c r="D45" s="145"/>
      <c r="E45" s="145"/>
      <c r="F45" s="145"/>
      <c r="G45" s="145"/>
      <c r="H45" s="145"/>
      <c r="I45" s="145"/>
      <c r="J45" s="145"/>
      <c r="K45" s="145"/>
      <c r="L45" s="145"/>
      <c r="M45" s="145"/>
      <c r="N45" s="145"/>
      <c r="O45" s="145"/>
      <c r="P45" s="145"/>
      <c r="Q45" s="145"/>
      <c r="R45" s="145"/>
    </row>
    <row r="46" spans="1:18" ht="18.350000000000001">
      <c r="A46" s="158"/>
      <c r="B46" s="157" t="s">
        <v>229</v>
      </c>
      <c r="C46" s="157"/>
      <c r="D46" s="158"/>
      <c r="E46" s="158"/>
      <c r="F46" s="158"/>
      <c r="G46" s="158"/>
      <c r="H46" s="158"/>
      <c r="I46" s="158"/>
      <c r="J46" s="158"/>
      <c r="K46" s="158"/>
      <c r="L46" s="158"/>
      <c r="M46" s="158"/>
      <c r="N46" s="158"/>
      <c r="O46" s="158"/>
      <c r="P46" s="158"/>
      <c r="Q46" s="158"/>
      <c r="R46" s="158"/>
    </row>
    <row r="47" spans="1:18" ht="12.9">
      <c r="A47" s="145"/>
      <c r="B47" s="145"/>
      <c r="C47" s="145"/>
      <c r="D47" s="145"/>
      <c r="E47" s="145"/>
      <c r="F47" s="145"/>
      <c r="G47" s="145"/>
      <c r="H47" s="145"/>
      <c r="I47" s="145"/>
      <c r="J47" s="145"/>
      <c r="K47" s="145"/>
      <c r="L47" s="145"/>
      <c r="M47" s="145"/>
      <c r="N47" s="145"/>
      <c r="O47" s="145"/>
      <c r="P47" s="145"/>
      <c r="Q47" s="145"/>
      <c r="R47" s="145"/>
    </row>
    <row r="48" spans="1:18" ht="12.9">
      <c r="A48" s="145"/>
      <c r="B48" s="145"/>
      <c r="C48" s="145"/>
      <c r="D48" s="145"/>
      <c r="E48" s="145"/>
      <c r="F48" s="145"/>
      <c r="G48" s="145"/>
      <c r="H48" s="145"/>
      <c r="I48" s="145"/>
      <c r="J48" s="145"/>
      <c r="K48" s="145"/>
      <c r="L48" s="145"/>
      <c r="M48" s="145"/>
      <c r="N48" s="145"/>
      <c r="O48" s="145"/>
      <c r="P48" s="145"/>
      <c r="Q48" s="145"/>
      <c r="R48" s="145"/>
    </row>
    <row r="49" spans="1:18" ht="12.9">
      <c r="A49" s="145"/>
      <c r="B49" s="145"/>
      <c r="C49" s="145"/>
      <c r="D49" s="145"/>
      <c r="E49" s="145"/>
      <c r="F49" s="145"/>
      <c r="G49" s="145"/>
      <c r="H49" s="145"/>
      <c r="I49" s="145"/>
      <c r="J49" s="145"/>
      <c r="K49" s="145"/>
      <c r="L49" s="145"/>
      <c r="M49" s="145"/>
      <c r="N49" s="145"/>
      <c r="O49" s="145"/>
      <c r="P49" s="145"/>
      <c r="Q49" s="145"/>
      <c r="R49" s="145"/>
    </row>
    <row r="50" spans="1:18" ht="12.9">
      <c r="A50" s="145"/>
      <c r="B50" s="145"/>
      <c r="C50" s="145"/>
      <c r="D50" s="145"/>
      <c r="E50" s="145"/>
      <c r="F50" s="145"/>
      <c r="G50" s="145"/>
      <c r="H50" s="145"/>
      <c r="I50" s="145"/>
      <c r="J50" s="145"/>
      <c r="K50" s="145"/>
      <c r="L50" s="145"/>
      <c r="M50" s="145"/>
      <c r="N50" s="145"/>
      <c r="O50" s="145"/>
      <c r="P50" s="145"/>
      <c r="Q50" s="145"/>
      <c r="R50" s="145"/>
    </row>
    <row r="51" spans="1:18" ht="12.9">
      <c r="A51" s="145"/>
      <c r="B51" s="145"/>
      <c r="C51" s="145"/>
      <c r="D51" s="145"/>
      <c r="E51" s="145"/>
      <c r="F51" s="145"/>
      <c r="G51" s="145"/>
      <c r="H51" s="145"/>
      <c r="I51" s="145"/>
      <c r="J51" s="145"/>
      <c r="K51" s="145"/>
      <c r="L51" s="145"/>
      <c r="M51" s="145"/>
      <c r="N51" s="145"/>
      <c r="O51" s="145"/>
      <c r="P51" s="145"/>
      <c r="Q51" s="145"/>
      <c r="R51" s="145"/>
    </row>
    <row r="52" spans="1:18" ht="12.9">
      <c r="A52" s="145"/>
      <c r="B52" s="145"/>
      <c r="C52" s="145"/>
      <c r="D52" s="145"/>
      <c r="E52" s="145"/>
      <c r="F52" s="145"/>
      <c r="G52" s="145"/>
      <c r="H52" s="145"/>
      <c r="I52" s="145"/>
      <c r="J52" s="145"/>
      <c r="K52" s="145"/>
      <c r="L52" s="145"/>
      <c r="M52" s="145"/>
      <c r="N52" s="145"/>
      <c r="O52" s="145"/>
      <c r="P52" s="145"/>
      <c r="Q52" s="145"/>
      <c r="R52" s="145"/>
    </row>
    <row r="53" spans="1:18" ht="12.9">
      <c r="A53" s="145"/>
      <c r="B53" s="145"/>
      <c r="C53" s="145"/>
      <c r="D53" s="145"/>
      <c r="E53" s="145"/>
      <c r="F53" s="145"/>
      <c r="G53" s="145"/>
      <c r="H53" s="145"/>
      <c r="I53" s="145"/>
      <c r="J53" s="145"/>
      <c r="K53" s="145"/>
      <c r="L53" s="145"/>
      <c r="M53" s="145"/>
      <c r="N53" s="145"/>
      <c r="O53" s="145"/>
      <c r="P53" s="145"/>
      <c r="Q53" s="145"/>
      <c r="R53" s="145"/>
    </row>
    <row r="54" spans="1:18" ht="12.9">
      <c r="A54" s="145"/>
      <c r="B54" s="145"/>
      <c r="C54" s="145"/>
      <c r="D54" s="145"/>
      <c r="E54" s="145"/>
      <c r="F54" s="145"/>
      <c r="G54" s="145"/>
      <c r="H54" s="145"/>
      <c r="I54" s="145"/>
      <c r="J54" s="145"/>
      <c r="K54" s="145"/>
      <c r="L54" s="145"/>
      <c r="M54" s="145"/>
      <c r="N54" s="145"/>
      <c r="O54" s="145"/>
      <c r="P54" s="145"/>
      <c r="Q54" s="145"/>
      <c r="R54" s="145"/>
    </row>
    <row r="55" spans="1:18" ht="12.9">
      <c r="A55" s="145"/>
      <c r="B55" s="145"/>
      <c r="C55" s="145"/>
      <c r="D55" s="145"/>
      <c r="E55" s="145"/>
      <c r="F55" s="145"/>
      <c r="G55" s="145"/>
      <c r="H55" s="145"/>
      <c r="I55" s="145"/>
      <c r="J55" s="145"/>
      <c r="K55" s="145"/>
      <c r="L55" s="145"/>
      <c r="M55" s="145"/>
      <c r="N55" s="145"/>
      <c r="O55" s="145"/>
      <c r="P55" s="145"/>
      <c r="Q55" s="145"/>
      <c r="R55" s="145"/>
    </row>
    <row r="56" spans="1:18" ht="12.9">
      <c r="A56" s="174"/>
      <c r="B56" s="174"/>
      <c r="C56" s="174"/>
      <c r="D56" s="174"/>
      <c r="E56" s="174"/>
      <c r="F56" s="174"/>
      <c r="G56" s="174"/>
      <c r="H56" s="174"/>
      <c r="I56" s="174"/>
      <c r="J56" s="174"/>
      <c r="K56" s="174"/>
      <c r="L56" s="174"/>
      <c r="M56" s="174"/>
      <c r="N56" s="174"/>
      <c r="O56" s="174"/>
      <c r="P56" s="174"/>
      <c r="Q56" s="174"/>
      <c r="R56" s="174"/>
    </row>
    <row r="57" spans="1:18" ht="12.9">
      <c r="A57" s="145"/>
      <c r="B57" s="145"/>
      <c r="C57" s="145"/>
      <c r="D57" s="145"/>
      <c r="E57" s="145"/>
      <c r="F57" s="145"/>
      <c r="G57" s="145"/>
      <c r="H57" s="145"/>
      <c r="I57" s="145"/>
      <c r="J57" s="145"/>
      <c r="K57" s="145"/>
      <c r="L57" s="145"/>
      <c r="M57" s="145"/>
      <c r="N57" s="145"/>
      <c r="O57" s="145"/>
      <c r="P57" s="145"/>
      <c r="Q57" s="145"/>
      <c r="R57" s="145"/>
    </row>
    <row r="58" spans="1:18" ht="12.9">
      <c r="A58" s="145"/>
      <c r="B58" s="145"/>
      <c r="C58" s="145"/>
      <c r="D58" s="145"/>
      <c r="E58" s="145"/>
      <c r="F58" s="145"/>
      <c r="G58" s="145"/>
      <c r="H58" s="145"/>
      <c r="I58" s="145"/>
      <c r="J58" s="145"/>
      <c r="K58" s="145"/>
      <c r="L58" s="145"/>
      <c r="M58" s="145"/>
      <c r="N58" s="145"/>
      <c r="O58" s="145"/>
      <c r="P58" s="145"/>
      <c r="Q58" s="145"/>
      <c r="R58" s="145"/>
    </row>
    <row r="59" spans="1:18" ht="12.9">
      <c r="A59" s="145"/>
      <c r="B59" s="145"/>
      <c r="C59" s="145"/>
      <c r="D59" s="145"/>
      <c r="E59" s="145"/>
      <c r="F59" s="145"/>
      <c r="G59" s="145"/>
      <c r="H59" s="145"/>
      <c r="I59" s="145"/>
      <c r="J59" s="145"/>
      <c r="K59" s="145"/>
      <c r="L59" s="145"/>
      <c r="M59" s="145"/>
      <c r="N59" s="145"/>
      <c r="O59" s="145"/>
      <c r="P59" s="145"/>
      <c r="Q59" s="145"/>
      <c r="R59" s="145"/>
    </row>
    <row r="60" spans="1:18" ht="12.9">
      <c r="A60" s="145"/>
      <c r="B60" s="145"/>
      <c r="C60" s="145"/>
      <c r="D60" s="145"/>
      <c r="E60" s="145"/>
      <c r="F60" s="145"/>
      <c r="G60" s="145"/>
      <c r="H60" s="145"/>
      <c r="I60" s="145"/>
      <c r="J60" s="145"/>
      <c r="K60" s="145"/>
      <c r="L60" s="145"/>
      <c r="M60" s="145"/>
      <c r="N60" s="145"/>
      <c r="O60" s="145"/>
      <c r="P60" s="145"/>
      <c r="Q60" s="145"/>
      <c r="R60" s="145"/>
    </row>
    <row r="61" spans="1:18" ht="12.9">
      <c r="A61" s="145"/>
      <c r="B61" s="145"/>
      <c r="C61" s="145"/>
      <c r="D61" s="145"/>
      <c r="E61" s="145"/>
      <c r="F61" s="145"/>
      <c r="G61" s="145"/>
      <c r="H61" s="145"/>
      <c r="I61" s="145"/>
      <c r="J61" s="145"/>
      <c r="K61" s="145"/>
      <c r="L61" s="145"/>
      <c r="M61" s="145"/>
      <c r="N61" s="145"/>
      <c r="O61" s="145"/>
      <c r="P61" s="145"/>
      <c r="Q61" s="145"/>
      <c r="R61" s="145"/>
    </row>
    <row r="62" spans="1:18" ht="12.9">
      <c r="A62" s="145"/>
      <c r="B62" s="145"/>
      <c r="C62" s="145"/>
      <c r="D62" s="145"/>
      <c r="E62" s="145"/>
      <c r="F62" s="145"/>
      <c r="G62" s="145"/>
      <c r="H62" s="145"/>
      <c r="I62" s="145"/>
      <c r="J62" s="145"/>
      <c r="K62" s="145"/>
      <c r="L62" s="145"/>
      <c r="M62" s="145"/>
      <c r="N62" s="145"/>
      <c r="O62" s="145"/>
      <c r="P62" s="145"/>
      <c r="Q62" s="145"/>
      <c r="R62" s="145"/>
    </row>
    <row r="63" spans="1:18" ht="13.6">
      <c r="A63" s="145"/>
      <c r="B63" s="175" t="s">
        <v>230</v>
      </c>
      <c r="C63" s="175"/>
      <c r="D63" s="145"/>
      <c r="E63" s="145"/>
      <c r="F63" s="145"/>
      <c r="G63" s="145"/>
      <c r="H63" s="145"/>
      <c r="I63" s="145"/>
      <c r="J63" s="145"/>
      <c r="K63" s="145"/>
      <c r="L63" s="145"/>
      <c r="M63" s="145"/>
      <c r="N63" s="145"/>
      <c r="O63" s="145"/>
      <c r="P63" s="145"/>
      <c r="Q63" s="145"/>
      <c r="R63" s="145"/>
    </row>
    <row r="64" spans="1:18" ht="13.6">
      <c r="A64" s="145"/>
      <c r="B64" s="156" t="s">
        <v>231</v>
      </c>
      <c r="C64" s="156"/>
      <c r="D64" s="145">
        <f>$D$3+1</f>
        <v>3</v>
      </c>
      <c r="E64" s="145">
        <f t="shared" ref="E64:F64" si="4">$D$3+1</f>
        <v>3</v>
      </c>
      <c r="F64" s="145">
        <f t="shared" si="4"/>
        <v>3</v>
      </c>
      <c r="G64" s="145"/>
      <c r="H64" s="145"/>
      <c r="I64" s="145"/>
      <c r="J64" s="145"/>
      <c r="K64" s="145"/>
      <c r="L64" s="145"/>
      <c r="M64" s="145"/>
      <c r="N64" s="145"/>
      <c r="O64" s="145"/>
      <c r="P64" s="145"/>
      <c r="Q64" s="145"/>
      <c r="R64" s="145"/>
    </row>
    <row r="65" spans="1:18" ht="13.6">
      <c r="A65" s="176" t="s">
        <v>232</v>
      </c>
      <c r="B65" s="156" t="s">
        <v>233</v>
      </c>
      <c r="C65" s="156"/>
      <c r="D65" s="145">
        <f>D24+$D$4-1</f>
        <v>4</v>
      </c>
      <c r="E65" s="145">
        <f t="shared" ref="E65:F65" si="5">E24+$D$4-1</f>
        <v>5</v>
      </c>
      <c r="F65" s="145">
        <f t="shared" si="5"/>
        <v>6</v>
      </c>
      <c r="G65" s="145"/>
      <c r="H65" s="145"/>
      <c r="I65" s="145"/>
      <c r="J65" s="145"/>
      <c r="K65" s="145"/>
      <c r="L65" s="145"/>
      <c r="M65" s="145"/>
      <c r="N65" s="145"/>
      <c r="O65" s="145"/>
      <c r="P65" s="145"/>
      <c r="Q65" s="145"/>
      <c r="R65" s="145"/>
    </row>
    <row r="66" spans="1:18" ht="13.6">
      <c r="A66" s="176"/>
      <c r="B66" s="156"/>
      <c r="C66" s="156"/>
      <c r="D66" s="177">
        <f>D65-D64</f>
        <v>1</v>
      </c>
      <c r="E66" s="177">
        <f t="shared" ref="E66:F66" si="6">E65-E64</f>
        <v>2</v>
      </c>
      <c r="F66" s="177">
        <f t="shared" si="6"/>
        <v>3</v>
      </c>
      <c r="G66" s="177"/>
      <c r="H66" s="177"/>
      <c r="I66" s="177"/>
      <c r="J66" s="145"/>
      <c r="K66" s="145"/>
      <c r="L66" s="145"/>
      <c r="M66" s="145"/>
      <c r="N66" s="145"/>
      <c r="O66" s="145"/>
      <c r="P66" s="145"/>
      <c r="Q66" s="145"/>
      <c r="R66" s="145"/>
    </row>
    <row r="67" spans="1:18" ht="13.6">
      <c r="A67" s="145"/>
      <c r="B67" s="175" t="s">
        <v>234</v>
      </c>
      <c r="C67" s="175"/>
      <c r="D67" s="145"/>
      <c r="E67" s="145"/>
      <c r="F67" s="145"/>
      <c r="G67" s="145"/>
      <c r="H67" s="145"/>
      <c r="I67" s="145"/>
      <c r="J67" s="145"/>
      <c r="K67" s="145"/>
      <c r="L67" s="145"/>
      <c r="M67" s="145"/>
      <c r="N67" s="145"/>
      <c r="O67" s="145"/>
      <c r="P67" s="145"/>
      <c r="Q67" s="145"/>
      <c r="R67" s="145"/>
    </row>
    <row r="68" spans="1:18" ht="13.6">
      <c r="A68" s="145"/>
      <c r="B68" s="156" t="s">
        <v>235</v>
      </c>
      <c r="C68" s="156"/>
      <c r="D68" s="145">
        <f>IF(D66&lt;0, 0, D64-$D$3)</f>
        <v>1</v>
      </c>
      <c r="E68" s="145">
        <f t="shared" ref="E68" si="7">IF(E66&lt;0, 0, E64-$D$3)</f>
        <v>1</v>
      </c>
      <c r="F68" s="145">
        <f>IF(F66&lt;0, 0, F64-$D$3)</f>
        <v>1</v>
      </c>
      <c r="G68" s="145"/>
      <c r="H68" s="145"/>
      <c r="I68" s="145"/>
      <c r="J68" s="145"/>
      <c r="K68" s="145"/>
      <c r="L68" s="145"/>
      <c r="M68" s="145"/>
      <c r="N68" s="145"/>
      <c r="O68" s="145"/>
      <c r="P68" s="145"/>
      <c r="Q68" s="145"/>
      <c r="R68" s="145"/>
    </row>
    <row r="69" spans="1:18" ht="12.9">
      <c r="A69" s="145"/>
      <c r="B69" s="177"/>
      <c r="C69" s="177"/>
      <c r="D69" s="145">
        <f>IF(OR(D68=0, D$66&lt;D68), 0, D68+1)</f>
        <v>2</v>
      </c>
      <c r="E69" s="145">
        <f t="shared" ref="E69:F72" si="8">IF(OR(E68=0, E$66&lt;E68), 0, E68+1)</f>
        <v>2</v>
      </c>
      <c r="F69" s="145">
        <f t="shared" si="8"/>
        <v>2</v>
      </c>
      <c r="G69" s="145"/>
      <c r="H69" s="145"/>
      <c r="I69" s="145"/>
      <c r="J69" s="145"/>
      <c r="K69" s="145"/>
      <c r="L69" s="145"/>
      <c r="M69" s="145"/>
      <c r="N69" s="145"/>
      <c r="O69" s="145"/>
      <c r="P69" s="145"/>
      <c r="Q69" s="145"/>
      <c r="R69" s="145"/>
    </row>
    <row r="70" spans="1:18" ht="12.9">
      <c r="A70" s="145"/>
      <c r="B70" s="177"/>
      <c r="C70" s="177"/>
      <c r="D70" s="145">
        <f t="shared" ref="D70:D72" si="9">IF(OR(D69=0, D$66&lt;D69), 0, D69+1)</f>
        <v>0</v>
      </c>
      <c r="E70" s="145">
        <f t="shared" si="8"/>
        <v>3</v>
      </c>
      <c r="F70" s="145">
        <f t="shared" si="8"/>
        <v>3</v>
      </c>
      <c r="G70" s="145"/>
      <c r="H70" s="145"/>
      <c r="I70" s="145"/>
      <c r="J70" s="145"/>
      <c r="K70" s="145"/>
      <c r="L70" s="145"/>
      <c r="M70" s="145"/>
      <c r="N70" s="145"/>
      <c r="O70" s="145"/>
      <c r="P70" s="145"/>
      <c r="Q70" s="145"/>
      <c r="R70" s="145"/>
    </row>
    <row r="71" spans="1:18" ht="12.9">
      <c r="A71" s="145"/>
      <c r="B71" s="177"/>
      <c r="C71" s="177"/>
      <c r="D71" s="145">
        <f t="shared" si="9"/>
        <v>0</v>
      </c>
      <c r="E71" s="145">
        <f t="shared" si="8"/>
        <v>0</v>
      </c>
      <c r="F71" s="145">
        <f t="shared" si="8"/>
        <v>4</v>
      </c>
      <c r="G71" s="145"/>
      <c r="H71" s="145"/>
      <c r="I71" s="145"/>
      <c r="J71" s="145"/>
      <c r="K71" s="145"/>
      <c r="L71" s="145"/>
      <c r="M71" s="145"/>
      <c r="N71" s="145"/>
      <c r="O71" s="145"/>
      <c r="P71" s="145"/>
      <c r="Q71" s="145"/>
      <c r="R71" s="145"/>
    </row>
    <row r="72" spans="1:18" ht="12.9">
      <c r="A72" s="145"/>
      <c r="B72" s="177"/>
      <c r="C72" s="177"/>
      <c r="D72" s="145">
        <f t="shared" si="9"/>
        <v>0</v>
      </c>
      <c r="E72" s="145">
        <f t="shared" si="8"/>
        <v>0</v>
      </c>
      <c r="F72" s="145">
        <f t="shared" si="8"/>
        <v>0</v>
      </c>
      <c r="G72" s="145"/>
      <c r="H72" s="145"/>
      <c r="I72" s="145"/>
      <c r="J72" s="145"/>
      <c r="K72" s="145"/>
      <c r="L72" s="145"/>
      <c r="M72" s="145"/>
      <c r="N72" s="145"/>
      <c r="O72" s="145"/>
      <c r="P72" s="145"/>
      <c r="Q72" s="145"/>
      <c r="R72" s="145"/>
    </row>
    <row r="73" spans="1:18" ht="12.9">
      <c r="A73" s="145"/>
      <c r="B73" s="145"/>
      <c r="C73" s="145"/>
      <c r="D73" s="145"/>
      <c r="E73" s="145"/>
      <c r="F73" s="145"/>
      <c r="G73" s="145"/>
      <c r="H73" s="145"/>
      <c r="I73" s="145"/>
      <c r="J73" s="145"/>
      <c r="K73" s="145"/>
      <c r="L73" s="145"/>
      <c r="M73" s="145"/>
      <c r="N73" s="145"/>
      <c r="O73" s="145"/>
      <c r="P73" s="145"/>
      <c r="Q73" s="145"/>
      <c r="R73" s="145"/>
    </row>
    <row r="74" spans="1:18" ht="13.6">
      <c r="A74" s="145"/>
      <c r="B74" s="175" t="s">
        <v>236</v>
      </c>
      <c r="C74" s="175"/>
      <c r="D74" s="145"/>
      <c r="E74" s="145"/>
      <c r="F74" s="145"/>
      <c r="G74" s="145"/>
      <c r="H74" s="145"/>
      <c r="I74" s="145"/>
      <c r="J74" s="145"/>
      <c r="K74" s="145"/>
      <c r="L74" s="145"/>
      <c r="M74" s="145"/>
      <c r="N74" s="145"/>
      <c r="O74" s="145"/>
      <c r="P74" s="145"/>
      <c r="Q74" s="145"/>
      <c r="R74" s="145"/>
    </row>
    <row r="75" spans="1:18" ht="12.9">
      <c r="A75" s="145"/>
      <c r="B75" s="145"/>
      <c r="C75" s="145"/>
      <c r="D75" s="178">
        <f>IF(D68&gt;0, $D$6/((1+$D$6)^D68), 0)</f>
        <v>6.9767441860465115E-2</v>
      </c>
      <c r="E75" s="178">
        <f t="shared" ref="D75:F79" si="10">IF(E68&gt;0, $D$6/((1+$D$6)^E68), 0)</f>
        <v>6.9767441860465115E-2</v>
      </c>
      <c r="F75" s="178">
        <f t="shared" si="10"/>
        <v>6.9767441860465115E-2</v>
      </c>
      <c r="G75" s="178"/>
      <c r="H75" s="178"/>
      <c r="I75" s="178"/>
      <c r="J75" s="145"/>
      <c r="K75" s="145"/>
      <c r="L75" s="145"/>
      <c r="M75" s="145"/>
      <c r="N75" s="145"/>
      <c r="O75" s="145"/>
      <c r="P75" s="145"/>
      <c r="Q75" s="145"/>
      <c r="R75" s="145"/>
    </row>
    <row r="76" spans="1:18" ht="12.9">
      <c r="A76" s="145"/>
      <c r="B76" s="177"/>
      <c r="C76" s="177"/>
      <c r="D76" s="178">
        <f t="shared" si="10"/>
        <v>6.4899945916711735E-2</v>
      </c>
      <c r="E76" s="178">
        <f t="shared" si="10"/>
        <v>6.4899945916711735E-2</v>
      </c>
      <c r="F76" s="178">
        <f t="shared" si="10"/>
        <v>6.4899945916711735E-2</v>
      </c>
      <c r="G76" s="178"/>
      <c r="H76" s="178"/>
      <c r="I76" s="178"/>
      <c r="J76" s="145"/>
      <c r="K76" s="145"/>
      <c r="L76" s="145"/>
      <c r="M76" s="145"/>
      <c r="N76" s="145"/>
      <c r="O76" s="145"/>
      <c r="P76" s="145"/>
      <c r="Q76" s="145"/>
      <c r="R76" s="145"/>
    </row>
    <row r="77" spans="1:18" ht="12.9">
      <c r="A77" s="145"/>
      <c r="B77" s="177"/>
      <c r="C77" s="177"/>
      <c r="D77" s="178">
        <f t="shared" si="10"/>
        <v>0</v>
      </c>
      <c r="E77" s="178">
        <f t="shared" si="10"/>
        <v>6.0372042713220227E-2</v>
      </c>
      <c r="F77" s="178">
        <f t="shared" si="10"/>
        <v>6.0372042713220227E-2</v>
      </c>
      <c r="G77" s="178"/>
      <c r="H77" s="178"/>
      <c r="I77" s="178"/>
      <c r="J77" s="145"/>
      <c r="K77" s="145"/>
      <c r="L77" s="145"/>
      <c r="M77" s="145"/>
      <c r="N77" s="145"/>
      <c r="O77" s="145"/>
      <c r="P77" s="145"/>
      <c r="Q77" s="145"/>
      <c r="R77" s="145"/>
    </row>
    <row r="78" spans="1:18" ht="12.9">
      <c r="A78" s="145"/>
      <c r="B78" s="177"/>
      <c r="C78" s="177"/>
      <c r="D78" s="178">
        <f t="shared" si="10"/>
        <v>0</v>
      </c>
      <c r="E78" s="178">
        <f t="shared" si="10"/>
        <v>0</v>
      </c>
      <c r="F78" s="178">
        <f t="shared" si="10"/>
        <v>5.6160039733228112E-2</v>
      </c>
      <c r="G78" s="178"/>
      <c r="H78" s="178"/>
      <c r="I78" s="178"/>
      <c r="J78" s="145"/>
      <c r="K78" s="145"/>
      <c r="L78" s="145"/>
      <c r="M78" s="145"/>
      <c r="N78" s="145"/>
      <c r="O78" s="145"/>
      <c r="P78" s="145"/>
      <c r="Q78" s="145"/>
      <c r="R78" s="145"/>
    </row>
    <row r="79" spans="1:18" ht="12.9">
      <c r="A79" s="145"/>
      <c r="B79" s="177"/>
      <c r="C79" s="177"/>
      <c r="D79" s="178">
        <f t="shared" si="10"/>
        <v>0</v>
      </c>
      <c r="E79" s="178">
        <f t="shared" si="10"/>
        <v>0</v>
      </c>
      <c r="F79" s="178">
        <f t="shared" si="10"/>
        <v>0</v>
      </c>
      <c r="G79" s="178"/>
      <c r="H79" s="178"/>
      <c r="I79" s="178"/>
      <c r="J79" s="145"/>
      <c r="K79" s="145"/>
      <c r="L79" s="145"/>
      <c r="M79" s="169"/>
      <c r="N79" s="169"/>
      <c r="O79" s="169"/>
      <c r="P79" s="169"/>
      <c r="Q79" s="169"/>
      <c r="R79" s="169"/>
    </row>
    <row r="80" spans="1:18" ht="12.9">
      <c r="A80" s="145"/>
      <c r="B80" s="145"/>
      <c r="C80" s="145"/>
      <c r="D80" s="145"/>
      <c r="E80" s="145"/>
      <c r="F80" s="145"/>
      <c r="G80" s="145"/>
      <c r="H80" s="145"/>
      <c r="I80" s="145"/>
      <c r="J80" s="145"/>
      <c r="K80" s="145"/>
      <c r="L80" s="145"/>
      <c r="M80" s="145"/>
      <c r="N80" s="145"/>
      <c r="O80" s="145"/>
      <c r="P80" s="145"/>
      <c r="Q80" s="145"/>
      <c r="R80" s="145"/>
    </row>
    <row r="81" spans="1:18" ht="13.6">
      <c r="A81" s="145"/>
      <c r="B81" s="175" t="s">
        <v>222</v>
      </c>
      <c r="C81" s="175"/>
      <c r="D81" s="169">
        <f t="shared" ref="D81:E81" si="11">D$31*SUM(D$75:D$79)</f>
        <v>-453.4626230012812</v>
      </c>
      <c r="E81" s="169">
        <f t="shared" si="11"/>
        <v>-240.09530850421658</v>
      </c>
      <c r="F81" s="169">
        <f>F$31*SUM(F$75:F$79)</f>
        <v>140.04575835982033</v>
      </c>
      <c r="G81" s="169"/>
      <c r="H81" s="169"/>
      <c r="I81" s="169"/>
      <c r="J81" s="145"/>
      <c r="K81" s="145"/>
      <c r="L81" s="145"/>
      <c r="M81" s="145"/>
      <c r="N81" s="145"/>
      <c r="O81" s="145"/>
      <c r="P81" s="145"/>
      <c r="Q81" s="145"/>
      <c r="R81" s="145"/>
    </row>
    <row r="82" spans="1:18" ht="12.9">
      <c r="A82" s="145"/>
      <c r="B82" s="145"/>
      <c r="C82" s="145"/>
      <c r="D82" s="145"/>
      <c r="E82" s="145"/>
      <c r="F82" s="145"/>
      <c r="G82" s="145"/>
      <c r="H82" s="145"/>
      <c r="I82" s="145"/>
      <c r="J82" s="145"/>
      <c r="K82" s="145"/>
      <c r="L82" s="145"/>
      <c r="M82" s="145"/>
      <c r="N82" s="145"/>
      <c r="O82" s="145"/>
      <c r="P82" s="145"/>
      <c r="Q82" s="145"/>
      <c r="R82" s="145"/>
    </row>
    <row r="83" spans="1:18" ht="12.9">
      <c r="A83" s="174"/>
      <c r="B83" s="174"/>
      <c r="C83" s="174"/>
      <c r="D83" s="174"/>
      <c r="E83" s="174"/>
      <c r="F83" s="174"/>
      <c r="G83" s="174"/>
      <c r="H83" s="174"/>
      <c r="I83" s="174"/>
      <c r="J83" s="174"/>
      <c r="K83" s="174"/>
      <c r="L83" s="174"/>
      <c r="M83" s="174"/>
      <c r="N83" s="174"/>
      <c r="O83" s="174"/>
      <c r="P83" s="174"/>
      <c r="Q83" s="174"/>
      <c r="R83" s="174"/>
    </row>
    <row r="84" spans="1:18" ht="12.9">
      <c r="A84" s="145"/>
      <c r="B84" s="145"/>
      <c r="C84" s="145"/>
      <c r="D84" s="145"/>
      <c r="E84" s="145"/>
      <c r="F84" s="145"/>
      <c r="G84" s="145"/>
      <c r="H84" s="145"/>
      <c r="I84" s="145"/>
      <c r="J84" s="145"/>
      <c r="K84" s="145"/>
      <c r="L84" s="145"/>
      <c r="M84" s="145"/>
      <c r="N84" s="145"/>
      <c r="O84" s="145"/>
      <c r="P84" s="145"/>
      <c r="Q84" s="145"/>
      <c r="R84" s="145"/>
    </row>
    <row r="85" spans="1:18" ht="12.9">
      <c r="A85" s="145"/>
      <c r="B85" s="145"/>
      <c r="C85" s="145"/>
      <c r="D85" s="145"/>
      <c r="E85" s="145"/>
      <c r="F85" s="145"/>
      <c r="G85" s="145"/>
      <c r="H85" s="145"/>
      <c r="I85" s="145"/>
      <c r="J85" s="145"/>
      <c r="K85" s="145"/>
      <c r="L85" s="145"/>
      <c r="M85" s="145"/>
      <c r="N85" s="145"/>
      <c r="O85" s="145"/>
      <c r="P85" s="145"/>
      <c r="Q85" s="145"/>
      <c r="R85" s="145"/>
    </row>
    <row r="86" spans="1:18" ht="12.9">
      <c r="A86" s="145"/>
      <c r="B86" s="145"/>
      <c r="C86" s="145"/>
      <c r="D86" s="145"/>
      <c r="E86" s="145"/>
      <c r="F86" s="145"/>
      <c r="G86" s="145"/>
      <c r="H86" s="145"/>
      <c r="I86" s="145"/>
      <c r="J86" s="145"/>
      <c r="K86" s="145"/>
      <c r="L86" s="145"/>
      <c r="M86" s="145"/>
      <c r="N86" s="145"/>
      <c r="O86" s="145"/>
      <c r="P86" s="145"/>
      <c r="Q86" s="145"/>
      <c r="R86" s="145"/>
    </row>
    <row r="87" spans="1:18" ht="12.9">
      <c r="A87" s="145"/>
      <c r="B87" s="145"/>
      <c r="C87" s="145"/>
      <c r="D87" s="145"/>
      <c r="E87" s="145"/>
      <c r="F87" s="145"/>
      <c r="G87" s="145"/>
      <c r="H87" s="145"/>
      <c r="I87" s="145"/>
      <c r="J87" s="145"/>
      <c r="K87" s="145"/>
      <c r="L87" s="145"/>
      <c r="M87" s="145"/>
      <c r="N87" s="145"/>
      <c r="O87" s="145"/>
      <c r="P87" s="145"/>
      <c r="Q87" s="145"/>
      <c r="R87" s="145"/>
    </row>
    <row r="88" spans="1:18" ht="12.9">
      <c r="A88" s="145"/>
      <c r="B88" s="145"/>
      <c r="C88" s="145"/>
      <c r="D88" s="145"/>
      <c r="E88" s="145"/>
      <c r="F88" s="145"/>
      <c r="G88" s="145"/>
      <c r="H88" s="145"/>
      <c r="I88" s="145"/>
      <c r="J88" s="145"/>
      <c r="K88" s="145"/>
      <c r="L88" s="145"/>
      <c r="M88" s="145"/>
      <c r="N88" s="145"/>
      <c r="O88" s="145"/>
      <c r="P88" s="145"/>
      <c r="Q88" s="145"/>
      <c r="R88" s="145"/>
    </row>
    <row r="89" spans="1:18" ht="12.9">
      <c r="A89" s="145"/>
      <c r="B89" s="145"/>
      <c r="C89" s="145"/>
      <c r="D89" s="145"/>
      <c r="E89" s="145"/>
      <c r="F89" s="145"/>
      <c r="G89" s="145"/>
      <c r="H89" s="145"/>
      <c r="I89" s="145"/>
      <c r="J89" s="145"/>
      <c r="K89" s="145"/>
      <c r="L89" s="145"/>
      <c r="M89" s="145"/>
      <c r="N89" s="145"/>
      <c r="O89" s="145"/>
      <c r="P89" s="145"/>
      <c r="Q89" s="145"/>
      <c r="R89" s="145"/>
    </row>
    <row r="90" spans="1:18" ht="13.6">
      <c r="A90" s="145"/>
      <c r="B90" s="175" t="s">
        <v>230</v>
      </c>
      <c r="C90" s="175"/>
      <c r="D90" s="145"/>
      <c r="E90" s="145"/>
      <c r="F90" s="145"/>
      <c r="G90" s="145"/>
      <c r="H90" s="145"/>
      <c r="I90" s="145"/>
      <c r="J90" s="145"/>
      <c r="K90" s="145"/>
      <c r="L90" s="145"/>
      <c r="M90" s="145"/>
      <c r="N90" s="145"/>
      <c r="O90" s="145"/>
      <c r="P90" s="145"/>
      <c r="Q90" s="145"/>
      <c r="R90" s="145"/>
    </row>
    <row r="91" spans="1:18" ht="13.6">
      <c r="A91" s="161"/>
      <c r="B91" s="156" t="s">
        <v>237</v>
      </c>
      <c r="C91" s="156"/>
      <c r="D91" s="145">
        <f t="shared" ref="D91:F91" si="12">D24+$D$4+1</f>
        <v>6</v>
      </c>
      <c r="E91" s="145">
        <f t="shared" si="12"/>
        <v>7</v>
      </c>
      <c r="F91" s="145">
        <f t="shared" si="12"/>
        <v>8</v>
      </c>
      <c r="G91" s="145"/>
      <c r="H91" s="145"/>
      <c r="I91" s="145"/>
      <c r="J91" s="145"/>
      <c r="K91" s="145"/>
      <c r="L91" s="145"/>
      <c r="M91" s="145"/>
      <c r="N91" s="145"/>
      <c r="O91" s="145"/>
      <c r="P91" s="145"/>
      <c r="Q91" s="145"/>
      <c r="R91" s="145"/>
    </row>
    <row r="92" spans="1:18" ht="13.6">
      <c r="A92" s="176" t="s">
        <v>232</v>
      </c>
      <c r="B92" s="156" t="s">
        <v>238</v>
      </c>
      <c r="C92" s="156"/>
      <c r="D92" s="145">
        <f>$D$3</f>
        <v>2</v>
      </c>
      <c r="E92" s="145">
        <f t="shared" ref="E92:F92" si="13">$D$3</f>
        <v>2</v>
      </c>
      <c r="F92" s="145">
        <f t="shared" si="13"/>
        <v>2</v>
      </c>
      <c r="G92" s="145"/>
      <c r="H92" s="145"/>
      <c r="I92" s="145"/>
      <c r="J92" s="145"/>
      <c r="K92" s="145"/>
      <c r="L92" s="145"/>
      <c r="M92" s="145"/>
      <c r="N92" s="145"/>
      <c r="O92" s="145"/>
      <c r="P92" s="145"/>
      <c r="Q92" s="145"/>
      <c r="R92" s="145"/>
    </row>
    <row r="93" spans="1:18" ht="12.9">
      <c r="A93" s="145"/>
      <c r="B93" s="145"/>
      <c r="C93" s="145"/>
      <c r="D93" s="177">
        <f>D92-D91</f>
        <v>-4</v>
      </c>
      <c r="E93" s="177">
        <f t="shared" ref="E93:F93" si="14">E92-E91</f>
        <v>-5</v>
      </c>
      <c r="F93" s="177">
        <f t="shared" si="14"/>
        <v>-6</v>
      </c>
      <c r="G93" s="177"/>
      <c r="H93" s="177"/>
      <c r="I93" s="177"/>
      <c r="J93" s="145"/>
      <c r="K93" s="145"/>
      <c r="L93" s="145"/>
      <c r="M93" s="145"/>
      <c r="N93" s="145"/>
      <c r="O93" s="145"/>
      <c r="P93" s="145"/>
      <c r="Q93" s="145"/>
      <c r="R93" s="145"/>
    </row>
    <row r="94" spans="1:18" ht="13.6">
      <c r="A94" s="145"/>
      <c r="B94" s="175" t="s">
        <v>234</v>
      </c>
      <c r="C94" s="175"/>
      <c r="D94" s="145"/>
      <c r="E94" s="145"/>
      <c r="F94" s="145"/>
      <c r="G94" s="145"/>
      <c r="H94" s="145"/>
      <c r="I94" s="145"/>
      <c r="J94" s="145"/>
      <c r="K94" s="145"/>
      <c r="L94" s="145"/>
      <c r="M94" s="145"/>
      <c r="N94" s="145"/>
      <c r="O94" s="145"/>
      <c r="P94" s="145"/>
      <c r="Q94" s="145"/>
      <c r="R94" s="145"/>
    </row>
    <row r="95" spans="1:18" ht="13.6">
      <c r="A95" s="145"/>
      <c r="B95" s="156" t="s">
        <v>239</v>
      </c>
      <c r="C95" s="156"/>
      <c r="D95" s="179" t="str">
        <f>IF(D93&lt;0, "", $D$3-D91)</f>
        <v/>
      </c>
      <c r="E95" s="179" t="str">
        <f t="shared" ref="E95:F95" si="15">IF(E93&lt;0, "", $D$3-E91)</f>
        <v/>
      </c>
      <c r="F95" s="179" t="str">
        <f t="shared" si="15"/>
        <v/>
      </c>
      <c r="G95" s="179"/>
      <c r="H95" s="179"/>
      <c r="I95" s="179"/>
      <c r="J95" s="145"/>
      <c r="K95" s="145"/>
      <c r="L95" s="145"/>
      <c r="M95" s="145"/>
      <c r="N95" s="145"/>
      <c r="O95" s="145"/>
      <c r="P95" s="145"/>
      <c r="Q95" s="145"/>
      <c r="R95" s="145"/>
    </row>
    <row r="96" spans="1:18" ht="12.9">
      <c r="A96" s="145"/>
      <c r="B96" s="177"/>
      <c r="C96" s="177"/>
      <c r="D96" s="179" t="str">
        <f t="shared" ref="D96:F100" si="16">IF(OR(D$93&lt;0,D95=0, D95=""), "", D95-1)</f>
        <v/>
      </c>
      <c r="E96" s="179" t="str">
        <f t="shared" si="16"/>
        <v/>
      </c>
      <c r="F96" s="179" t="str">
        <f t="shared" si="16"/>
        <v/>
      </c>
      <c r="G96" s="179"/>
      <c r="H96" s="179"/>
      <c r="I96" s="179"/>
      <c r="J96" s="145"/>
      <c r="K96" s="145"/>
      <c r="L96" s="145"/>
      <c r="M96" s="145"/>
      <c r="N96" s="145"/>
      <c r="O96" s="145"/>
      <c r="P96" s="145"/>
      <c r="Q96" s="145"/>
      <c r="R96" s="145"/>
    </row>
    <row r="97" spans="1:18" ht="12.9">
      <c r="A97" s="145"/>
      <c r="B97" s="177"/>
      <c r="C97" s="177"/>
      <c r="D97" s="179" t="str">
        <f t="shared" si="16"/>
        <v/>
      </c>
      <c r="E97" s="179" t="str">
        <f t="shared" si="16"/>
        <v/>
      </c>
      <c r="F97" s="179" t="str">
        <f t="shared" si="16"/>
        <v/>
      </c>
      <c r="G97" s="179"/>
      <c r="H97" s="179"/>
      <c r="I97" s="179"/>
      <c r="J97" s="145"/>
      <c r="K97" s="145"/>
      <c r="L97" s="145"/>
      <c r="M97" s="145"/>
      <c r="N97" s="145"/>
      <c r="O97" s="145"/>
      <c r="P97" s="145"/>
      <c r="Q97" s="145"/>
      <c r="R97" s="145"/>
    </row>
    <row r="98" spans="1:18" ht="12.9">
      <c r="A98" s="145"/>
      <c r="B98" s="177"/>
      <c r="C98" s="177"/>
      <c r="D98" s="179" t="str">
        <f t="shared" si="16"/>
        <v/>
      </c>
      <c r="E98" s="179" t="str">
        <f t="shared" si="16"/>
        <v/>
      </c>
      <c r="F98" s="179" t="str">
        <f t="shared" si="16"/>
        <v/>
      </c>
      <c r="G98" s="179"/>
      <c r="H98" s="179"/>
      <c r="I98" s="179"/>
      <c r="J98" s="145"/>
      <c r="K98" s="145"/>
      <c r="L98" s="145"/>
      <c r="M98" s="145"/>
      <c r="N98" s="145"/>
      <c r="O98" s="145"/>
      <c r="P98" s="145"/>
      <c r="Q98" s="145"/>
      <c r="R98" s="145"/>
    </row>
    <row r="99" spans="1:18" ht="12.9">
      <c r="A99" s="145"/>
      <c r="B99" s="177"/>
      <c r="C99" s="177"/>
      <c r="D99" s="179" t="str">
        <f>IF(OR(D$93&lt;0,D98=0, D98=""), "", D98-1)</f>
        <v/>
      </c>
      <c r="E99" s="179" t="str">
        <f t="shared" si="16"/>
        <v/>
      </c>
      <c r="F99" s="179" t="str">
        <f t="shared" si="16"/>
        <v/>
      </c>
      <c r="G99" s="179"/>
      <c r="H99" s="179"/>
      <c r="I99" s="179"/>
      <c r="J99" s="145"/>
      <c r="K99" s="145"/>
      <c r="L99" s="145"/>
      <c r="M99" s="145"/>
      <c r="N99" s="145"/>
      <c r="O99" s="145"/>
      <c r="P99" s="145"/>
      <c r="Q99" s="145"/>
      <c r="R99" s="145"/>
    </row>
    <row r="100" spans="1:18" ht="12.9">
      <c r="A100" s="145"/>
      <c r="B100" s="177"/>
      <c r="C100" s="177"/>
      <c r="D100" s="179" t="str">
        <f>IF(OR(D$93&lt;0,D99=0, D99=""), "", D99-1)</f>
        <v/>
      </c>
      <c r="E100" s="179" t="str">
        <f t="shared" si="16"/>
        <v/>
      </c>
      <c r="F100" s="179" t="str">
        <f t="shared" si="16"/>
        <v/>
      </c>
      <c r="G100" s="179"/>
      <c r="H100" s="179"/>
      <c r="I100" s="179"/>
      <c r="J100" s="145"/>
      <c r="K100" s="145"/>
      <c r="L100" s="145"/>
      <c r="M100" s="145"/>
      <c r="N100" s="145"/>
      <c r="O100" s="145"/>
      <c r="P100" s="145"/>
      <c r="Q100" s="145"/>
      <c r="R100" s="145"/>
    </row>
    <row r="101" spans="1:18" ht="12.9">
      <c r="A101" s="145"/>
      <c r="B101" s="177"/>
      <c r="C101" s="177"/>
      <c r="D101" s="145"/>
      <c r="E101" s="145"/>
      <c r="F101" s="145"/>
      <c r="G101" s="145"/>
      <c r="H101" s="145"/>
      <c r="I101" s="145"/>
      <c r="J101" s="145"/>
      <c r="K101" s="145"/>
      <c r="L101" s="145"/>
      <c r="M101" s="145"/>
      <c r="N101" s="145"/>
      <c r="O101" s="145"/>
      <c r="P101" s="145"/>
      <c r="Q101" s="145"/>
      <c r="R101" s="145"/>
    </row>
    <row r="102" spans="1:18" ht="13.6">
      <c r="A102" s="145"/>
      <c r="B102" s="175" t="s">
        <v>236</v>
      </c>
      <c r="C102" s="175"/>
      <c r="D102" s="145"/>
      <c r="E102" s="145"/>
      <c r="F102" s="145"/>
      <c r="G102" s="145"/>
      <c r="H102" s="145"/>
      <c r="I102" s="145"/>
      <c r="J102" s="145"/>
      <c r="K102" s="145"/>
      <c r="L102" s="145"/>
      <c r="M102" s="145"/>
      <c r="N102" s="145"/>
      <c r="O102" s="145"/>
      <c r="P102" s="145"/>
      <c r="Q102" s="145"/>
      <c r="R102" s="145"/>
    </row>
    <row r="103" spans="1:18" ht="12.9">
      <c r="A103" s="145"/>
      <c r="B103" s="145"/>
      <c r="C103" s="145"/>
      <c r="D103" s="178">
        <f>IFERROR($D$6*((1+$D$6)^D95), 0)</f>
        <v>0</v>
      </c>
      <c r="E103" s="178">
        <f t="shared" ref="E103:F103" si="17">IFERROR($D$6*((1+$D$6)^E95), 0)</f>
        <v>0</v>
      </c>
      <c r="F103" s="178">
        <f t="shared" si="17"/>
        <v>0</v>
      </c>
      <c r="G103" s="178"/>
      <c r="H103" s="178"/>
      <c r="I103" s="178"/>
      <c r="J103" s="145"/>
      <c r="K103" s="145"/>
      <c r="L103" s="145"/>
      <c r="M103" s="145"/>
      <c r="N103" s="145"/>
      <c r="O103" s="145"/>
      <c r="P103" s="145"/>
      <c r="Q103" s="145"/>
      <c r="R103" s="145"/>
    </row>
    <row r="104" spans="1:18" ht="12.9">
      <c r="A104" s="145"/>
      <c r="B104" s="177"/>
      <c r="C104" s="177"/>
      <c r="D104" s="178">
        <f t="shared" ref="D104:F108" si="18">IFERROR($D$6*((1+$D$6)^D96), 0)</f>
        <v>0</v>
      </c>
      <c r="E104" s="178">
        <f t="shared" si="18"/>
        <v>0</v>
      </c>
      <c r="F104" s="178">
        <f t="shared" si="18"/>
        <v>0</v>
      </c>
      <c r="G104" s="178"/>
      <c r="H104" s="178"/>
      <c r="I104" s="178"/>
      <c r="J104" s="145"/>
      <c r="K104" s="145"/>
      <c r="L104" s="145"/>
      <c r="M104" s="145"/>
      <c r="N104" s="145"/>
      <c r="O104" s="145"/>
      <c r="P104" s="145"/>
      <c r="Q104" s="145"/>
      <c r="R104" s="145"/>
    </row>
    <row r="105" spans="1:18" ht="12.9">
      <c r="A105" s="145"/>
      <c r="B105" s="177"/>
      <c r="C105" s="177"/>
      <c r="D105" s="178">
        <f t="shared" si="18"/>
        <v>0</v>
      </c>
      <c r="E105" s="178">
        <f t="shared" si="18"/>
        <v>0</v>
      </c>
      <c r="F105" s="178">
        <f t="shared" si="18"/>
        <v>0</v>
      </c>
      <c r="G105" s="178"/>
      <c r="H105" s="178"/>
      <c r="I105" s="178"/>
      <c r="J105" s="145"/>
      <c r="K105" s="145"/>
      <c r="L105" s="145"/>
      <c r="M105" s="145"/>
      <c r="N105" s="145"/>
      <c r="O105" s="145"/>
      <c r="P105" s="145"/>
      <c r="Q105" s="145"/>
      <c r="R105" s="145"/>
    </row>
    <row r="106" spans="1:18" ht="12.9">
      <c r="A106" s="145"/>
      <c r="B106" s="177"/>
      <c r="C106" s="177"/>
      <c r="D106" s="178">
        <f t="shared" si="18"/>
        <v>0</v>
      </c>
      <c r="E106" s="178">
        <f t="shared" si="18"/>
        <v>0</v>
      </c>
      <c r="F106" s="178">
        <f t="shared" si="18"/>
        <v>0</v>
      </c>
      <c r="G106" s="178"/>
      <c r="H106" s="178"/>
      <c r="I106" s="178"/>
      <c r="J106" s="145"/>
      <c r="K106" s="145"/>
      <c r="L106" s="145"/>
      <c r="M106" s="145"/>
      <c r="N106" s="145"/>
      <c r="O106" s="145"/>
      <c r="P106" s="145"/>
      <c r="Q106" s="145"/>
      <c r="R106" s="145"/>
    </row>
    <row r="107" spans="1:18" ht="12.9">
      <c r="A107" s="145"/>
      <c r="B107" s="177"/>
      <c r="C107" s="177"/>
      <c r="D107" s="178">
        <f t="shared" si="18"/>
        <v>0</v>
      </c>
      <c r="E107" s="178">
        <f t="shared" si="18"/>
        <v>0</v>
      </c>
      <c r="F107" s="178">
        <f t="shared" si="18"/>
        <v>0</v>
      </c>
      <c r="G107" s="178"/>
      <c r="H107" s="178"/>
      <c r="I107" s="178"/>
      <c r="J107" s="145"/>
      <c r="K107" s="145"/>
      <c r="L107" s="145"/>
      <c r="M107" s="145"/>
      <c r="N107" s="145"/>
      <c r="O107" s="145"/>
      <c r="P107" s="145"/>
      <c r="Q107" s="145"/>
      <c r="R107" s="145"/>
    </row>
    <row r="108" spans="1:18" ht="12.9">
      <c r="A108" s="145"/>
      <c r="B108" s="177"/>
      <c r="C108" s="177"/>
      <c r="D108" s="178">
        <f t="shared" si="18"/>
        <v>0</v>
      </c>
      <c r="E108" s="178">
        <f t="shared" si="18"/>
        <v>0</v>
      </c>
      <c r="F108" s="178">
        <f t="shared" si="18"/>
        <v>0</v>
      </c>
      <c r="G108" s="178"/>
      <c r="H108" s="178"/>
      <c r="I108" s="178"/>
      <c r="J108" s="145"/>
      <c r="K108" s="145"/>
      <c r="L108" s="145"/>
      <c r="M108" s="145"/>
      <c r="N108" s="145"/>
      <c r="O108" s="145"/>
      <c r="P108" s="145"/>
      <c r="Q108" s="145"/>
      <c r="R108" s="145"/>
    </row>
    <row r="109" spans="1:18" ht="12.9">
      <c r="A109" s="145"/>
      <c r="B109" s="145"/>
      <c r="C109" s="145"/>
      <c r="D109" s="145"/>
      <c r="E109" s="145"/>
      <c r="F109" s="145"/>
      <c r="G109" s="145"/>
      <c r="H109" s="145"/>
      <c r="I109" s="145"/>
      <c r="J109" s="145"/>
      <c r="K109" s="145"/>
      <c r="L109" s="145"/>
      <c r="M109" s="145"/>
      <c r="N109" s="145"/>
      <c r="O109" s="145"/>
      <c r="P109" s="145"/>
      <c r="Q109" s="145"/>
      <c r="R109" s="145"/>
    </row>
    <row r="110" spans="1:18" ht="13.6">
      <c r="A110" s="145"/>
      <c r="B110" s="175" t="s">
        <v>223</v>
      </c>
      <c r="C110" s="175"/>
      <c r="D110" s="145">
        <f t="shared" ref="D110:F110" si="19">D$31*SUM(D$103:D$108)</f>
        <v>0</v>
      </c>
      <c r="E110" s="180">
        <f t="shared" si="19"/>
        <v>0</v>
      </c>
      <c r="F110" s="145">
        <f t="shared" si="19"/>
        <v>0</v>
      </c>
      <c r="G110" s="145"/>
      <c r="H110" s="145"/>
      <c r="I110" s="145"/>
      <c r="J110" s="145"/>
      <c r="K110" s="145"/>
      <c r="L110" s="145"/>
      <c r="M110" s="145"/>
      <c r="N110" s="145"/>
      <c r="O110" s="145"/>
      <c r="P110" s="145"/>
      <c r="Q110" s="145"/>
      <c r="R110" s="145"/>
    </row>
    <row r="111" spans="1:18" ht="12.9">
      <c r="A111" s="145"/>
      <c r="B111" s="145"/>
      <c r="C111" s="145"/>
      <c r="D111" s="145"/>
      <c r="E111" s="145"/>
      <c r="F111" s="145"/>
      <c r="G111" s="145"/>
      <c r="H111" s="145"/>
      <c r="I111" s="145"/>
      <c r="J111" s="145"/>
      <c r="K111" s="145"/>
      <c r="L111" s="145"/>
      <c r="M111" s="145"/>
      <c r="N111" s="145"/>
      <c r="O111" s="145"/>
      <c r="P111" s="145"/>
      <c r="Q111" s="145"/>
      <c r="R111" s="145"/>
    </row>
    <row r="112" spans="1:18" ht="18.350000000000001">
      <c r="A112" s="181"/>
      <c r="B112" s="157" t="s">
        <v>240</v>
      </c>
      <c r="C112" s="157"/>
      <c r="D112" s="181"/>
      <c r="E112" s="181"/>
      <c r="F112" s="181"/>
      <c r="G112" s="181"/>
      <c r="H112" s="181"/>
      <c r="I112" s="181"/>
      <c r="J112" s="181"/>
      <c r="K112" s="181"/>
      <c r="L112" s="181"/>
      <c r="M112" s="181"/>
      <c r="N112" s="181"/>
      <c r="O112" s="181"/>
      <c r="P112" s="181"/>
      <c r="Q112" s="181"/>
      <c r="R112" s="181"/>
    </row>
    <row r="113" spans="1:18" ht="12.9">
      <c r="A113" s="145"/>
      <c r="B113" s="145"/>
      <c r="C113" s="145"/>
      <c r="D113" s="145"/>
      <c r="E113" s="145"/>
      <c r="F113" s="145"/>
      <c r="G113" s="145"/>
      <c r="H113" s="145"/>
      <c r="I113" s="145"/>
      <c r="J113" s="145"/>
      <c r="K113" s="145"/>
      <c r="L113" s="145"/>
      <c r="M113" s="145"/>
      <c r="N113" s="145"/>
      <c r="O113" s="145"/>
      <c r="P113" s="145"/>
      <c r="Q113" s="145"/>
      <c r="R113" s="145"/>
    </row>
    <row r="114" spans="1:18" ht="12.9">
      <c r="A114" s="145"/>
      <c r="B114" s="145"/>
      <c r="C114" s="145"/>
      <c r="D114" s="145"/>
      <c r="E114" s="145"/>
      <c r="F114" s="145"/>
      <c r="G114" s="145"/>
      <c r="H114" s="145"/>
      <c r="I114" s="145"/>
      <c r="J114" s="145"/>
      <c r="K114" s="145"/>
      <c r="L114" s="145"/>
      <c r="M114" s="145"/>
      <c r="N114" s="145"/>
      <c r="O114" s="145"/>
      <c r="P114" s="145"/>
      <c r="Q114" s="145"/>
      <c r="R114" s="145"/>
    </row>
    <row r="115" spans="1:18" ht="12.9">
      <c r="A115" s="145"/>
      <c r="B115" s="145"/>
      <c r="C115" s="145"/>
      <c r="D115" s="145"/>
      <c r="E115" s="145"/>
      <c r="F115" s="145"/>
      <c r="G115" s="145"/>
      <c r="H115" s="145"/>
      <c r="I115" s="145"/>
      <c r="J115" s="145"/>
      <c r="K115" s="145"/>
      <c r="L115" s="145"/>
      <c r="M115" s="145"/>
      <c r="N115" s="145"/>
      <c r="O115" s="145"/>
      <c r="P115" s="145"/>
      <c r="Q115" s="145"/>
      <c r="R115" s="145"/>
    </row>
    <row r="116" spans="1:18" ht="12.9">
      <c r="A116" s="145"/>
      <c r="B116" s="145"/>
      <c r="C116" s="145"/>
      <c r="D116" s="145"/>
      <c r="E116" s="145"/>
      <c r="F116" s="145"/>
      <c r="G116" s="145"/>
      <c r="H116" s="145"/>
      <c r="I116" s="145"/>
      <c r="J116" s="145"/>
      <c r="K116" s="145"/>
      <c r="L116" s="145"/>
      <c r="M116" s="145"/>
      <c r="N116" s="145"/>
      <c r="O116" s="145"/>
      <c r="P116" s="145"/>
      <c r="Q116" s="145"/>
      <c r="R116" s="145"/>
    </row>
    <row r="117" spans="1:18" ht="12.9">
      <c r="A117" s="145"/>
      <c r="B117" s="145"/>
      <c r="C117" s="145"/>
      <c r="D117" s="145"/>
      <c r="E117" s="145"/>
      <c r="F117" s="145"/>
      <c r="G117" s="145"/>
      <c r="H117" s="145"/>
      <c r="I117" s="145"/>
      <c r="J117" s="145"/>
      <c r="K117" s="145"/>
      <c r="L117" s="145"/>
      <c r="M117" s="145"/>
      <c r="N117" s="145"/>
      <c r="O117" s="145"/>
      <c r="P117" s="145"/>
      <c r="Q117" s="145"/>
      <c r="R117" s="145"/>
    </row>
    <row r="118" spans="1:18" ht="12.9">
      <c r="A118" s="145"/>
      <c r="B118" s="145"/>
      <c r="C118" s="145"/>
      <c r="D118" s="145"/>
      <c r="E118" s="145"/>
      <c r="F118" s="145"/>
      <c r="G118" s="145"/>
      <c r="H118" s="145"/>
      <c r="I118" s="145"/>
      <c r="J118" s="145"/>
      <c r="K118" s="145"/>
      <c r="L118" s="145"/>
      <c r="M118" s="145"/>
      <c r="N118" s="145"/>
      <c r="O118" s="145"/>
      <c r="P118" s="145"/>
      <c r="Q118" s="145"/>
      <c r="R118" s="145"/>
    </row>
    <row r="119" spans="1:18" ht="12.9">
      <c r="A119" s="145"/>
      <c r="B119" s="145"/>
      <c r="C119" s="145"/>
      <c r="D119" s="145"/>
      <c r="E119" s="145"/>
      <c r="F119" s="145"/>
      <c r="G119" s="145"/>
      <c r="H119" s="145"/>
      <c r="I119" s="145"/>
      <c r="J119" s="145"/>
      <c r="K119" s="145"/>
      <c r="L119" s="145"/>
      <c r="M119" s="145"/>
      <c r="N119" s="145"/>
      <c r="O119" s="145"/>
      <c r="P119" s="145"/>
      <c r="Q119" s="145"/>
      <c r="R119" s="145"/>
    </row>
    <row r="120" spans="1:18" ht="12.9">
      <c r="A120" s="145"/>
      <c r="B120" s="145"/>
      <c r="C120" s="145"/>
      <c r="D120" s="145"/>
      <c r="E120" s="145"/>
      <c r="F120" s="145"/>
      <c r="G120" s="145"/>
      <c r="H120" s="145"/>
      <c r="I120" s="145"/>
      <c r="J120" s="145"/>
      <c r="K120" s="145"/>
      <c r="L120" s="145"/>
      <c r="M120" s="145"/>
      <c r="N120" s="145"/>
      <c r="O120" s="145"/>
      <c r="P120" s="145"/>
      <c r="Q120" s="145"/>
      <c r="R120" s="145"/>
    </row>
    <row r="121" spans="1:18" ht="12.9">
      <c r="A121" s="145"/>
      <c r="B121" s="145"/>
      <c r="C121" s="145"/>
      <c r="D121" s="145"/>
      <c r="E121" s="145"/>
      <c r="F121" s="145"/>
      <c r="G121" s="145"/>
      <c r="H121" s="145"/>
      <c r="I121" s="145"/>
      <c r="J121" s="145"/>
      <c r="K121" s="145"/>
      <c r="L121" s="145"/>
      <c r="M121" s="145"/>
      <c r="N121" s="145"/>
      <c r="O121" s="145"/>
      <c r="P121" s="145"/>
      <c r="Q121" s="145"/>
      <c r="R121" s="145"/>
    </row>
    <row r="122" spans="1:18" ht="12.9">
      <c r="A122" s="174"/>
      <c r="B122" s="174"/>
      <c r="C122" s="174"/>
      <c r="D122" s="174"/>
      <c r="E122" s="174"/>
      <c r="F122" s="174"/>
      <c r="G122" s="174"/>
      <c r="H122" s="174"/>
      <c r="I122" s="174"/>
      <c r="J122" s="174"/>
      <c r="K122" s="174"/>
      <c r="L122" s="174"/>
      <c r="M122" s="174"/>
      <c r="N122" s="174"/>
      <c r="O122" s="174"/>
      <c r="P122" s="174"/>
      <c r="Q122" s="174"/>
      <c r="R122" s="174"/>
    </row>
    <row r="123" spans="1:18" ht="12.9">
      <c r="A123" s="145"/>
      <c r="B123" s="145"/>
      <c r="C123" s="145"/>
      <c r="D123" s="145"/>
      <c r="E123" s="145"/>
      <c r="F123" s="145"/>
      <c r="G123" s="145"/>
      <c r="H123" s="145"/>
      <c r="I123" s="145"/>
      <c r="J123" s="145"/>
      <c r="K123" s="145"/>
      <c r="L123" s="145"/>
      <c r="M123" s="145"/>
      <c r="N123" s="145"/>
      <c r="O123" s="145"/>
      <c r="P123" s="145"/>
      <c r="Q123" s="145"/>
      <c r="R123" s="145"/>
    </row>
    <row r="124" spans="1:18" ht="12.9">
      <c r="A124" s="145"/>
      <c r="B124" s="145"/>
      <c r="C124" s="145"/>
      <c r="D124" s="145"/>
      <c r="E124" s="145"/>
      <c r="F124" s="145"/>
      <c r="G124" s="145"/>
      <c r="H124" s="145"/>
      <c r="I124" s="145"/>
      <c r="J124" s="145"/>
      <c r="K124" s="145"/>
      <c r="L124" s="145"/>
      <c r="M124" s="145"/>
      <c r="N124" s="145"/>
      <c r="O124" s="145"/>
      <c r="P124" s="145"/>
      <c r="Q124" s="145"/>
      <c r="R124" s="145"/>
    </row>
    <row r="125" spans="1:18" ht="12.9">
      <c r="A125" s="145"/>
      <c r="B125" s="145"/>
      <c r="C125" s="145"/>
      <c r="D125" s="145"/>
      <c r="E125" s="145"/>
      <c r="F125" s="145"/>
      <c r="G125" s="145"/>
      <c r="H125" s="145"/>
      <c r="I125" s="145"/>
      <c r="J125" s="145"/>
      <c r="K125" s="145"/>
      <c r="L125" s="145"/>
      <c r="M125" s="145"/>
      <c r="N125" s="145"/>
      <c r="O125" s="145"/>
      <c r="P125" s="145"/>
      <c r="Q125" s="145"/>
      <c r="R125" s="145"/>
    </row>
    <row r="126" spans="1:18" ht="12.9">
      <c r="A126" s="145"/>
      <c r="B126" s="145"/>
      <c r="C126" s="145"/>
      <c r="D126" s="145"/>
      <c r="E126" s="145"/>
      <c r="F126" s="145"/>
      <c r="G126" s="145"/>
      <c r="H126" s="145"/>
      <c r="I126" s="145"/>
      <c r="J126" s="145"/>
      <c r="K126" s="145"/>
      <c r="L126" s="145"/>
      <c r="M126" s="145"/>
      <c r="N126" s="145"/>
      <c r="O126" s="145"/>
      <c r="P126" s="145"/>
      <c r="Q126" s="145"/>
      <c r="R126" s="145"/>
    </row>
    <row r="127" spans="1:18" ht="12.9">
      <c r="A127" s="145"/>
      <c r="B127" s="145"/>
      <c r="C127" s="145"/>
      <c r="D127" s="145"/>
      <c r="E127" s="145"/>
      <c r="F127" s="145"/>
      <c r="G127" s="145"/>
      <c r="H127" s="145"/>
      <c r="I127" s="145"/>
      <c r="J127" s="145"/>
      <c r="K127" s="145"/>
      <c r="L127" s="145"/>
      <c r="M127" s="145"/>
      <c r="N127" s="145"/>
      <c r="O127" s="145"/>
      <c r="P127" s="145"/>
      <c r="Q127" s="145"/>
      <c r="R127" s="145"/>
    </row>
    <row r="128" spans="1:18" ht="13.6">
      <c r="A128" s="145"/>
      <c r="B128" s="175" t="s">
        <v>230</v>
      </c>
      <c r="C128" s="175"/>
      <c r="D128" s="145"/>
      <c r="E128" s="145"/>
      <c r="F128" s="145"/>
      <c r="G128" s="145"/>
      <c r="H128" s="145"/>
      <c r="I128" s="145"/>
      <c r="J128" s="145"/>
      <c r="K128" s="145"/>
      <c r="L128" s="145"/>
      <c r="M128" s="145"/>
      <c r="N128" s="145"/>
      <c r="O128" s="145"/>
      <c r="P128" s="145"/>
      <c r="Q128" s="145"/>
      <c r="R128" s="145"/>
    </row>
    <row r="129" spans="1:18" ht="13.6">
      <c r="A129" s="161"/>
      <c r="B129" s="156" t="s">
        <v>241</v>
      </c>
      <c r="C129" s="156"/>
      <c r="D129" s="145">
        <f>D3-D4+1</f>
        <v>-2</v>
      </c>
      <c r="E129" s="145"/>
      <c r="F129" s="145"/>
      <c r="G129" s="145"/>
      <c r="H129" s="145"/>
      <c r="I129" s="145"/>
      <c r="J129" s="145"/>
      <c r="K129" s="145"/>
      <c r="L129" s="145"/>
      <c r="M129" s="145"/>
      <c r="N129" s="145"/>
      <c r="O129" s="145"/>
      <c r="P129" s="145"/>
      <c r="Q129" s="145"/>
      <c r="R129" s="145"/>
    </row>
    <row r="130" spans="1:18" ht="13.6">
      <c r="A130" s="176" t="s">
        <v>232</v>
      </c>
      <c r="B130" s="156" t="s">
        <v>242</v>
      </c>
      <c r="C130" s="156"/>
      <c r="D130" s="145">
        <f>D3</f>
        <v>2</v>
      </c>
      <c r="E130" s="145"/>
      <c r="F130" s="145"/>
      <c r="G130" s="145"/>
      <c r="H130" s="145"/>
      <c r="I130" s="145"/>
      <c r="J130" s="145"/>
      <c r="K130" s="145"/>
      <c r="L130" s="145"/>
      <c r="M130" s="145"/>
      <c r="N130" s="145"/>
      <c r="O130" s="145"/>
      <c r="P130" s="145"/>
      <c r="Q130" s="145"/>
      <c r="R130" s="145"/>
    </row>
    <row r="131" spans="1:18" ht="12.9">
      <c r="A131" s="145"/>
      <c r="B131" s="145"/>
      <c r="C131" s="145"/>
      <c r="D131" s="177">
        <f>D130-D129</f>
        <v>4</v>
      </c>
      <c r="E131" s="145"/>
      <c r="F131" s="145"/>
      <c r="G131" s="145"/>
      <c r="H131" s="145"/>
      <c r="I131" s="145"/>
      <c r="J131" s="145"/>
      <c r="K131" s="145"/>
      <c r="L131" s="145"/>
      <c r="M131" s="145"/>
      <c r="N131" s="145"/>
      <c r="O131" s="145"/>
      <c r="P131" s="145"/>
      <c r="Q131" s="145"/>
      <c r="R131" s="145"/>
    </row>
    <row r="132" spans="1:18" ht="12.9">
      <c r="A132" s="145"/>
      <c r="B132" s="145"/>
      <c r="C132" s="145"/>
      <c r="D132" s="145"/>
      <c r="E132" s="145"/>
      <c r="F132" s="145"/>
      <c r="G132" s="145"/>
      <c r="H132" s="145"/>
      <c r="I132" s="145"/>
      <c r="J132" s="145"/>
      <c r="K132" s="145"/>
      <c r="L132" s="145"/>
      <c r="M132" s="145"/>
      <c r="N132" s="145"/>
      <c r="O132" s="145"/>
      <c r="P132" s="145"/>
      <c r="Q132" s="145"/>
      <c r="R132" s="145"/>
    </row>
    <row r="133" spans="1:18" ht="13.6">
      <c r="A133" s="145"/>
      <c r="B133" s="175" t="s">
        <v>214</v>
      </c>
      <c r="C133" s="175"/>
      <c r="D133" s="179">
        <f>D129</f>
        <v>-2</v>
      </c>
      <c r="E133" s="145"/>
      <c r="F133" s="145"/>
      <c r="G133" s="145"/>
      <c r="H133" s="145"/>
      <c r="I133" s="145"/>
      <c r="J133" s="145"/>
      <c r="K133" s="145"/>
      <c r="L133" s="145"/>
      <c r="M133" s="145"/>
      <c r="N133" s="145"/>
      <c r="O133" s="145"/>
      <c r="P133" s="145"/>
      <c r="Q133" s="145"/>
      <c r="R133" s="145"/>
    </row>
    <row r="134" spans="1:18" ht="12.9">
      <c r="A134" s="145"/>
      <c r="B134" s="145"/>
      <c r="C134" s="145"/>
      <c r="D134" s="179">
        <f>IF(D133&lt;$D$130, D133+1, "")</f>
        <v>-1</v>
      </c>
      <c r="E134" s="145"/>
      <c r="F134" s="145"/>
      <c r="G134" s="145"/>
      <c r="H134" s="145"/>
      <c r="I134" s="145"/>
      <c r="J134" s="145"/>
      <c r="K134" s="145"/>
      <c r="L134" s="145"/>
      <c r="M134" s="145"/>
      <c r="N134" s="145"/>
      <c r="O134" s="145"/>
      <c r="P134" s="145"/>
      <c r="Q134" s="145"/>
      <c r="R134" s="145"/>
    </row>
    <row r="135" spans="1:18" ht="12.9">
      <c r="A135" s="145"/>
      <c r="B135" s="145"/>
      <c r="C135" s="145"/>
      <c r="D135" s="179">
        <f>IF(D134&lt;$D$130, D134+1, "")</f>
        <v>0</v>
      </c>
      <c r="E135" s="145"/>
      <c r="F135" s="145"/>
      <c r="G135" s="145"/>
      <c r="H135" s="145"/>
      <c r="I135" s="145"/>
      <c r="J135" s="145"/>
      <c r="K135" s="145"/>
      <c r="L135" s="145"/>
      <c r="M135" s="145"/>
      <c r="N135" s="145"/>
      <c r="O135" s="145"/>
      <c r="P135" s="145"/>
      <c r="Q135" s="145"/>
      <c r="R135" s="145"/>
    </row>
    <row r="136" spans="1:18" ht="12.9">
      <c r="A136" s="145"/>
      <c r="B136" s="145"/>
      <c r="C136" s="145"/>
      <c r="D136" s="179">
        <f>IF(D135&lt;$D$130, D135+1, "")</f>
        <v>1</v>
      </c>
      <c r="E136" s="145"/>
      <c r="F136" s="145"/>
      <c r="G136" s="145"/>
      <c r="H136" s="145"/>
      <c r="I136" s="145"/>
      <c r="J136" s="145"/>
      <c r="K136" s="145"/>
      <c r="L136" s="145"/>
      <c r="M136" s="145"/>
      <c r="N136" s="145"/>
      <c r="O136" s="145"/>
      <c r="P136" s="145"/>
      <c r="Q136" s="145"/>
      <c r="R136" s="145"/>
    </row>
    <row r="137" spans="1:18" ht="12.9">
      <c r="A137" s="145"/>
      <c r="B137" s="145"/>
      <c r="C137" s="145"/>
      <c r="D137" s="179">
        <f>IF(D136&lt;$D$130, D136+1, "")</f>
        <v>2</v>
      </c>
      <c r="E137" s="145"/>
      <c r="F137" s="145"/>
      <c r="G137" s="145"/>
      <c r="H137" s="145"/>
      <c r="I137" s="145"/>
      <c r="J137" s="145"/>
      <c r="K137" s="145"/>
      <c r="L137" s="145"/>
      <c r="M137" s="145"/>
      <c r="N137" s="145"/>
      <c r="O137" s="145"/>
      <c r="P137" s="145"/>
      <c r="Q137" s="145"/>
      <c r="R137" s="145"/>
    </row>
    <row r="138" spans="1:18" ht="12.9">
      <c r="A138" s="145"/>
      <c r="B138" s="145"/>
      <c r="C138" s="145"/>
      <c r="D138" s="179" t="str">
        <f>IF(D137&lt;$D$130, D137+1, "")</f>
        <v/>
      </c>
      <c r="E138" s="145"/>
      <c r="F138" s="145"/>
      <c r="G138" s="145"/>
      <c r="H138" s="145"/>
      <c r="I138" s="145"/>
      <c r="J138" s="145"/>
      <c r="K138" s="145"/>
      <c r="L138" s="145"/>
      <c r="M138" s="145"/>
      <c r="N138" s="145"/>
      <c r="O138" s="145"/>
      <c r="P138" s="145"/>
      <c r="Q138" s="145"/>
      <c r="R138" s="145"/>
    </row>
    <row r="139" spans="1:18" ht="12.9">
      <c r="A139" s="145"/>
      <c r="B139" s="145"/>
      <c r="C139" s="145"/>
      <c r="D139" s="145"/>
      <c r="E139" s="145"/>
      <c r="F139" s="145"/>
      <c r="G139" s="145"/>
      <c r="H139" s="145"/>
      <c r="I139" s="145"/>
      <c r="J139" s="145"/>
      <c r="K139" s="145"/>
      <c r="L139" s="145"/>
      <c r="M139" s="145"/>
      <c r="N139" s="145"/>
      <c r="O139" s="145"/>
      <c r="P139" s="145"/>
      <c r="Q139" s="145"/>
      <c r="R139" s="145"/>
    </row>
    <row r="140" spans="1:18" ht="13.6">
      <c r="A140" s="145"/>
      <c r="B140" s="175" t="s">
        <v>243</v>
      </c>
      <c r="C140" s="175"/>
      <c r="D140" s="179">
        <f t="shared" ref="D140:D145" si="20">IFERROR(D133+$D$4-$D$3, "")</f>
        <v>1</v>
      </c>
      <c r="E140" s="145"/>
      <c r="F140" s="145"/>
      <c r="G140" s="145"/>
      <c r="H140" s="145"/>
      <c r="I140" s="145"/>
      <c r="J140" s="145"/>
      <c r="K140" s="145"/>
      <c r="L140" s="145"/>
      <c r="M140" s="145"/>
      <c r="N140" s="145"/>
      <c r="O140" s="145"/>
      <c r="P140" s="145"/>
      <c r="Q140" s="145"/>
      <c r="R140" s="145"/>
    </row>
    <row r="141" spans="1:18" ht="13.6">
      <c r="A141" s="145"/>
      <c r="B141" s="175"/>
      <c r="C141" s="175"/>
      <c r="D141" s="179">
        <f t="shared" si="20"/>
        <v>2</v>
      </c>
      <c r="E141" s="145"/>
      <c r="F141" s="145"/>
      <c r="G141" s="145"/>
      <c r="H141" s="145"/>
      <c r="I141" s="145"/>
      <c r="J141" s="145"/>
      <c r="K141" s="145"/>
      <c r="L141" s="145"/>
      <c r="M141" s="145"/>
      <c r="N141" s="145"/>
      <c r="O141" s="145"/>
      <c r="P141" s="145"/>
      <c r="Q141" s="145"/>
      <c r="R141" s="145"/>
    </row>
    <row r="142" spans="1:18" ht="12.9">
      <c r="A142" s="145"/>
      <c r="B142" s="145"/>
      <c r="C142" s="145"/>
      <c r="D142" s="179">
        <f t="shared" si="20"/>
        <v>3</v>
      </c>
      <c r="E142" s="145"/>
      <c r="F142" s="145"/>
      <c r="G142" s="145"/>
      <c r="H142" s="145"/>
      <c r="I142" s="145"/>
      <c r="J142" s="145"/>
      <c r="K142" s="145"/>
      <c r="L142" s="145"/>
      <c r="M142" s="145"/>
      <c r="N142" s="145"/>
      <c r="O142" s="145"/>
      <c r="P142" s="145"/>
      <c r="Q142" s="145"/>
      <c r="R142" s="145"/>
    </row>
    <row r="143" spans="1:18" ht="12.9">
      <c r="A143" s="145"/>
      <c r="B143" s="145"/>
      <c r="C143" s="145"/>
      <c r="D143" s="179">
        <f t="shared" si="20"/>
        <v>4</v>
      </c>
      <c r="E143" s="145"/>
      <c r="F143" s="145"/>
      <c r="G143" s="145"/>
      <c r="H143" s="145"/>
      <c r="I143" s="145"/>
      <c r="J143" s="145"/>
      <c r="K143" s="145"/>
      <c r="L143" s="145"/>
      <c r="M143" s="145"/>
      <c r="N143" s="145"/>
      <c r="O143" s="145"/>
      <c r="P143" s="145"/>
      <c r="Q143" s="145"/>
      <c r="R143" s="145"/>
    </row>
    <row r="144" spans="1:18" ht="12.9">
      <c r="A144" s="145"/>
      <c r="B144" s="145"/>
      <c r="C144" s="145"/>
      <c r="D144" s="179">
        <f t="shared" si="20"/>
        <v>5</v>
      </c>
      <c r="E144" s="145"/>
      <c r="F144" s="145"/>
      <c r="G144" s="145"/>
      <c r="H144" s="145"/>
      <c r="I144" s="145"/>
      <c r="J144" s="145"/>
      <c r="K144" s="145"/>
      <c r="L144" s="145"/>
      <c r="M144" s="145"/>
      <c r="N144" s="145"/>
      <c r="O144" s="145"/>
      <c r="P144" s="145"/>
      <c r="Q144" s="145"/>
      <c r="R144" s="145"/>
    </row>
    <row r="145" spans="1:18" ht="12.9">
      <c r="A145" s="145"/>
      <c r="B145" s="145"/>
      <c r="C145" s="145"/>
      <c r="D145" s="179" t="str">
        <f t="shared" si="20"/>
        <v/>
      </c>
      <c r="E145" s="145"/>
      <c r="F145" s="145"/>
      <c r="G145" s="145"/>
      <c r="H145" s="145"/>
      <c r="I145" s="145"/>
      <c r="J145" s="145"/>
      <c r="K145" s="145"/>
      <c r="L145" s="145"/>
      <c r="M145" s="145"/>
      <c r="N145" s="145"/>
      <c r="O145" s="145"/>
      <c r="P145" s="145"/>
      <c r="Q145" s="145"/>
      <c r="R145" s="145"/>
    </row>
    <row r="146" spans="1:18" ht="12.9">
      <c r="A146" s="145"/>
      <c r="B146" s="145"/>
      <c r="C146" s="145"/>
      <c r="D146" s="145"/>
      <c r="E146" s="145"/>
      <c r="F146" s="145"/>
      <c r="G146" s="145"/>
      <c r="H146" s="145"/>
      <c r="I146" s="145"/>
      <c r="J146" s="145"/>
      <c r="K146" s="145"/>
      <c r="L146" s="145"/>
      <c r="M146" s="145"/>
      <c r="N146" s="145"/>
      <c r="O146" s="145"/>
      <c r="P146" s="145"/>
      <c r="Q146" s="145"/>
      <c r="R146" s="145"/>
    </row>
    <row r="147" spans="1:18" ht="13.6">
      <c r="A147" s="145"/>
      <c r="B147" s="175" t="s">
        <v>244</v>
      </c>
      <c r="C147" s="175"/>
      <c r="D147" s="182">
        <f>IFERROR(($D$6*$D$8)/((1+$D$6)^D140), "")</f>
        <v>3.4883720930232558E-2</v>
      </c>
      <c r="E147" s="145"/>
      <c r="F147" s="145"/>
      <c r="G147" s="145"/>
      <c r="H147" s="145"/>
      <c r="I147" s="145"/>
      <c r="J147" s="145"/>
      <c r="K147" s="145"/>
      <c r="L147" s="145"/>
      <c r="M147" s="145"/>
      <c r="N147" s="145"/>
      <c r="O147" s="145"/>
      <c r="P147" s="145"/>
      <c r="Q147" s="145"/>
      <c r="R147" s="145"/>
    </row>
    <row r="148" spans="1:18" ht="12.9">
      <c r="A148" s="145"/>
      <c r="B148" s="145"/>
      <c r="C148" s="145"/>
      <c r="D148" s="182">
        <f t="shared" ref="D148:D152" si="21">IFERROR(($D$6*$D$8)/((1+$D$6)^D141), "")</f>
        <v>3.2449972958355867E-2</v>
      </c>
      <c r="E148" s="145"/>
      <c r="F148" s="145"/>
      <c r="G148" s="145"/>
      <c r="H148" s="145"/>
      <c r="I148" s="145"/>
      <c r="J148" s="145"/>
      <c r="K148" s="145"/>
      <c r="L148" s="145"/>
      <c r="M148" s="145"/>
      <c r="N148" s="145"/>
      <c r="O148" s="145"/>
      <c r="P148" s="145"/>
      <c r="Q148" s="145"/>
      <c r="R148" s="145"/>
    </row>
    <row r="149" spans="1:18" ht="13.6">
      <c r="A149" s="145"/>
      <c r="B149" s="175"/>
      <c r="C149" s="175"/>
      <c r="D149" s="182">
        <f t="shared" si="21"/>
        <v>3.0186021356610113E-2</v>
      </c>
      <c r="E149" s="145"/>
      <c r="F149" s="145"/>
      <c r="G149" s="145"/>
      <c r="H149" s="145"/>
      <c r="I149" s="145"/>
      <c r="J149" s="145"/>
      <c r="K149" s="145"/>
      <c r="L149" s="145"/>
      <c r="M149" s="145"/>
      <c r="N149" s="145"/>
      <c r="O149" s="145"/>
      <c r="P149" s="145"/>
      <c r="Q149" s="145"/>
      <c r="R149" s="145"/>
    </row>
    <row r="150" spans="1:18" ht="12.9">
      <c r="A150" s="145"/>
      <c r="B150" s="145"/>
      <c r="C150" s="145"/>
      <c r="D150" s="182">
        <f t="shared" si="21"/>
        <v>2.8080019866614056E-2</v>
      </c>
      <c r="E150" s="145"/>
      <c r="F150" s="145"/>
      <c r="G150" s="145"/>
      <c r="H150" s="145"/>
      <c r="I150" s="145"/>
      <c r="J150" s="145"/>
      <c r="K150" s="145"/>
      <c r="L150" s="145"/>
      <c r="M150" s="145"/>
      <c r="N150" s="145"/>
      <c r="O150" s="145"/>
      <c r="P150" s="145"/>
      <c r="Q150" s="145"/>
      <c r="R150" s="145"/>
    </row>
    <row r="151" spans="1:18" ht="12.9">
      <c r="A151" s="145"/>
      <c r="B151" s="145"/>
      <c r="C151" s="145"/>
      <c r="D151" s="182">
        <f t="shared" si="21"/>
        <v>2.6120948713129356E-2</v>
      </c>
      <c r="E151" s="145"/>
      <c r="F151" s="145"/>
      <c r="G151" s="145"/>
      <c r="H151" s="145"/>
      <c r="I151" s="145"/>
      <c r="J151" s="145"/>
      <c r="K151" s="145"/>
      <c r="L151" s="145"/>
      <c r="M151" s="145"/>
      <c r="N151" s="145"/>
      <c r="O151" s="145"/>
      <c r="P151" s="145"/>
      <c r="Q151" s="145"/>
      <c r="R151" s="145"/>
    </row>
    <row r="152" spans="1:18" ht="12.9">
      <c r="A152" s="145"/>
      <c r="B152" s="145"/>
      <c r="C152" s="145"/>
      <c r="D152" s="182" t="str">
        <f t="shared" si="21"/>
        <v/>
      </c>
      <c r="E152" s="145"/>
      <c r="F152" s="145"/>
      <c r="G152" s="145"/>
      <c r="H152" s="145"/>
      <c r="I152" s="145"/>
      <c r="J152" s="145"/>
      <c r="K152" s="145"/>
      <c r="L152" s="145"/>
      <c r="M152" s="145"/>
      <c r="N152" s="145"/>
      <c r="O152" s="145"/>
      <c r="P152" s="145"/>
      <c r="Q152" s="145"/>
      <c r="R152" s="145"/>
    </row>
    <row r="153" spans="1:18" ht="12.9">
      <c r="A153" s="145"/>
      <c r="B153" s="145"/>
      <c r="C153" s="145"/>
      <c r="D153" s="145"/>
      <c r="E153" s="145"/>
      <c r="F153" s="145"/>
      <c r="G153" s="145"/>
      <c r="H153" s="145"/>
      <c r="I153" s="145"/>
      <c r="J153" s="145"/>
      <c r="K153" s="145"/>
      <c r="L153" s="145"/>
      <c r="M153" s="145"/>
      <c r="N153" s="145"/>
      <c r="O153" s="145"/>
      <c r="P153" s="145"/>
      <c r="Q153" s="145"/>
      <c r="R153" s="145"/>
    </row>
    <row r="154" spans="1:18" ht="13.6">
      <c r="A154" s="145"/>
      <c r="B154" s="175" t="s">
        <v>245</v>
      </c>
      <c r="C154" s="175"/>
      <c r="D154" s="183" t="str">
        <f t="shared" ref="D154:D159" si="22">IFERROR(INDEX($D$31:$F$31, 1, MATCH($D133,$D$24:$F$24,0))*D147, "")</f>
        <v/>
      </c>
      <c r="E154" s="145"/>
      <c r="F154" s="145"/>
      <c r="G154" s="145"/>
      <c r="H154" s="145"/>
      <c r="I154" s="145"/>
      <c r="J154" s="145"/>
      <c r="K154" s="145"/>
      <c r="L154" s="145"/>
      <c r="M154" s="145"/>
      <c r="N154" s="145"/>
      <c r="O154" s="145"/>
      <c r="P154" s="145"/>
      <c r="Q154" s="145"/>
      <c r="R154" s="145"/>
    </row>
    <row r="155" spans="1:18" ht="12.9">
      <c r="A155" s="145"/>
      <c r="B155" s="145"/>
      <c r="C155" s="145"/>
      <c r="D155" s="183" t="str">
        <f t="shared" si="22"/>
        <v/>
      </c>
      <c r="E155" s="145"/>
      <c r="F155" s="145"/>
      <c r="G155" s="145"/>
      <c r="H155" s="145"/>
      <c r="I155" s="145"/>
      <c r="J155" s="145"/>
      <c r="K155" s="145"/>
      <c r="L155" s="145"/>
      <c r="M155" s="145"/>
      <c r="N155" s="145"/>
      <c r="O155" s="145"/>
      <c r="P155" s="145"/>
      <c r="Q155" s="145"/>
      <c r="R155" s="145"/>
    </row>
    <row r="156" spans="1:18" ht="12.9">
      <c r="A156" s="145"/>
      <c r="B156" s="145"/>
      <c r="C156" s="145"/>
      <c r="D156" s="183">
        <f t="shared" si="22"/>
        <v>-101.64474597955309</v>
      </c>
      <c r="E156" s="145"/>
      <c r="F156" s="145"/>
      <c r="G156" s="145"/>
      <c r="H156" s="145"/>
      <c r="I156" s="145"/>
      <c r="J156" s="145"/>
      <c r="K156" s="145"/>
      <c r="L156" s="145"/>
      <c r="M156" s="145"/>
      <c r="N156" s="145"/>
      <c r="O156" s="145"/>
      <c r="P156" s="145"/>
      <c r="Q156" s="145"/>
      <c r="R156" s="145"/>
    </row>
    <row r="157" spans="1:18" ht="12.9">
      <c r="A157" s="145"/>
      <c r="B157" s="145"/>
      <c r="C157" s="145"/>
      <c r="D157" s="183">
        <f t="shared" si="22"/>
        <v>-34.56675922262383</v>
      </c>
      <c r="E157" s="145"/>
      <c r="F157" s="145"/>
      <c r="G157" s="145"/>
      <c r="H157" s="145"/>
      <c r="I157" s="145"/>
      <c r="J157" s="145"/>
      <c r="K157" s="145"/>
      <c r="L157" s="145"/>
      <c r="M157" s="145"/>
      <c r="N157" s="145"/>
      <c r="O157" s="145"/>
      <c r="P157" s="145"/>
      <c r="Q157" s="145"/>
      <c r="R157" s="145"/>
    </row>
    <row r="158" spans="1:18" ht="12.9">
      <c r="A158" s="145"/>
      <c r="B158" s="145"/>
      <c r="C158" s="145"/>
      <c r="D158" s="183">
        <f t="shared" si="22"/>
        <v>14.562642462388952</v>
      </c>
      <c r="E158" s="145"/>
      <c r="F158" s="145"/>
      <c r="G158" s="145"/>
      <c r="H158" s="145"/>
      <c r="I158" s="145"/>
      <c r="J158" s="145"/>
      <c r="K158" s="145"/>
      <c r="L158" s="145"/>
      <c r="M158" s="145"/>
      <c r="N158" s="145"/>
      <c r="O158" s="145"/>
      <c r="P158" s="145"/>
      <c r="Q158" s="145"/>
      <c r="R158" s="145"/>
    </row>
    <row r="159" spans="1:18" ht="12.9">
      <c r="A159" s="145"/>
      <c r="B159" s="145"/>
      <c r="C159" s="145"/>
      <c r="D159" s="183" t="str">
        <f t="shared" si="22"/>
        <v/>
      </c>
      <c r="E159" s="145"/>
      <c r="F159" s="145"/>
      <c r="G159" s="145"/>
      <c r="H159" s="145"/>
      <c r="I159" s="145"/>
      <c r="J159" s="145"/>
      <c r="K159" s="145"/>
      <c r="L159" s="145"/>
      <c r="M159" s="145"/>
      <c r="N159" s="145"/>
      <c r="O159" s="145"/>
      <c r="P159" s="145"/>
      <c r="Q159" s="145"/>
      <c r="R159" s="145"/>
    </row>
    <row r="160" spans="1:18" ht="12.9">
      <c r="A160" s="145"/>
      <c r="B160" s="145"/>
      <c r="C160" s="145"/>
      <c r="D160" s="145"/>
      <c r="E160" s="145"/>
      <c r="F160" s="145"/>
      <c r="G160" s="145"/>
      <c r="H160" s="145"/>
      <c r="I160" s="145"/>
      <c r="J160" s="145"/>
      <c r="K160" s="145"/>
      <c r="L160" s="145"/>
      <c r="M160" s="145"/>
      <c r="N160" s="145"/>
      <c r="O160" s="145"/>
      <c r="P160" s="145"/>
      <c r="Q160" s="145"/>
      <c r="R160" s="145"/>
    </row>
    <row r="161" spans="1:18" ht="13.6">
      <c r="A161" s="145"/>
      <c r="B161" s="175" t="s">
        <v>224</v>
      </c>
      <c r="C161" s="175"/>
      <c r="D161" s="183">
        <f>SUM(D154:D159)</f>
        <v>-121.64886273978796</v>
      </c>
      <c r="E161" s="145"/>
      <c r="F161" s="145"/>
      <c r="G161" s="145"/>
      <c r="H161" s="145"/>
      <c r="I161" s="145"/>
      <c r="J161" s="145"/>
      <c r="K161" s="145"/>
      <c r="L161" s="145"/>
      <c r="M161" s="145"/>
      <c r="N161" s="145"/>
      <c r="O161" s="145"/>
      <c r="P161" s="145"/>
      <c r="Q161" s="145"/>
      <c r="R161" s="145"/>
    </row>
    <row r="162" spans="1:18" ht="12.9">
      <c r="A162" s="145"/>
      <c r="B162" s="145"/>
      <c r="C162" s="145"/>
      <c r="D162" s="145"/>
      <c r="E162" s="145"/>
      <c r="F162" s="145"/>
      <c r="G162" s="145"/>
      <c r="H162" s="145"/>
      <c r="I162" s="145"/>
      <c r="J162" s="145"/>
      <c r="K162" s="145"/>
      <c r="L162" s="145"/>
      <c r="M162" s="145"/>
      <c r="N162" s="145"/>
      <c r="O162" s="145"/>
      <c r="P162" s="145"/>
      <c r="Q162" s="145"/>
      <c r="R162" s="145"/>
    </row>
    <row r="163" spans="1:18" ht="12.9">
      <c r="A163" s="145"/>
      <c r="B163" s="145"/>
      <c r="C163" s="145"/>
      <c r="D163" s="145"/>
      <c r="E163" s="145"/>
      <c r="F163" s="145"/>
      <c r="G163" s="145"/>
      <c r="H163" s="145"/>
      <c r="I163" s="145"/>
      <c r="J163" s="145"/>
      <c r="K163" s="145"/>
      <c r="L163" s="145"/>
      <c r="M163" s="145"/>
      <c r="N163" s="145"/>
      <c r="O163" s="145"/>
      <c r="P163" s="145"/>
      <c r="Q163" s="145"/>
      <c r="R163" s="145"/>
    </row>
    <row r="164" spans="1:18" ht="12.9">
      <c r="A164" s="174"/>
      <c r="B164" s="174"/>
      <c r="C164" s="174"/>
      <c r="D164" s="174"/>
      <c r="E164" s="174"/>
      <c r="F164" s="174"/>
      <c r="G164" s="174"/>
      <c r="H164" s="174"/>
      <c r="I164" s="174"/>
      <c r="J164" s="174"/>
      <c r="K164" s="174"/>
      <c r="L164" s="174"/>
      <c r="M164" s="174"/>
      <c r="N164" s="174"/>
      <c r="O164" s="174"/>
      <c r="P164" s="174"/>
      <c r="Q164" s="174"/>
      <c r="R164" s="174"/>
    </row>
    <row r="165" spans="1:18" ht="12.9">
      <c r="A165" s="145"/>
      <c r="B165" s="145"/>
      <c r="C165" s="145"/>
      <c r="D165" s="145"/>
      <c r="E165" s="145"/>
      <c r="F165" s="145"/>
      <c r="G165" s="145"/>
      <c r="H165" s="145"/>
      <c r="I165" s="145"/>
      <c r="J165" s="145"/>
      <c r="K165" s="145"/>
      <c r="L165" s="145"/>
      <c r="M165" s="145"/>
      <c r="N165" s="145"/>
      <c r="O165" s="145"/>
      <c r="P165" s="145"/>
      <c r="Q165" s="145"/>
      <c r="R165" s="145"/>
    </row>
    <row r="166" spans="1:18" ht="12.9">
      <c r="A166" s="145"/>
      <c r="B166" s="145"/>
      <c r="C166" s="145"/>
      <c r="D166" s="145"/>
      <c r="E166" s="145"/>
      <c r="F166" s="145"/>
      <c r="G166" s="145"/>
      <c r="H166" s="145"/>
      <c r="I166" s="145"/>
      <c r="J166" s="145"/>
      <c r="K166" s="145"/>
      <c r="L166" s="145"/>
      <c r="M166" s="145"/>
      <c r="N166" s="145"/>
      <c r="O166" s="145"/>
      <c r="P166" s="145"/>
      <c r="Q166" s="145"/>
      <c r="R166" s="145"/>
    </row>
    <row r="167" spans="1:18" ht="12.9">
      <c r="A167" s="145"/>
      <c r="B167" s="145"/>
      <c r="C167" s="145"/>
      <c r="D167" s="145"/>
      <c r="E167" s="145"/>
      <c r="F167" s="145"/>
      <c r="G167" s="145"/>
      <c r="H167" s="145"/>
      <c r="I167" s="145"/>
      <c r="J167" s="145"/>
      <c r="K167" s="145"/>
      <c r="L167" s="145"/>
      <c r="M167" s="145"/>
      <c r="N167" s="145"/>
      <c r="O167" s="145"/>
      <c r="P167" s="145"/>
      <c r="Q167" s="145"/>
      <c r="R167" s="145"/>
    </row>
    <row r="168" spans="1:18" ht="12.9">
      <c r="A168" s="161"/>
      <c r="B168" s="145"/>
      <c r="C168" s="145"/>
      <c r="D168" s="145"/>
      <c r="E168" s="145"/>
      <c r="F168" s="145"/>
      <c r="G168" s="145"/>
      <c r="H168" s="145"/>
      <c r="I168" s="145"/>
      <c r="J168" s="145"/>
      <c r="K168" s="145"/>
      <c r="L168" s="145"/>
      <c r="M168" s="145"/>
      <c r="N168" s="145"/>
      <c r="O168" s="145"/>
      <c r="P168" s="145"/>
      <c r="Q168" s="145"/>
      <c r="R168" s="145"/>
    </row>
    <row r="169" spans="1:18" ht="12.9">
      <c r="A169" s="145"/>
      <c r="B169" s="145"/>
      <c r="C169" s="145"/>
      <c r="D169" s="145"/>
      <c r="E169" s="145"/>
      <c r="F169" s="145"/>
      <c r="G169" s="145"/>
      <c r="H169" s="145"/>
      <c r="I169" s="145"/>
      <c r="J169" s="145"/>
      <c r="K169" s="145"/>
      <c r="L169" s="145"/>
      <c r="M169" s="145"/>
      <c r="N169" s="145"/>
      <c r="O169" s="145"/>
      <c r="P169" s="145"/>
      <c r="Q169" s="145"/>
      <c r="R169" s="145"/>
    </row>
    <row r="170" spans="1:18" ht="13.6">
      <c r="A170" s="145"/>
      <c r="B170" s="175" t="s">
        <v>230</v>
      </c>
      <c r="C170" s="175"/>
      <c r="D170" s="145"/>
      <c r="E170" s="145"/>
      <c r="F170" s="145"/>
      <c r="G170" s="145"/>
      <c r="H170" s="145"/>
      <c r="I170" s="145"/>
      <c r="J170" s="145"/>
      <c r="K170" s="145"/>
      <c r="L170" s="145"/>
      <c r="M170" s="145"/>
      <c r="N170" s="145"/>
      <c r="O170" s="145"/>
      <c r="P170" s="145"/>
      <c r="Q170" s="145"/>
      <c r="R170" s="145"/>
    </row>
    <row r="171" spans="1:18" ht="13.6">
      <c r="A171" s="161"/>
      <c r="B171" s="156" t="s">
        <v>246</v>
      </c>
      <c r="C171" s="156"/>
      <c r="D171" s="145">
        <v>0</v>
      </c>
      <c r="E171" s="145"/>
      <c r="F171" s="145"/>
      <c r="G171" s="145"/>
      <c r="H171" s="145"/>
      <c r="I171" s="145"/>
      <c r="J171" s="145"/>
      <c r="K171" s="145"/>
      <c r="L171" s="145"/>
      <c r="M171" s="145"/>
      <c r="N171" s="145"/>
      <c r="O171" s="145"/>
      <c r="P171" s="145"/>
      <c r="Q171" s="145"/>
      <c r="R171" s="145"/>
    </row>
    <row r="172" spans="1:18" ht="13.6">
      <c r="A172" s="176" t="s">
        <v>232</v>
      </c>
      <c r="B172" s="156" t="s">
        <v>247</v>
      </c>
      <c r="C172" s="156"/>
      <c r="D172" s="145">
        <f>$D$3-$D$4</f>
        <v>-3</v>
      </c>
      <c r="E172" s="145"/>
      <c r="F172" s="145"/>
      <c r="G172" s="145"/>
      <c r="H172" s="145"/>
      <c r="I172" s="145"/>
      <c r="J172" s="145"/>
      <c r="K172" s="145"/>
      <c r="L172" s="145"/>
      <c r="M172" s="145"/>
      <c r="N172" s="145"/>
      <c r="O172" s="145"/>
      <c r="P172" s="145"/>
      <c r="Q172" s="145"/>
      <c r="R172" s="145"/>
    </row>
    <row r="173" spans="1:18" ht="12.9">
      <c r="A173" s="145"/>
      <c r="B173" s="145"/>
      <c r="C173" s="145"/>
      <c r="D173" s="177">
        <f>D172-D171</f>
        <v>-3</v>
      </c>
      <c r="E173" s="145"/>
      <c r="F173" s="145"/>
      <c r="G173" s="145"/>
      <c r="H173" s="145"/>
      <c r="I173" s="145"/>
      <c r="J173" s="145"/>
      <c r="K173" s="145"/>
      <c r="L173" s="145"/>
      <c r="M173" s="145"/>
      <c r="N173" s="145"/>
      <c r="O173" s="145"/>
      <c r="P173" s="145"/>
      <c r="Q173" s="145"/>
      <c r="R173" s="145"/>
    </row>
    <row r="174" spans="1:18" ht="12.9">
      <c r="A174" s="145"/>
      <c r="B174" s="145"/>
      <c r="C174" s="145"/>
      <c r="D174" s="145"/>
      <c r="E174" s="145"/>
      <c r="F174" s="145"/>
      <c r="G174" s="145"/>
      <c r="H174" s="145"/>
      <c r="I174" s="145"/>
      <c r="J174" s="145"/>
      <c r="K174" s="145"/>
      <c r="L174" s="145"/>
      <c r="M174" s="145"/>
      <c r="N174" s="145"/>
      <c r="O174" s="145"/>
      <c r="P174" s="145"/>
      <c r="Q174" s="145"/>
      <c r="R174" s="145"/>
    </row>
    <row r="175" spans="1:18" ht="13.6">
      <c r="A175" s="145"/>
      <c r="B175" s="175" t="s">
        <v>214</v>
      </c>
      <c r="C175" s="175"/>
      <c r="D175" s="179">
        <f>D171</f>
        <v>0</v>
      </c>
      <c r="E175" s="145"/>
      <c r="F175" s="145"/>
      <c r="G175" s="145"/>
      <c r="H175" s="145"/>
      <c r="I175" s="145"/>
      <c r="J175" s="145"/>
      <c r="K175" s="145"/>
      <c r="L175" s="145"/>
      <c r="M175" s="145"/>
      <c r="N175" s="145"/>
      <c r="O175" s="145"/>
      <c r="P175" s="145"/>
      <c r="Q175" s="145"/>
      <c r="R175" s="145"/>
    </row>
    <row r="176" spans="1:18" ht="12.9">
      <c r="A176" s="145"/>
      <c r="B176" s="145"/>
      <c r="C176" s="145"/>
      <c r="D176" s="179" t="str">
        <f>IF($D$173&gt;D175,D175+1, "")</f>
        <v/>
      </c>
      <c r="E176" s="145"/>
      <c r="F176" s="145"/>
      <c r="G176" s="145"/>
      <c r="H176" s="145"/>
      <c r="I176" s="145"/>
      <c r="J176" s="145"/>
      <c r="K176" s="145"/>
      <c r="L176" s="145"/>
      <c r="M176" s="145"/>
      <c r="N176" s="145"/>
      <c r="O176" s="145"/>
      <c r="P176" s="145"/>
      <c r="Q176" s="145"/>
      <c r="R176" s="145"/>
    </row>
    <row r="177" spans="1:18" ht="12.9">
      <c r="A177" s="145"/>
      <c r="B177" s="145"/>
      <c r="C177" s="145"/>
      <c r="D177" s="179" t="str">
        <f t="shared" ref="D177:D180" si="23">IF($D$173&gt;D176,D176+1, "")</f>
        <v/>
      </c>
      <c r="E177" s="145"/>
      <c r="F177" s="145"/>
      <c r="G177" s="145"/>
      <c r="H177" s="145"/>
      <c r="I177" s="145"/>
      <c r="J177" s="145"/>
      <c r="K177" s="145"/>
      <c r="L177" s="145"/>
      <c r="M177" s="145"/>
      <c r="N177" s="145"/>
      <c r="O177" s="145"/>
      <c r="P177" s="145"/>
      <c r="Q177" s="145"/>
      <c r="R177" s="145"/>
    </row>
    <row r="178" spans="1:18" ht="12.9">
      <c r="A178" s="145"/>
      <c r="B178" s="145"/>
      <c r="C178" s="145"/>
      <c r="D178" s="179" t="str">
        <f t="shared" si="23"/>
        <v/>
      </c>
      <c r="E178" s="145"/>
      <c r="F178" s="145"/>
      <c r="G178" s="145"/>
      <c r="H178" s="145"/>
      <c r="I178" s="145"/>
      <c r="J178" s="145"/>
      <c r="K178" s="145"/>
      <c r="L178" s="145"/>
      <c r="M178" s="145"/>
      <c r="N178" s="145"/>
      <c r="O178" s="145"/>
      <c r="P178" s="145"/>
      <c r="Q178" s="145"/>
      <c r="R178" s="145"/>
    </row>
    <row r="179" spans="1:18" ht="12.9">
      <c r="A179" s="145"/>
      <c r="B179" s="145"/>
      <c r="C179" s="145"/>
      <c r="D179" s="179" t="str">
        <f t="shared" si="23"/>
        <v/>
      </c>
      <c r="E179" s="145"/>
      <c r="F179" s="145"/>
      <c r="G179" s="145"/>
      <c r="H179" s="145"/>
      <c r="I179" s="145"/>
      <c r="J179" s="145"/>
      <c r="K179" s="145"/>
      <c r="L179" s="145"/>
      <c r="M179" s="145"/>
      <c r="N179" s="145"/>
      <c r="O179" s="145"/>
      <c r="P179" s="145"/>
      <c r="Q179" s="145"/>
      <c r="R179" s="145"/>
    </row>
    <row r="180" spans="1:18" ht="12.9">
      <c r="A180" s="145"/>
      <c r="B180" s="145"/>
      <c r="C180" s="145"/>
      <c r="D180" s="179" t="str">
        <f t="shared" si="23"/>
        <v/>
      </c>
      <c r="E180" s="145"/>
      <c r="F180" s="145"/>
      <c r="G180" s="145"/>
      <c r="H180" s="145"/>
      <c r="I180" s="145"/>
      <c r="J180" s="145"/>
      <c r="K180" s="145"/>
      <c r="L180" s="145"/>
      <c r="M180" s="145"/>
      <c r="N180" s="145"/>
      <c r="O180" s="145"/>
      <c r="P180" s="145"/>
      <c r="Q180" s="145"/>
      <c r="R180" s="145"/>
    </row>
    <row r="181" spans="1:18" ht="12.9">
      <c r="A181" s="145"/>
      <c r="B181" s="145"/>
      <c r="C181" s="145"/>
      <c r="D181" s="145"/>
      <c r="E181" s="145"/>
      <c r="F181" s="145"/>
      <c r="G181" s="145"/>
      <c r="H181" s="145"/>
      <c r="I181" s="145"/>
      <c r="J181" s="145"/>
      <c r="K181" s="145"/>
      <c r="L181" s="145"/>
      <c r="M181" s="145"/>
      <c r="N181" s="145"/>
      <c r="O181" s="145"/>
      <c r="P181" s="145"/>
      <c r="Q181" s="145"/>
      <c r="R181" s="145"/>
    </row>
    <row r="182" spans="1:18" ht="13.6">
      <c r="A182" s="145"/>
      <c r="B182" s="175" t="s">
        <v>248</v>
      </c>
      <c r="C182" s="175"/>
      <c r="D182" s="179">
        <f>IFERROR($D$3-(D175+$D$4), "")</f>
        <v>-3</v>
      </c>
      <c r="E182" s="145"/>
      <c r="F182" s="145"/>
      <c r="G182" s="145"/>
      <c r="H182" s="145"/>
      <c r="I182" s="145"/>
      <c r="J182" s="145"/>
      <c r="K182" s="145"/>
      <c r="L182" s="145"/>
      <c r="M182" s="145"/>
      <c r="N182" s="145"/>
      <c r="O182" s="145"/>
      <c r="P182" s="145"/>
      <c r="Q182" s="145"/>
      <c r="R182" s="145"/>
    </row>
    <row r="183" spans="1:18" ht="12.9">
      <c r="A183" s="145"/>
      <c r="B183" s="145"/>
      <c r="C183" s="145"/>
      <c r="D183" s="179" t="str">
        <f t="shared" ref="D183:D187" si="24">IFERROR($D$3-(D176+$D$4), "")</f>
        <v/>
      </c>
      <c r="E183" s="145"/>
      <c r="F183" s="145"/>
      <c r="G183" s="145"/>
      <c r="H183" s="145"/>
      <c r="I183" s="145"/>
      <c r="J183" s="145"/>
      <c r="K183" s="145"/>
      <c r="L183" s="145"/>
      <c r="M183" s="145"/>
      <c r="N183" s="145"/>
      <c r="O183" s="145"/>
      <c r="P183" s="145"/>
      <c r="Q183" s="145"/>
      <c r="R183" s="145"/>
    </row>
    <row r="184" spans="1:18" ht="12.9">
      <c r="A184" s="145"/>
      <c r="B184" s="145"/>
      <c r="C184" s="145"/>
      <c r="D184" s="179" t="str">
        <f t="shared" si="24"/>
        <v/>
      </c>
      <c r="E184" s="145"/>
      <c r="F184" s="145"/>
      <c r="G184" s="145"/>
      <c r="H184" s="145"/>
      <c r="I184" s="145"/>
      <c r="J184" s="145"/>
      <c r="K184" s="145"/>
      <c r="L184" s="145"/>
      <c r="M184" s="145"/>
      <c r="N184" s="145"/>
      <c r="O184" s="145"/>
      <c r="P184" s="145"/>
      <c r="Q184" s="145"/>
      <c r="R184" s="145"/>
    </row>
    <row r="185" spans="1:18" ht="12.9">
      <c r="A185" s="145"/>
      <c r="B185" s="145"/>
      <c r="C185" s="145"/>
      <c r="D185" s="179" t="str">
        <f t="shared" si="24"/>
        <v/>
      </c>
      <c r="E185" s="145"/>
      <c r="F185" s="145"/>
      <c r="G185" s="145"/>
      <c r="H185" s="145"/>
      <c r="I185" s="145"/>
      <c r="J185" s="145"/>
      <c r="K185" s="145"/>
      <c r="L185" s="145"/>
      <c r="M185" s="145"/>
      <c r="N185" s="145"/>
      <c r="O185" s="145"/>
      <c r="P185" s="145"/>
      <c r="Q185" s="145"/>
      <c r="R185" s="145"/>
    </row>
    <row r="186" spans="1:18" ht="12.9">
      <c r="A186" s="145"/>
      <c r="B186" s="145"/>
      <c r="C186" s="145"/>
      <c r="D186" s="179" t="str">
        <f t="shared" si="24"/>
        <v/>
      </c>
      <c r="E186" s="145"/>
      <c r="F186" s="145"/>
      <c r="G186" s="145"/>
      <c r="H186" s="145"/>
      <c r="I186" s="145"/>
      <c r="J186" s="145"/>
      <c r="K186" s="145"/>
      <c r="L186" s="145"/>
      <c r="M186" s="145"/>
      <c r="N186" s="145"/>
      <c r="O186" s="145"/>
      <c r="P186" s="145"/>
      <c r="Q186" s="145"/>
      <c r="R186" s="145"/>
    </row>
    <row r="187" spans="1:18" ht="12.9">
      <c r="A187" s="145"/>
      <c r="B187" s="145"/>
      <c r="C187" s="145"/>
      <c r="D187" s="179" t="str">
        <f t="shared" si="24"/>
        <v/>
      </c>
      <c r="E187" s="145"/>
      <c r="F187" s="145"/>
      <c r="G187" s="145"/>
      <c r="H187" s="145"/>
      <c r="I187" s="145"/>
      <c r="J187" s="145"/>
      <c r="K187" s="145"/>
      <c r="L187" s="145"/>
      <c r="M187" s="145"/>
      <c r="N187" s="145"/>
      <c r="O187" s="145"/>
      <c r="P187" s="145"/>
      <c r="Q187" s="145"/>
      <c r="R187" s="145"/>
    </row>
    <row r="188" spans="1:18" ht="12.9">
      <c r="A188" s="145"/>
      <c r="B188" s="145"/>
      <c r="C188" s="145"/>
      <c r="D188" s="145"/>
      <c r="E188" s="145"/>
      <c r="F188" s="145"/>
      <c r="G188" s="145"/>
      <c r="H188" s="145"/>
      <c r="I188" s="145"/>
      <c r="J188" s="145"/>
      <c r="K188" s="145"/>
      <c r="L188" s="145"/>
      <c r="M188" s="145"/>
      <c r="N188" s="145"/>
      <c r="O188" s="145"/>
      <c r="P188" s="145"/>
      <c r="Q188" s="145"/>
      <c r="R188" s="145"/>
    </row>
    <row r="189" spans="1:18" ht="13.6">
      <c r="A189" s="145"/>
      <c r="B189" s="175" t="s">
        <v>244</v>
      </c>
      <c r="C189" s="175"/>
      <c r="D189" s="182" t="str">
        <f>IFERROR(IF(D182&lt;0,"", $D$7*$D$9*((1+$D$7)^$D182)), "")</f>
        <v/>
      </c>
      <c r="E189" s="145"/>
      <c r="F189" s="145"/>
      <c r="G189" s="145"/>
      <c r="H189" s="145"/>
      <c r="I189" s="145"/>
      <c r="J189" s="145"/>
      <c r="K189" s="145"/>
      <c r="L189" s="145"/>
      <c r="M189" s="145"/>
      <c r="N189" s="145"/>
      <c r="O189" s="145"/>
      <c r="P189" s="145"/>
      <c r="Q189" s="145"/>
      <c r="R189" s="145"/>
    </row>
    <row r="190" spans="1:18" ht="12.9">
      <c r="A190" s="145"/>
      <c r="B190" s="145"/>
      <c r="C190" s="145"/>
      <c r="D190" s="182" t="str">
        <f t="shared" ref="D190:D194" si="25">IFERROR(IF(D183&lt;0,"", $D$7*$D$9*((1+$D$7)^$D183)), "")</f>
        <v/>
      </c>
      <c r="E190" s="145"/>
      <c r="F190" s="145"/>
      <c r="G190" s="145"/>
      <c r="H190" s="145"/>
      <c r="I190" s="145"/>
      <c r="J190" s="145"/>
      <c r="K190" s="145"/>
      <c r="L190" s="145"/>
      <c r="M190" s="145"/>
      <c r="N190" s="145"/>
      <c r="O190" s="145"/>
      <c r="P190" s="145"/>
      <c r="Q190" s="145"/>
      <c r="R190" s="145"/>
    </row>
    <row r="191" spans="1:18" ht="12.9">
      <c r="A191" s="145"/>
      <c r="B191" s="145"/>
      <c r="C191" s="145"/>
      <c r="D191" s="182" t="str">
        <f t="shared" si="25"/>
        <v/>
      </c>
      <c r="E191" s="145"/>
      <c r="F191" s="145"/>
      <c r="G191" s="145"/>
      <c r="H191" s="145"/>
      <c r="I191" s="145"/>
      <c r="J191" s="145"/>
      <c r="K191" s="145"/>
      <c r="L191" s="145"/>
      <c r="M191" s="145"/>
      <c r="N191" s="145"/>
      <c r="O191" s="145"/>
      <c r="P191" s="145"/>
      <c r="Q191" s="145"/>
      <c r="R191" s="145"/>
    </row>
    <row r="192" spans="1:18" ht="12.9">
      <c r="A192" s="145"/>
      <c r="B192" s="145"/>
      <c r="C192" s="145"/>
      <c r="D192" s="182" t="str">
        <f t="shared" si="25"/>
        <v/>
      </c>
      <c r="E192" s="145"/>
      <c r="F192" s="145"/>
      <c r="G192" s="145"/>
      <c r="H192" s="145"/>
      <c r="I192" s="145"/>
      <c r="J192" s="145"/>
      <c r="K192" s="145"/>
      <c r="L192" s="145"/>
      <c r="M192" s="145"/>
      <c r="N192" s="145"/>
      <c r="O192" s="145"/>
      <c r="P192" s="145"/>
      <c r="Q192" s="145"/>
      <c r="R192" s="145"/>
    </row>
    <row r="193" spans="1:18" ht="12.9">
      <c r="A193" s="145"/>
      <c r="B193" s="145"/>
      <c r="C193" s="145"/>
      <c r="D193" s="182" t="str">
        <f t="shared" si="25"/>
        <v/>
      </c>
      <c r="E193" s="145"/>
      <c r="F193" s="145"/>
      <c r="G193" s="145"/>
      <c r="H193" s="145"/>
      <c r="I193" s="145"/>
      <c r="J193" s="145"/>
      <c r="K193" s="145"/>
      <c r="L193" s="145"/>
      <c r="M193" s="145"/>
      <c r="N193" s="145"/>
      <c r="O193" s="145"/>
      <c r="P193" s="145"/>
      <c r="Q193" s="145"/>
      <c r="R193" s="145"/>
    </row>
    <row r="194" spans="1:18" ht="12.9">
      <c r="A194" s="145"/>
      <c r="B194" s="145"/>
      <c r="C194" s="145"/>
      <c r="D194" s="182" t="str">
        <f t="shared" si="25"/>
        <v/>
      </c>
      <c r="E194" s="145"/>
      <c r="F194" s="145"/>
      <c r="G194" s="145"/>
      <c r="H194" s="145"/>
      <c r="I194" s="145"/>
      <c r="J194" s="145"/>
      <c r="K194" s="145"/>
      <c r="L194" s="145"/>
      <c r="M194" s="145"/>
      <c r="N194" s="145"/>
      <c r="O194" s="145"/>
      <c r="P194" s="145"/>
      <c r="Q194" s="145"/>
      <c r="R194" s="145"/>
    </row>
    <row r="195" spans="1:18" ht="12.9">
      <c r="A195" s="145"/>
      <c r="B195" s="145"/>
      <c r="C195" s="145"/>
      <c r="D195" s="145"/>
      <c r="E195" s="145"/>
      <c r="F195" s="145"/>
      <c r="G195" s="145"/>
      <c r="H195" s="145"/>
      <c r="I195" s="145"/>
      <c r="J195" s="145"/>
      <c r="K195" s="145"/>
      <c r="L195" s="145"/>
      <c r="M195" s="145"/>
      <c r="N195" s="145"/>
      <c r="O195" s="145"/>
      <c r="P195" s="145"/>
      <c r="Q195" s="145"/>
      <c r="R195" s="145"/>
    </row>
    <row r="196" spans="1:18" ht="13.6">
      <c r="A196" s="145"/>
      <c r="B196" s="175" t="s">
        <v>245</v>
      </c>
      <c r="C196" s="175"/>
      <c r="D196" s="183" t="str">
        <f t="shared" ref="D196:D201" si="26">IFERROR(INDEX($D$31:$F$31, 1, MATCH($D175,$D$24:$F$24,0))*D189, "")</f>
        <v/>
      </c>
      <c r="E196" s="145"/>
      <c r="F196" s="145"/>
      <c r="G196" s="145"/>
      <c r="H196" s="145"/>
      <c r="I196" s="145"/>
      <c r="J196" s="145"/>
      <c r="K196" s="145"/>
      <c r="L196" s="145"/>
      <c r="M196" s="145"/>
      <c r="N196" s="145"/>
      <c r="O196" s="145"/>
      <c r="P196" s="145"/>
      <c r="Q196" s="145"/>
      <c r="R196" s="145"/>
    </row>
    <row r="197" spans="1:18" ht="12.9">
      <c r="A197" s="145"/>
      <c r="B197" s="145"/>
      <c r="C197" s="145"/>
      <c r="D197" s="183" t="str">
        <f t="shared" si="26"/>
        <v/>
      </c>
      <c r="E197" s="145"/>
      <c r="F197" s="145"/>
      <c r="G197" s="145"/>
      <c r="H197" s="145"/>
      <c r="I197" s="145"/>
      <c r="J197" s="145"/>
      <c r="K197" s="145"/>
      <c r="L197" s="145"/>
      <c r="M197" s="145"/>
      <c r="N197" s="145"/>
      <c r="O197" s="145"/>
      <c r="P197" s="145"/>
      <c r="Q197" s="145"/>
      <c r="R197" s="145"/>
    </row>
    <row r="198" spans="1:18" ht="12.9">
      <c r="A198" s="145"/>
      <c r="B198" s="145"/>
      <c r="C198" s="145"/>
      <c r="D198" s="183" t="str">
        <f t="shared" si="26"/>
        <v/>
      </c>
      <c r="E198" s="145"/>
      <c r="F198" s="145"/>
      <c r="G198" s="145"/>
      <c r="H198" s="145"/>
      <c r="I198" s="145"/>
      <c r="J198" s="145"/>
      <c r="K198" s="145"/>
      <c r="L198" s="145"/>
      <c r="M198" s="145"/>
      <c r="N198" s="145"/>
      <c r="O198" s="145"/>
      <c r="P198" s="145"/>
      <c r="Q198" s="145"/>
      <c r="R198" s="145"/>
    </row>
    <row r="199" spans="1:18" ht="12.9">
      <c r="A199" s="145"/>
      <c r="B199" s="145"/>
      <c r="C199" s="145"/>
      <c r="D199" s="183" t="str">
        <f t="shared" si="26"/>
        <v/>
      </c>
      <c r="E199" s="145"/>
      <c r="F199" s="145"/>
      <c r="G199" s="145"/>
      <c r="H199" s="145"/>
      <c r="I199" s="145"/>
      <c r="J199" s="145"/>
      <c r="K199" s="145"/>
      <c r="L199" s="145"/>
      <c r="M199" s="145"/>
      <c r="N199" s="145"/>
      <c r="O199" s="145"/>
      <c r="P199" s="145"/>
      <c r="Q199" s="145"/>
      <c r="R199" s="145"/>
    </row>
    <row r="200" spans="1:18" ht="12.9">
      <c r="A200" s="145"/>
      <c r="B200" s="145"/>
      <c r="C200" s="145"/>
      <c r="D200" s="183" t="str">
        <f t="shared" si="26"/>
        <v/>
      </c>
      <c r="E200" s="145"/>
      <c r="F200" s="145"/>
      <c r="G200" s="145"/>
      <c r="H200" s="145"/>
      <c r="I200" s="145"/>
      <c r="J200" s="145"/>
      <c r="K200" s="145"/>
      <c r="L200" s="145"/>
      <c r="M200" s="145"/>
      <c r="N200" s="145"/>
      <c r="O200" s="145"/>
      <c r="P200" s="145"/>
      <c r="Q200" s="145"/>
      <c r="R200" s="145"/>
    </row>
    <row r="201" spans="1:18" ht="12.9">
      <c r="A201" s="145"/>
      <c r="B201" s="145"/>
      <c r="C201" s="145"/>
      <c r="D201" s="183" t="str">
        <f t="shared" si="26"/>
        <v/>
      </c>
      <c r="E201" s="145"/>
      <c r="F201" s="145"/>
      <c r="G201" s="145"/>
      <c r="H201" s="145"/>
      <c r="I201" s="145"/>
      <c r="J201" s="145"/>
      <c r="K201" s="145"/>
      <c r="L201" s="145"/>
      <c r="M201" s="145"/>
      <c r="N201" s="145"/>
      <c r="O201" s="145"/>
      <c r="P201" s="145"/>
      <c r="Q201" s="145"/>
      <c r="R201" s="145"/>
    </row>
    <row r="202" spans="1:18" ht="12.9">
      <c r="A202" s="145"/>
      <c r="B202" s="145"/>
      <c r="C202" s="145"/>
      <c r="D202" s="169"/>
      <c r="E202" s="145"/>
      <c r="F202" s="145"/>
      <c r="G202" s="145"/>
      <c r="H202" s="145"/>
      <c r="I202" s="145"/>
      <c r="J202" s="145"/>
      <c r="K202" s="145"/>
      <c r="L202" s="145"/>
      <c r="M202" s="145"/>
      <c r="N202" s="145"/>
      <c r="O202" s="145"/>
      <c r="P202" s="145"/>
      <c r="Q202" s="145"/>
      <c r="R202" s="145"/>
    </row>
    <row r="203" spans="1:18" ht="13.6">
      <c r="A203" s="145"/>
      <c r="B203" s="175" t="s">
        <v>225</v>
      </c>
      <c r="C203" s="175"/>
      <c r="D203" s="183">
        <f>SUM(D196:D201)</f>
        <v>0</v>
      </c>
      <c r="E203" s="145"/>
      <c r="F203" s="145"/>
      <c r="G203" s="145"/>
      <c r="H203" s="145"/>
      <c r="I203" s="145"/>
      <c r="J203" s="145"/>
      <c r="K203" s="145"/>
      <c r="L203" s="145"/>
      <c r="M203" s="145"/>
      <c r="N203" s="145"/>
      <c r="O203" s="145"/>
      <c r="P203" s="145"/>
      <c r="Q203" s="145"/>
      <c r="R203" s="145"/>
    </row>
    <row r="204" spans="1:18" ht="12.9">
      <c r="A204" s="145"/>
      <c r="B204" s="145"/>
      <c r="C204" s="145"/>
      <c r="D204" s="145"/>
      <c r="E204" s="145"/>
      <c r="F204" s="145"/>
      <c r="G204" s="145"/>
      <c r="H204" s="145"/>
      <c r="I204" s="145"/>
      <c r="J204" s="145"/>
      <c r="K204" s="145"/>
      <c r="L204" s="145"/>
      <c r="M204" s="145"/>
      <c r="N204" s="145"/>
      <c r="O204" s="145"/>
      <c r="P204" s="145"/>
      <c r="Q204" s="145"/>
      <c r="R204" s="145"/>
    </row>
    <row r="205" spans="1:18" ht="18.350000000000001">
      <c r="A205" s="181"/>
      <c r="B205" s="157" t="s">
        <v>249</v>
      </c>
      <c r="C205" s="157"/>
      <c r="D205" s="181"/>
      <c r="E205" s="181"/>
      <c r="F205" s="181"/>
      <c r="G205" s="181"/>
      <c r="H205" s="181"/>
      <c r="I205" s="181"/>
      <c r="J205" s="181"/>
      <c r="K205" s="181"/>
      <c r="L205" s="181"/>
      <c r="M205" s="181"/>
      <c r="N205" s="181"/>
      <c r="O205" s="181"/>
      <c r="P205" s="181"/>
      <c r="Q205" s="181"/>
      <c r="R205" s="181"/>
    </row>
    <row r="206" spans="1:18" ht="12.9">
      <c r="A206" s="145"/>
      <c r="B206" s="145"/>
      <c r="C206" s="145"/>
      <c r="D206" s="145"/>
      <c r="E206" s="145"/>
      <c r="F206" s="145"/>
      <c r="G206" s="145"/>
      <c r="H206" s="145"/>
      <c r="I206" s="145"/>
      <c r="J206" s="145"/>
      <c r="K206" s="145"/>
      <c r="L206" s="145"/>
      <c r="M206" s="145"/>
      <c r="N206" s="145"/>
      <c r="O206" s="145"/>
      <c r="P206" s="145"/>
      <c r="Q206" s="145"/>
      <c r="R206" s="145"/>
    </row>
    <row r="207" spans="1:18" ht="12.9">
      <c r="A207" s="145"/>
      <c r="B207" s="145"/>
      <c r="C207" s="145"/>
      <c r="D207" s="145"/>
      <c r="E207" s="145"/>
      <c r="F207" s="145"/>
      <c r="G207" s="145"/>
      <c r="H207" s="145"/>
      <c r="I207" s="145"/>
      <c r="J207" s="145"/>
      <c r="K207" s="145"/>
      <c r="L207" s="145"/>
      <c r="M207" s="145"/>
      <c r="N207" s="145"/>
      <c r="O207" s="145"/>
      <c r="P207" s="145"/>
      <c r="Q207" s="145"/>
      <c r="R207" s="145"/>
    </row>
    <row r="208" spans="1:18" ht="12.9">
      <c r="A208" s="145"/>
      <c r="B208" s="145"/>
      <c r="C208" s="145"/>
      <c r="D208" s="145"/>
      <c r="E208" s="145"/>
      <c r="F208" s="145"/>
      <c r="G208" s="145"/>
      <c r="H208" s="145"/>
      <c r="I208" s="145"/>
      <c r="J208" s="145"/>
      <c r="K208" s="145"/>
      <c r="L208" s="145"/>
      <c r="M208" s="145"/>
      <c r="N208" s="145"/>
      <c r="O208" s="145"/>
      <c r="P208" s="145"/>
      <c r="Q208" s="145"/>
      <c r="R208" s="145"/>
    </row>
    <row r="209" spans="1:18" ht="12.9">
      <c r="A209" s="145"/>
      <c r="B209" s="145"/>
      <c r="C209" s="145"/>
      <c r="D209" s="145"/>
      <c r="E209" s="145"/>
      <c r="F209" s="145"/>
      <c r="G209" s="145"/>
      <c r="H209" s="145"/>
      <c r="I209" s="145"/>
      <c r="J209" s="145"/>
      <c r="K209" s="145"/>
      <c r="L209" s="145"/>
      <c r="M209" s="145"/>
      <c r="N209" s="145"/>
      <c r="O209" s="145"/>
      <c r="P209" s="145"/>
      <c r="Q209" s="145"/>
      <c r="R209" s="145"/>
    </row>
    <row r="210" spans="1:18" ht="12.9">
      <c r="A210" s="145"/>
      <c r="B210" s="145"/>
      <c r="C210" s="145"/>
      <c r="D210" s="145"/>
      <c r="E210" s="145"/>
      <c r="F210" s="145"/>
      <c r="G210" s="145"/>
      <c r="H210" s="145"/>
      <c r="I210" s="145"/>
      <c r="J210" s="145"/>
      <c r="K210" s="145"/>
      <c r="L210" s="145"/>
      <c r="M210" s="145"/>
      <c r="N210" s="145"/>
      <c r="O210" s="145"/>
      <c r="P210" s="145"/>
      <c r="Q210" s="145"/>
      <c r="R210" s="145"/>
    </row>
    <row r="211" spans="1:18" ht="12.9">
      <c r="A211" s="145"/>
      <c r="B211" s="145"/>
      <c r="C211" s="145"/>
      <c r="D211" s="145"/>
      <c r="E211" s="145"/>
      <c r="F211" s="145"/>
      <c r="G211" s="145"/>
      <c r="H211" s="145"/>
      <c r="I211" s="145"/>
      <c r="J211" s="145"/>
      <c r="K211" s="145"/>
      <c r="L211" s="145"/>
      <c r="M211" s="145"/>
      <c r="N211" s="145"/>
      <c r="O211" s="145"/>
      <c r="P211" s="145"/>
      <c r="Q211" s="145"/>
      <c r="R211" s="145"/>
    </row>
    <row r="212" spans="1:18" ht="12.9">
      <c r="A212" s="145"/>
      <c r="B212" s="145"/>
      <c r="C212" s="145"/>
      <c r="D212" s="145"/>
      <c r="E212" s="145"/>
      <c r="F212" s="145"/>
      <c r="G212" s="145"/>
      <c r="H212" s="145"/>
      <c r="I212" s="145"/>
      <c r="J212" s="145"/>
      <c r="K212" s="145"/>
      <c r="L212" s="145"/>
      <c r="M212" s="145"/>
      <c r="N212" s="145"/>
      <c r="O212" s="145"/>
      <c r="P212" s="145"/>
      <c r="Q212" s="145"/>
      <c r="R212" s="145"/>
    </row>
    <row r="213" spans="1:18" ht="12.9">
      <c r="A213" s="145"/>
      <c r="B213" s="145"/>
      <c r="C213" s="145"/>
      <c r="D213" s="145"/>
      <c r="E213" s="145"/>
      <c r="F213" s="145"/>
      <c r="G213" s="145"/>
      <c r="H213" s="145"/>
      <c r="I213" s="145"/>
      <c r="J213" s="145"/>
      <c r="K213" s="145"/>
      <c r="L213" s="145"/>
      <c r="M213" s="145"/>
      <c r="N213" s="145"/>
      <c r="O213" s="145"/>
      <c r="P213" s="145"/>
      <c r="Q213" s="145"/>
      <c r="R213" s="145"/>
    </row>
    <row r="214" spans="1:18" ht="12.9">
      <c r="A214" s="145"/>
      <c r="B214" s="145"/>
      <c r="C214" s="145"/>
      <c r="D214" s="145"/>
      <c r="E214" s="145"/>
      <c r="F214" s="145"/>
      <c r="G214" s="145"/>
      <c r="H214" s="145"/>
      <c r="I214" s="145"/>
      <c r="J214" s="145"/>
      <c r="K214" s="145"/>
      <c r="L214" s="145"/>
      <c r="M214" s="145"/>
      <c r="N214" s="145"/>
      <c r="O214" s="145"/>
      <c r="P214" s="145"/>
      <c r="Q214" s="145"/>
      <c r="R214" s="145"/>
    </row>
    <row r="215" spans="1:18" ht="12.9">
      <c r="A215" s="145"/>
      <c r="B215" s="145"/>
      <c r="C215" s="145"/>
      <c r="D215" s="145"/>
      <c r="E215" s="145"/>
      <c r="F215" s="145"/>
      <c r="G215" s="145"/>
      <c r="H215" s="145"/>
      <c r="I215" s="145"/>
      <c r="J215" s="145"/>
      <c r="K215" s="145"/>
      <c r="L215" s="145"/>
      <c r="M215" s="145"/>
      <c r="N215" s="145"/>
      <c r="O215" s="145"/>
      <c r="P215" s="145"/>
      <c r="Q215" s="145"/>
      <c r="R215" s="145"/>
    </row>
    <row r="216" spans="1:18" ht="12.9">
      <c r="A216" s="145"/>
      <c r="B216" s="145"/>
      <c r="C216" s="145"/>
      <c r="D216" s="145"/>
      <c r="E216" s="145"/>
      <c r="F216" s="145"/>
      <c r="G216" s="145"/>
      <c r="H216" s="145"/>
      <c r="I216" s="145"/>
      <c r="J216" s="145"/>
      <c r="K216" s="145"/>
      <c r="L216" s="145"/>
      <c r="M216" s="145"/>
      <c r="N216" s="145"/>
      <c r="O216" s="145"/>
      <c r="P216" s="145"/>
      <c r="Q216" s="145"/>
      <c r="R216" s="145"/>
    </row>
    <row r="217" spans="1:18" ht="12.9">
      <c r="A217" s="145"/>
      <c r="B217" s="145"/>
      <c r="C217" s="145"/>
      <c r="D217" s="145"/>
      <c r="E217" s="145"/>
      <c r="F217" s="145"/>
      <c r="G217" s="145"/>
      <c r="H217" s="145"/>
      <c r="I217" s="145"/>
      <c r="J217" s="145"/>
      <c r="K217" s="145"/>
      <c r="L217" s="145"/>
      <c r="M217" s="145"/>
      <c r="N217" s="145"/>
      <c r="O217" s="145"/>
      <c r="P217" s="145"/>
      <c r="Q217" s="145"/>
      <c r="R217" s="145"/>
    </row>
    <row r="218" spans="1:18" ht="13.6">
      <c r="A218" s="145"/>
      <c r="B218" s="175" t="s">
        <v>250</v>
      </c>
      <c r="C218" s="175"/>
      <c r="D218" s="169">
        <f>D4/D5</f>
        <v>0.15151515151515152</v>
      </c>
      <c r="E218" s="145"/>
      <c r="F218" s="145"/>
      <c r="G218" s="145"/>
      <c r="H218" s="145"/>
      <c r="I218" s="145"/>
      <c r="J218" s="145"/>
      <c r="K218" s="145"/>
      <c r="L218" s="145"/>
      <c r="M218" s="145"/>
      <c r="N218" s="145"/>
      <c r="O218" s="145"/>
      <c r="P218" s="145"/>
      <c r="Q218" s="145"/>
      <c r="R218" s="145"/>
    </row>
    <row r="219" spans="1:18" ht="12.9">
      <c r="A219" s="145"/>
      <c r="B219" s="145"/>
      <c r="C219" s="145"/>
      <c r="D219" s="145"/>
      <c r="E219" s="145"/>
      <c r="F219" s="145"/>
      <c r="G219" s="145"/>
      <c r="H219" s="145"/>
      <c r="I219" s="145"/>
      <c r="J219" s="145"/>
      <c r="K219" s="145"/>
      <c r="L219" s="145"/>
      <c r="M219" s="145"/>
      <c r="N219" s="145"/>
      <c r="O219" s="145"/>
      <c r="P219" s="145"/>
      <c r="Q219" s="145"/>
      <c r="R219" s="145"/>
    </row>
    <row r="220" spans="1:18" ht="15.65">
      <c r="A220" s="174"/>
      <c r="B220" s="184" t="s">
        <v>226</v>
      </c>
      <c r="C220" s="184"/>
      <c r="D220" s="174"/>
      <c r="E220" s="174"/>
      <c r="F220" s="174"/>
      <c r="G220" s="174"/>
      <c r="H220" s="174"/>
      <c r="I220" s="174"/>
      <c r="J220" s="174"/>
      <c r="K220" s="174"/>
      <c r="L220" s="174"/>
      <c r="M220" s="174"/>
      <c r="N220" s="174"/>
      <c r="O220" s="174"/>
      <c r="P220" s="174"/>
      <c r="Q220" s="174"/>
      <c r="R220" s="174"/>
    </row>
    <row r="221" spans="1:18" ht="12.9">
      <c r="A221" s="145"/>
      <c r="B221" s="145"/>
      <c r="C221" s="145"/>
      <c r="D221" s="145"/>
      <c r="E221" s="145"/>
      <c r="F221" s="145"/>
      <c r="G221" s="145"/>
      <c r="H221" s="145"/>
      <c r="I221" s="145"/>
      <c r="J221" s="145"/>
      <c r="K221" s="145"/>
      <c r="L221" s="145"/>
      <c r="M221" s="145"/>
      <c r="N221" s="145"/>
      <c r="O221" s="145"/>
      <c r="P221" s="145"/>
      <c r="Q221" s="145"/>
      <c r="R221" s="145"/>
    </row>
    <row r="222" spans="1:18" ht="13.6">
      <c r="A222" s="145"/>
      <c r="B222" s="175" t="s">
        <v>251</v>
      </c>
      <c r="C222" s="175"/>
      <c r="D222" s="185" t="str">
        <f t="shared" ref="D222:D227" si="27">IFERROR(IF(D182&lt;0, "", $D$218*(1+$D$7*$D$9)*((1+$D$7)^D182)), "")</f>
        <v/>
      </c>
      <c r="E222" s="145"/>
      <c r="F222" s="145"/>
      <c r="G222" s="145"/>
      <c r="H222" s="145"/>
      <c r="I222" s="145"/>
      <c r="J222" s="145"/>
      <c r="K222" s="145"/>
      <c r="L222" s="145"/>
      <c r="M222" s="145"/>
      <c r="N222" s="145"/>
      <c r="O222" s="145"/>
      <c r="P222" s="145"/>
      <c r="Q222" s="145"/>
      <c r="R222" s="145"/>
    </row>
    <row r="223" spans="1:18" ht="12.9">
      <c r="A223" s="145"/>
      <c r="B223" s="145"/>
      <c r="C223" s="145"/>
      <c r="D223" s="185" t="str">
        <f t="shared" si="27"/>
        <v/>
      </c>
      <c r="E223" s="145"/>
      <c r="F223" s="145"/>
      <c r="G223" s="145"/>
      <c r="H223" s="145"/>
      <c r="I223" s="145"/>
      <c r="J223" s="145"/>
      <c r="K223" s="145"/>
      <c r="L223" s="145"/>
      <c r="M223" s="145"/>
      <c r="N223" s="145"/>
      <c r="O223" s="145"/>
      <c r="P223" s="145"/>
      <c r="Q223" s="145"/>
      <c r="R223" s="145"/>
    </row>
    <row r="224" spans="1:18" ht="12.9">
      <c r="A224" s="145"/>
      <c r="B224" s="145"/>
      <c r="C224" s="145"/>
      <c r="D224" s="185" t="str">
        <f t="shared" si="27"/>
        <v/>
      </c>
      <c r="E224" s="145"/>
      <c r="F224" s="145"/>
      <c r="G224" s="145"/>
      <c r="H224" s="145"/>
      <c r="I224" s="145"/>
      <c r="J224" s="145"/>
      <c r="K224" s="145"/>
      <c r="L224" s="145"/>
      <c r="M224" s="145"/>
      <c r="N224" s="145"/>
      <c r="O224" s="145"/>
      <c r="P224" s="145"/>
      <c r="Q224" s="145"/>
      <c r="R224" s="145"/>
    </row>
    <row r="225" spans="1:18" ht="12.9">
      <c r="A225" s="145"/>
      <c r="B225" s="145"/>
      <c r="C225" s="145"/>
      <c r="D225" s="185" t="str">
        <f t="shared" si="27"/>
        <v/>
      </c>
      <c r="E225" s="145"/>
      <c r="F225" s="145"/>
      <c r="G225" s="145"/>
      <c r="H225" s="145"/>
      <c r="I225" s="145"/>
      <c r="J225" s="145"/>
      <c r="K225" s="145"/>
      <c r="L225" s="145"/>
      <c r="M225" s="145"/>
      <c r="N225" s="145"/>
      <c r="O225" s="145"/>
      <c r="P225" s="145"/>
      <c r="Q225" s="145"/>
      <c r="R225" s="145"/>
    </row>
    <row r="226" spans="1:18" ht="12.9">
      <c r="A226" s="145"/>
      <c r="B226" s="145"/>
      <c r="C226" s="145"/>
      <c r="D226" s="185" t="str">
        <f t="shared" si="27"/>
        <v/>
      </c>
      <c r="E226" s="145"/>
      <c r="F226" s="145"/>
      <c r="G226" s="145"/>
      <c r="H226" s="145"/>
      <c r="I226" s="145"/>
      <c r="J226" s="145"/>
      <c r="K226" s="145"/>
      <c r="L226" s="145"/>
      <c r="M226" s="145"/>
      <c r="N226" s="145"/>
      <c r="O226" s="145"/>
      <c r="P226" s="145"/>
      <c r="Q226" s="145"/>
      <c r="R226" s="145"/>
    </row>
    <row r="227" spans="1:18" ht="12.9">
      <c r="A227" s="145"/>
      <c r="B227" s="145"/>
      <c r="C227" s="145"/>
      <c r="D227" s="185" t="str">
        <f t="shared" si="27"/>
        <v/>
      </c>
      <c r="E227" s="145"/>
      <c r="F227" s="145"/>
      <c r="G227" s="145"/>
      <c r="H227" s="145"/>
      <c r="I227" s="145"/>
      <c r="J227" s="145"/>
      <c r="K227" s="145"/>
      <c r="L227" s="145"/>
      <c r="M227" s="145"/>
      <c r="N227" s="145"/>
      <c r="O227" s="145"/>
      <c r="P227" s="145"/>
      <c r="Q227" s="145"/>
      <c r="R227" s="145"/>
    </row>
    <row r="228" spans="1:18" ht="12.9">
      <c r="A228" s="145"/>
      <c r="B228" s="145"/>
      <c r="C228" s="145"/>
      <c r="D228" s="145"/>
      <c r="E228" s="145"/>
      <c r="F228" s="145"/>
      <c r="G228" s="145"/>
      <c r="H228" s="145"/>
      <c r="I228" s="145"/>
      <c r="J228" s="145"/>
      <c r="K228" s="145"/>
      <c r="L228" s="145"/>
      <c r="M228" s="145"/>
      <c r="N228" s="145"/>
      <c r="O228" s="145"/>
      <c r="P228" s="145"/>
      <c r="Q228" s="145"/>
      <c r="R228" s="145"/>
    </row>
    <row r="229" spans="1:18" ht="13.6">
      <c r="A229" s="145"/>
      <c r="B229" s="175" t="s">
        <v>245</v>
      </c>
      <c r="C229" s="175"/>
      <c r="D229" s="183" t="str">
        <f t="shared" ref="D229:D234" si="28">IFERROR(INDEX($D$31:$I$31, 1, MATCH($D175,$D$24:$I$24,0))*D222, "")</f>
        <v/>
      </c>
      <c r="E229" s="145"/>
      <c r="F229" s="145"/>
      <c r="G229" s="145"/>
      <c r="H229" s="145"/>
      <c r="I229" s="145"/>
      <c r="J229" s="145"/>
      <c r="K229" s="145"/>
      <c r="L229" s="145"/>
      <c r="M229" s="145"/>
      <c r="N229" s="145"/>
      <c r="O229" s="145"/>
      <c r="P229" s="145"/>
      <c r="Q229" s="145"/>
      <c r="R229" s="145"/>
    </row>
    <row r="230" spans="1:18" ht="12.9">
      <c r="A230" s="145"/>
      <c r="B230" s="145"/>
      <c r="C230" s="145"/>
      <c r="D230" s="183" t="str">
        <f t="shared" si="28"/>
        <v/>
      </c>
      <c r="E230" s="145"/>
      <c r="F230" s="145"/>
      <c r="G230" s="145"/>
      <c r="H230" s="145"/>
      <c r="I230" s="145"/>
      <c r="J230" s="145"/>
      <c r="K230" s="145"/>
      <c r="L230" s="145"/>
      <c r="M230" s="145"/>
      <c r="N230" s="145"/>
      <c r="O230" s="145"/>
      <c r="P230" s="145"/>
      <c r="Q230" s="145"/>
      <c r="R230" s="145"/>
    </row>
    <row r="231" spans="1:18" ht="12.9">
      <c r="A231" s="145"/>
      <c r="B231" s="145"/>
      <c r="C231" s="145"/>
      <c r="D231" s="183" t="str">
        <f t="shared" si="28"/>
        <v/>
      </c>
      <c r="E231" s="145"/>
      <c r="F231" s="145"/>
      <c r="G231" s="145"/>
      <c r="H231" s="145"/>
      <c r="I231" s="145"/>
      <c r="J231" s="145"/>
      <c r="K231" s="145"/>
      <c r="L231" s="145"/>
      <c r="M231" s="145"/>
      <c r="N231" s="145"/>
      <c r="O231" s="145"/>
      <c r="P231" s="145"/>
      <c r="Q231" s="145"/>
      <c r="R231" s="145"/>
    </row>
    <row r="232" spans="1:18" ht="12.9">
      <c r="A232" s="145"/>
      <c r="B232" s="145"/>
      <c r="C232" s="145"/>
      <c r="D232" s="183" t="str">
        <f t="shared" si="28"/>
        <v/>
      </c>
      <c r="E232" s="145"/>
      <c r="F232" s="145"/>
      <c r="G232" s="145"/>
      <c r="H232" s="145"/>
      <c r="I232" s="145"/>
      <c r="J232" s="145"/>
      <c r="K232" s="145"/>
      <c r="L232" s="145"/>
      <c r="M232" s="145"/>
      <c r="N232" s="145"/>
      <c r="O232" s="145"/>
      <c r="P232" s="145"/>
      <c r="Q232" s="145"/>
      <c r="R232" s="145"/>
    </row>
    <row r="233" spans="1:18" ht="12.9">
      <c r="A233" s="145"/>
      <c r="B233" s="145"/>
      <c r="C233" s="145"/>
      <c r="D233" s="183" t="str">
        <f t="shared" si="28"/>
        <v/>
      </c>
      <c r="E233" s="145"/>
      <c r="F233" s="145"/>
      <c r="G233" s="145"/>
      <c r="H233" s="145"/>
      <c r="I233" s="145"/>
      <c r="J233" s="145"/>
      <c r="K233" s="145"/>
      <c r="L233" s="145"/>
      <c r="M233" s="145"/>
      <c r="N233" s="145"/>
      <c r="O233" s="145"/>
      <c r="P233" s="145"/>
      <c r="Q233" s="145"/>
      <c r="R233" s="145"/>
    </row>
    <row r="234" spans="1:18" ht="12.9">
      <c r="A234" s="145"/>
      <c r="B234" s="145"/>
      <c r="C234" s="145"/>
      <c r="D234" s="183" t="str">
        <f t="shared" si="28"/>
        <v/>
      </c>
      <c r="E234" s="145"/>
      <c r="F234" s="145"/>
      <c r="G234" s="145"/>
      <c r="H234" s="145"/>
      <c r="I234" s="145"/>
      <c r="J234" s="145"/>
      <c r="K234" s="145"/>
      <c r="L234" s="145"/>
      <c r="M234" s="145"/>
      <c r="N234" s="145"/>
      <c r="O234" s="145"/>
      <c r="P234" s="145"/>
      <c r="Q234" s="145"/>
      <c r="R234" s="145"/>
    </row>
    <row r="235" spans="1:18" ht="12.9">
      <c r="A235" s="145"/>
      <c r="B235" s="145"/>
      <c r="C235" s="145"/>
      <c r="D235" s="145"/>
      <c r="E235" s="145"/>
      <c r="F235" s="145"/>
      <c r="G235" s="145"/>
      <c r="H235" s="145"/>
      <c r="I235" s="145"/>
      <c r="J235" s="145"/>
      <c r="K235" s="145"/>
      <c r="L235" s="145"/>
      <c r="M235" s="145"/>
      <c r="N235" s="145"/>
      <c r="O235" s="145"/>
      <c r="P235" s="145"/>
      <c r="Q235" s="145"/>
      <c r="R235" s="145"/>
    </row>
    <row r="236" spans="1:18" ht="13.6">
      <c r="A236" s="145"/>
      <c r="B236" s="175" t="s">
        <v>226</v>
      </c>
      <c r="C236" s="175"/>
      <c r="D236" s="183">
        <f>SUM(D229:D234)</f>
        <v>0</v>
      </c>
      <c r="E236" s="145"/>
      <c r="F236" s="145"/>
      <c r="G236" s="145"/>
      <c r="H236" s="145"/>
      <c r="I236" s="145"/>
      <c r="J236" s="145"/>
      <c r="K236" s="145"/>
      <c r="L236" s="145"/>
      <c r="M236" s="145"/>
      <c r="N236" s="145"/>
      <c r="O236" s="145"/>
      <c r="P236" s="145"/>
      <c r="Q236" s="145"/>
      <c r="R236" s="145"/>
    </row>
    <row r="237" spans="1:18" ht="12.9">
      <c r="A237" s="145"/>
      <c r="B237" s="145"/>
      <c r="C237" s="145"/>
      <c r="D237" s="145"/>
      <c r="E237" s="145"/>
      <c r="F237" s="145"/>
      <c r="G237" s="145"/>
      <c r="H237" s="145"/>
      <c r="I237" s="145"/>
      <c r="J237" s="145"/>
      <c r="K237" s="145"/>
      <c r="L237" s="145"/>
      <c r="M237" s="145"/>
      <c r="N237" s="145"/>
      <c r="O237" s="145"/>
      <c r="P237" s="145"/>
      <c r="Q237" s="145"/>
      <c r="R237" s="145"/>
    </row>
    <row r="238" spans="1:18" ht="15.65">
      <c r="A238" s="174"/>
      <c r="B238" s="184" t="s">
        <v>227</v>
      </c>
      <c r="C238" s="184"/>
      <c r="D238" s="174"/>
      <c r="E238" s="174"/>
      <c r="F238" s="174"/>
      <c r="G238" s="174"/>
      <c r="H238" s="174"/>
      <c r="I238" s="174"/>
      <c r="J238" s="174"/>
      <c r="K238" s="174"/>
      <c r="L238" s="174"/>
      <c r="M238" s="174"/>
      <c r="N238" s="174"/>
      <c r="O238" s="174"/>
      <c r="P238" s="174"/>
      <c r="Q238" s="174"/>
      <c r="R238" s="174"/>
    </row>
    <row r="239" spans="1:18" ht="12.9">
      <c r="A239" s="145"/>
      <c r="B239" s="145"/>
      <c r="C239" s="145"/>
      <c r="D239" s="145"/>
      <c r="E239" s="145"/>
      <c r="F239" s="145"/>
      <c r="G239" s="145"/>
      <c r="H239" s="145"/>
      <c r="I239" s="145"/>
      <c r="J239" s="145"/>
      <c r="K239" s="145"/>
      <c r="L239" s="145"/>
      <c r="M239" s="145"/>
      <c r="N239" s="145"/>
      <c r="O239" s="145"/>
      <c r="P239" s="145"/>
      <c r="Q239" s="145"/>
      <c r="R239" s="145"/>
    </row>
    <row r="240" spans="1:18" ht="13.6">
      <c r="A240" s="145"/>
      <c r="B240" s="175" t="s">
        <v>251</v>
      </c>
      <c r="C240" s="175"/>
      <c r="D240" s="183">
        <f t="shared" ref="D240:D245" si="29">IFERROR($D$218*((1+$D$6*$D$8)/((1+$D$6)^D140)), "")</f>
        <v>0.14622973925299509</v>
      </c>
      <c r="E240" s="145"/>
      <c r="F240" s="145"/>
      <c r="G240" s="145"/>
      <c r="H240" s="145"/>
      <c r="I240" s="145"/>
      <c r="J240" s="145"/>
      <c r="K240" s="145"/>
      <c r="L240" s="145"/>
      <c r="M240" s="145"/>
      <c r="N240" s="145"/>
      <c r="O240" s="145"/>
      <c r="P240" s="145"/>
      <c r="Q240" s="145"/>
      <c r="R240" s="145"/>
    </row>
    <row r="241" spans="1:18" ht="12.9">
      <c r="A241" s="145"/>
      <c r="B241" s="145"/>
      <c r="C241" s="145"/>
      <c r="D241" s="183">
        <f t="shared" si="29"/>
        <v>0.13602766442139078</v>
      </c>
      <c r="E241" s="145"/>
      <c r="F241" s="145"/>
      <c r="G241" s="145"/>
      <c r="H241" s="145"/>
      <c r="I241" s="145"/>
      <c r="J241" s="145"/>
      <c r="K241" s="145"/>
      <c r="L241" s="145"/>
      <c r="M241" s="145"/>
      <c r="N241" s="145"/>
      <c r="O241" s="145"/>
      <c r="P241" s="145"/>
      <c r="Q241" s="145"/>
      <c r="R241" s="145"/>
    </row>
    <row r="242" spans="1:18" ht="12.9">
      <c r="A242" s="145"/>
      <c r="B242" s="145"/>
      <c r="C242" s="145"/>
      <c r="D242" s="183">
        <f t="shared" si="29"/>
        <v>0.12653736225245654</v>
      </c>
      <c r="E242" s="145"/>
      <c r="F242" s="145"/>
      <c r="G242" s="145"/>
      <c r="H242" s="145"/>
      <c r="I242" s="145"/>
      <c r="J242" s="145"/>
      <c r="K242" s="145"/>
      <c r="L242" s="145"/>
      <c r="M242" s="145"/>
      <c r="N242" s="145"/>
      <c r="O242" s="145"/>
      <c r="P242" s="145"/>
      <c r="Q242" s="145"/>
      <c r="R242" s="145"/>
    </row>
    <row r="243" spans="1:18" ht="12.9">
      <c r="A243" s="145"/>
      <c r="B243" s="145"/>
      <c r="C243" s="145"/>
      <c r="D243" s="183">
        <f t="shared" si="29"/>
        <v>0.11770917418833167</v>
      </c>
      <c r="E243" s="145"/>
      <c r="F243" s="145"/>
      <c r="G243" s="145"/>
      <c r="H243" s="145"/>
      <c r="I243" s="145"/>
      <c r="J243" s="145"/>
      <c r="K243" s="145"/>
      <c r="L243" s="145"/>
      <c r="M243" s="145"/>
      <c r="N243" s="145"/>
      <c r="O243" s="145"/>
      <c r="P243" s="145"/>
      <c r="Q243" s="145"/>
      <c r="R243" s="145"/>
    </row>
    <row r="244" spans="1:18" ht="12.9">
      <c r="A244" s="145"/>
      <c r="B244" s="145"/>
      <c r="C244" s="145"/>
      <c r="D244" s="183">
        <f t="shared" si="29"/>
        <v>0.10949690622170388</v>
      </c>
      <c r="E244" s="145"/>
      <c r="F244" s="145"/>
      <c r="G244" s="145"/>
      <c r="H244" s="145"/>
      <c r="I244" s="145"/>
      <c r="J244" s="145"/>
      <c r="K244" s="145"/>
      <c r="L244" s="145"/>
      <c r="M244" s="145"/>
      <c r="N244" s="145"/>
      <c r="O244" s="145"/>
      <c r="P244" s="145"/>
      <c r="Q244" s="145"/>
      <c r="R244" s="145"/>
    </row>
    <row r="245" spans="1:18" ht="12.9">
      <c r="A245" s="145"/>
      <c r="B245" s="145"/>
      <c r="C245" s="145"/>
      <c r="D245" s="183" t="str">
        <f t="shared" si="29"/>
        <v/>
      </c>
      <c r="E245" s="145"/>
      <c r="F245" s="145"/>
      <c r="G245" s="145"/>
      <c r="H245" s="145"/>
      <c r="I245" s="145"/>
      <c r="J245" s="145"/>
      <c r="K245" s="145"/>
      <c r="L245" s="145"/>
      <c r="M245" s="145"/>
      <c r="N245" s="145"/>
      <c r="O245" s="145"/>
      <c r="P245" s="145"/>
      <c r="Q245" s="145"/>
      <c r="R245" s="145"/>
    </row>
    <row r="246" spans="1:18" ht="12.9">
      <c r="A246" s="145"/>
      <c r="B246" s="145"/>
      <c r="C246" s="145"/>
      <c r="D246" s="145"/>
      <c r="E246" s="145"/>
      <c r="F246" s="145"/>
      <c r="G246" s="145"/>
      <c r="H246" s="145"/>
      <c r="I246" s="145"/>
      <c r="J246" s="145"/>
      <c r="K246" s="145"/>
      <c r="L246" s="145"/>
      <c r="M246" s="145"/>
      <c r="N246" s="145"/>
      <c r="O246" s="145"/>
      <c r="P246" s="145"/>
      <c r="Q246" s="145"/>
      <c r="R246" s="145"/>
    </row>
    <row r="247" spans="1:18" ht="13.6">
      <c r="A247" s="145"/>
      <c r="B247" s="175" t="s">
        <v>245</v>
      </c>
      <c r="C247" s="175"/>
      <c r="D247" s="183" t="str">
        <f t="shared" ref="D247:D252" si="30">IFERROR(INDEX($D$31:$I$31, 1, MATCH($D133,$D$24:$I$24,0))*D240, "")</f>
        <v/>
      </c>
      <c r="E247" s="145"/>
      <c r="F247" s="145"/>
      <c r="G247" s="145"/>
      <c r="H247" s="145"/>
      <c r="I247" s="145"/>
      <c r="J247" s="145"/>
      <c r="K247" s="145"/>
      <c r="L247" s="145"/>
      <c r="M247" s="145"/>
      <c r="N247" s="145"/>
      <c r="O247" s="145"/>
      <c r="P247" s="145"/>
      <c r="Q247" s="145"/>
      <c r="R247" s="145"/>
    </row>
    <row r="248" spans="1:18" ht="12.9">
      <c r="A248" s="145"/>
      <c r="B248" s="145"/>
      <c r="C248" s="145"/>
      <c r="D248" s="183" t="str">
        <f t="shared" si="30"/>
        <v/>
      </c>
      <c r="E248" s="145"/>
      <c r="F248" s="145"/>
      <c r="G248" s="145"/>
      <c r="H248" s="145"/>
      <c r="I248" s="145"/>
      <c r="J248" s="145"/>
      <c r="K248" s="145"/>
      <c r="L248" s="145"/>
      <c r="M248" s="145"/>
      <c r="N248" s="145"/>
      <c r="O248" s="145"/>
      <c r="P248" s="145"/>
      <c r="Q248" s="145"/>
      <c r="R248" s="145"/>
    </row>
    <row r="249" spans="1:18" ht="12.9">
      <c r="A249" s="145"/>
      <c r="B249" s="145"/>
      <c r="C249" s="145"/>
      <c r="D249" s="183">
        <f t="shared" si="30"/>
        <v>-426.08656142943977</v>
      </c>
      <c r="E249" s="145"/>
      <c r="F249" s="145"/>
      <c r="G249" s="145"/>
      <c r="H249" s="145"/>
      <c r="I249" s="145"/>
      <c r="J249" s="145"/>
      <c r="K249" s="145"/>
      <c r="L249" s="145"/>
      <c r="M249" s="145"/>
      <c r="N249" s="145"/>
      <c r="O249" s="145"/>
      <c r="P249" s="145"/>
      <c r="Q249" s="145"/>
      <c r="R249" s="145"/>
    </row>
    <row r="250" spans="1:18" ht="12.9">
      <c r="A250" s="145"/>
      <c r="B250" s="145"/>
      <c r="C250" s="145"/>
      <c r="D250" s="183">
        <f t="shared" si="30"/>
        <v>-144.90106138776656</v>
      </c>
      <c r="E250" s="145"/>
      <c r="F250" s="145"/>
      <c r="G250" s="145"/>
      <c r="H250" s="145"/>
      <c r="I250" s="145"/>
      <c r="J250" s="145"/>
      <c r="K250" s="145"/>
      <c r="L250" s="145"/>
      <c r="M250" s="145"/>
      <c r="N250" s="145"/>
      <c r="O250" s="145"/>
      <c r="P250" s="145"/>
      <c r="Q250" s="145"/>
      <c r="R250" s="145"/>
    </row>
    <row r="251" spans="1:18" ht="12.9">
      <c r="A251" s="145"/>
      <c r="B251" s="145"/>
      <c r="C251" s="145"/>
      <c r="D251" s="183">
        <f t="shared" si="30"/>
        <v>61.045420423145615</v>
      </c>
      <c r="E251" s="145"/>
      <c r="F251" s="145"/>
      <c r="G251" s="145"/>
      <c r="H251" s="145"/>
      <c r="I251" s="145"/>
      <c r="J251" s="145"/>
      <c r="K251" s="145"/>
      <c r="L251" s="145"/>
      <c r="M251" s="145"/>
      <c r="N251" s="145"/>
      <c r="O251" s="145"/>
      <c r="P251" s="145"/>
      <c r="Q251" s="145"/>
      <c r="R251" s="145"/>
    </row>
    <row r="252" spans="1:18" ht="12.9">
      <c r="A252" s="145"/>
      <c r="B252" s="145"/>
      <c r="C252" s="145"/>
      <c r="D252" s="183" t="str">
        <f t="shared" si="30"/>
        <v/>
      </c>
      <c r="E252" s="145"/>
      <c r="F252" s="145"/>
      <c r="G252" s="145"/>
      <c r="H252" s="145"/>
      <c r="I252" s="145"/>
      <c r="J252" s="145"/>
      <c r="K252" s="145"/>
      <c r="L252" s="145"/>
      <c r="M252" s="145"/>
      <c r="N252" s="145"/>
      <c r="O252" s="145"/>
      <c r="P252" s="145"/>
      <c r="Q252" s="145"/>
      <c r="R252" s="145"/>
    </row>
    <row r="253" spans="1:18" ht="12.9">
      <c r="A253" s="145"/>
      <c r="B253" s="145"/>
      <c r="C253" s="145"/>
      <c r="D253" s="145"/>
      <c r="E253" s="145"/>
      <c r="F253" s="145"/>
      <c r="G253" s="145"/>
      <c r="H253" s="145"/>
      <c r="I253" s="145"/>
      <c r="J253" s="145"/>
      <c r="K253" s="145"/>
      <c r="L253" s="145"/>
      <c r="M253" s="145"/>
      <c r="N253" s="145"/>
      <c r="O253" s="145"/>
      <c r="P253" s="145"/>
      <c r="Q253" s="145"/>
      <c r="R253" s="145"/>
    </row>
    <row r="254" spans="1:18" ht="13.6">
      <c r="A254" s="145"/>
      <c r="B254" s="175" t="s">
        <v>227</v>
      </c>
      <c r="C254" s="175"/>
      <c r="D254" s="183">
        <f>SUM(D247:D252)</f>
        <v>-509.9422023940607</v>
      </c>
      <c r="E254" s="145"/>
      <c r="F254" s="145"/>
      <c r="G254" s="145"/>
      <c r="H254" s="145"/>
      <c r="I254" s="145"/>
      <c r="J254" s="145"/>
      <c r="K254" s="145"/>
      <c r="L254" s="145"/>
      <c r="M254" s="145"/>
      <c r="N254" s="145"/>
      <c r="O254" s="145"/>
      <c r="P254" s="145"/>
      <c r="Q254" s="145"/>
      <c r="R254" s="145"/>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S254"/>
  <sheetViews>
    <sheetView showGridLines="0" topLeftCell="A29" zoomScale="90" zoomScaleNormal="90" workbookViewId="0">
      <selection activeCell="H31" sqref="H31:J31"/>
    </sheetView>
  </sheetViews>
  <sheetFormatPr defaultColWidth="0" defaultRowHeight="13.25" customHeight="1" zeroHeight="1"/>
  <cols>
    <col min="1" max="1" width="2.75" style="92" bestFit="1" customWidth="1"/>
    <col min="2" max="2" width="77.25" style="92" bestFit="1" customWidth="1"/>
    <col min="3" max="3" width="59" style="92" customWidth="1"/>
    <col min="4" max="4" width="13.5" style="92" bestFit="1" customWidth="1"/>
    <col min="5" max="5" width="8.5" style="92" bestFit="1" customWidth="1"/>
    <col min="6" max="8" width="6.5" style="92" bestFit="1" customWidth="1"/>
    <col min="9" max="9" width="7.5" style="92" bestFit="1" customWidth="1"/>
    <col min="10" max="10" width="8.5" style="92" bestFit="1" customWidth="1"/>
    <col min="11" max="11" width="7.875" style="92" bestFit="1" customWidth="1"/>
    <col min="12" max="12" width="6.25" style="92" bestFit="1" customWidth="1"/>
    <col min="13" max="15" width="9.25" style="92" customWidth="1"/>
    <col min="16" max="19" width="0" style="92" hidden="1" customWidth="1"/>
    <col min="20" max="16384" width="9.25" style="92" hidden="1"/>
  </cols>
  <sheetData>
    <row r="1" spans="2:6" s="91" customFormat="1" ht="21.1">
      <c r="B1" s="91" t="s">
        <v>252</v>
      </c>
    </row>
    <row r="2" spans="2:6" ht="13.6" thickBot="1"/>
    <row r="3" spans="2:6" ht="13.6">
      <c r="B3" s="93" t="s">
        <v>143</v>
      </c>
      <c r="C3" s="227" t="s">
        <v>196</v>
      </c>
      <c r="D3" s="227"/>
      <c r="E3" s="94">
        <v>5</v>
      </c>
      <c r="F3" s="95">
        <v>2022</v>
      </c>
    </row>
    <row r="4" spans="2:6" ht="13.6">
      <c r="B4" s="96" t="s">
        <v>197</v>
      </c>
      <c r="C4" s="228" t="s">
        <v>198</v>
      </c>
      <c r="D4" s="228"/>
      <c r="E4" s="97">
        <v>5</v>
      </c>
    </row>
    <row r="5" spans="2:6" ht="13.6">
      <c r="B5" s="96" t="s">
        <v>199</v>
      </c>
      <c r="C5" s="228" t="s">
        <v>200</v>
      </c>
      <c r="D5" s="228"/>
      <c r="E5" s="97">
        <v>33</v>
      </c>
    </row>
    <row r="6" spans="2:6" ht="13.6">
      <c r="B6" s="96" t="s">
        <v>201</v>
      </c>
      <c r="C6" s="228" t="s">
        <v>202</v>
      </c>
      <c r="D6" s="228"/>
      <c r="E6" s="128">
        <v>3.6999999999999998E-2</v>
      </c>
    </row>
    <row r="7" spans="2:6" ht="13.6">
      <c r="B7" s="96" t="s">
        <v>203</v>
      </c>
      <c r="C7" s="228" t="s">
        <v>204</v>
      </c>
      <c r="D7" s="228"/>
      <c r="E7" s="97">
        <v>4.3200000000000002E-2</v>
      </c>
    </row>
    <row r="8" spans="2:6" ht="13.6">
      <c r="B8" s="96" t="s">
        <v>205</v>
      </c>
      <c r="C8" s="228" t="s">
        <v>206</v>
      </c>
      <c r="D8" s="228"/>
      <c r="E8" s="97">
        <v>0.5</v>
      </c>
    </row>
    <row r="9" spans="2:6" ht="14.3" thickBot="1">
      <c r="B9" s="98" t="s">
        <v>207</v>
      </c>
      <c r="C9" s="226" t="s">
        <v>208</v>
      </c>
      <c r="D9" s="226"/>
      <c r="E9" s="99">
        <v>0.5</v>
      </c>
    </row>
    <row r="10" spans="2:6" ht="14.3" thickBot="1">
      <c r="B10" s="100"/>
      <c r="C10" s="100"/>
      <c r="D10" s="100"/>
    </row>
    <row r="11" spans="2:6" ht="13.6">
      <c r="B11" s="93" t="s">
        <v>209</v>
      </c>
      <c r="C11" s="227" t="s">
        <v>210</v>
      </c>
      <c r="D11" s="227"/>
      <c r="E11" s="94">
        <v>1</v>
      </c>
    </row>
    <row r="12" spans="2:6" ht="14.3" thickBot="1">
      <c r="B12" s="98" t="s">
        <v>211</v>
      </c>
      <c r="C12" s="226" t="s">
        <v>212</v>
      </c>
      <c r="D12" s="226"/>
      <c r="E12" s="99">
        <v>1</v>
      </c>
    </row>
    <row r="13" spans="2:6" ht="13.6">
      <c r="B13" s="100"/>
      <c r="C13" s="100"/>
      <c r="D13" s="100"/>
    </row>
    <row r="14" spans="2:6" ht="13.6">
      <c r="B14" s="100"/>
      <c r="C14" s="100"/>
      <c r="D14" s="100"/>
    </row>
    <row r="15" spans="2:6" ht="13.6">
      <c r="B15" s="100"/>
      <c r="C15" s="100"/>
      <c r="D15" s="100"/>
    </row>
    <row r="16" spans="2:6" ht="13.6">
      <c r="B16" s="100"/>
      <c r="C16" s="100"/>
      <c r="D16" s="100"/>
    </row>
    <row r="17" spans="2:15" ht="13.6">
      <c r="B17" s="100"/>
      <c r="C17" s="100"/>
      <c r="D17" s="100"/>
    </row>
    <row r="18" spans="2:15" ht="13.6">
      <c r="B18" s="100"/>
      <c r="C18" s="100"/>
      <c r="D18" s="100"/>
    </row>
    <row r="19" spans="2:15" ht="13.6">
      <c r="B19" s="100"/>
      <c r="C19" s="100"/>
      <c r="D19" s="100"/>
    </row>
    <row r="20" spans="2:15" ht="13.6">
      <c r="B20" s="100"/>
      <c r="C20" s="100"/>
      <c r="D20" s="100"/>
    </row>
    <row r="21" spans="2:15" s="102" customFormat="1" ht="18.350000000000001">
      <c r="B21" s="101" t="s">
        <v>213</v>
      </c>
      <c r="C21" s="101"/>
      <c r="D21" s="101"/>
    </row>
    <row r="22" spans="2:15" ht="13.6">
      <c r="B22" s="100"/>
      <c r="C22" s="100"/>
      <c r="D22" s="100"/>
    </row>
    <row r="23" spans="2:15" ht="13.6">
      <c r="E23" s="103">
        <v>2017</v>
      </c>
      <c r="F23" s="103">
        <v>2018</v>
      </c>
      <c r="G23" s="103">
        <v>2019</v>
      </c>
      <c r="H23" s="103">
        <v>2020</v>
      </c>
      <c r="I23" s="103">
        <v>2021</v>
      </c>
      <c r="J23" s="103">
        <v>2022</v>
      </c>
    </row>
    <row r="24" spans="2:15" ht="13.6">
      <c r="B24" s="100" t="s">
        <v>214</v>
      </c>
      <c r="C24" s="100"/>
      <c r="D24" s="100"/>
      <c r="E24" s="92">
        <v>0</v>
      </c>
      <c r="F24" s="92">
        <v>1</v>
      </c>
      <c r="G24" s="92">
        <v>2</v>
      </c>
      <c r="H24" s="92">
        <v>3</v>
      </c>
      <c r="I24" s="92">
        <v>4</v>
      </c>
      <c r="J24" s="92">
        <v>5</v>
      </c>
      <c r="K24" s="104"/>
      <c r="L24" s="104"/>
      <c r="M24" s="104"/>
      <c r="N24" s="104"/>
      <c r="O24" s="104"/>
    </row>
    <row r="25" spans="2:15" ht="12.9">
      <c r="B25" s="105"/>
      <c r="C25" s="105"/>
      <c r="D25" s="105"/>
      <c r="E25" s="104"/>
      <c r="F25" s="104"/>
      <c r="G25" s="104"/>
      <c r="H25" s="104"/>
      <c r="I25" s="104"/>
      <c r="J25" s="104"/>
      <c r="K25" s="104"/>
      <c r="L25" s="104"/>
      <c r="M25" s="104"/>
      <c r="N25" s="104"/>
      <c r="O25" s="104"/>
    </row>
    <row r="26" spans="2:15" ht="12.9">
      <c r="B26" s="105"/>
      <c r="C26" s="105"/>
      <c r="D26" s="105"/>
      <c r="E26" s="104"/>
      <c r="F26" s="104"/>
      <c r="G26" s="104"/>
      <c r="H26" s="104"/>
      <c r="I26" s="104"/>
      <c r="J26" s="104"/>
      <c r="K26" s="104"/>
      <c r="L26" s="104"/>
      <c r="M26" s="104"/>
      <c r="N26" s="104"/>
      <c r="O26" s="104"/>
    </row>
    <row r="27" spans="2:15" ht="12.9">
      <c r="B27" s="105" t="s">
        <v>215</v>
      </c>
      <c r="C27" s="105"/>
      <c r="D27" s="106" t="s">
        <v>216</v>
      </c>
      <c r="E27" s="107">
        <f>+'DAV Inputs'!P43</f>
        <v>15192.739019952158</v>
      </c>
      <c r="F27" s="107">
        <f>+'DAV Inputs'!Q43</f>
        <v>16333.768806529022</v>
      </c>
      <c r="G27" s="107">
        <f>+'DAV Inputs'!R43</f>
        <v>16818.046086336235</v>
      </c>
      <c r="H27" s="107">
        <f>+'DAV Inputs'!S43</f>
        <v>18021.344775574154</v>
      </c>
      <c r="I27" s="107">
        <f>+'DAV Inputs'!T43</f>
        <v>19259.429829270885</v>
      </c>
      <c r="J27" s="107">
        <f>+'DAV Inputs'!U43</f>
        <v>18599.583604604133</v>
      </c>
      <c r="K27" s="104"/>
      <c r="L27" s="104"/>
      <c r="M27" s="104"/>
      <c r="N27" s="104"/>
      <c r="O27" s="104"/>
    </row>
    <row r="28" spans="2:15" ht="12.9">
      <c r="B28" s="105" t="s">
        <v>217</v>
      </c>
      <c r="C28" s="105"/>
      <c r="D28" s="106"/>
      <c r="E28" s="108">
        <v>1</v>
      </c>
      <c r="F28" s="108">
        <v>1</v>
      </c>
      <c r="G28" s="108">
        <v>1</v>
      </c>
      <c r="H28" s="108">
        <v>1</v>
      </c>
      <c r="I28" s="108">
        <v>1</v>
      </c>
      <c r="J28" s="108">
        <v>1</v>
      </c>
    </row>
    <row r="29" spans="2:15" ht="12.9">
      <c r="B29" s="105" t="s">
        <v>218</v>
      </c>
      <c r="C29" s="105"/>
      <c r="D29" s="106" t="s">
        <v>216</v>
      </c>
      <c r="E29" s="109">
        <f t="shared" ref="E29:H29" si="0">E27*E28</f>
        <v>15192.739019952158</v>
      </c>
      <c r="F29" s="109">
        <f t="shared" si="0"/>
        <v>16333.768806529022</v>
      </c>
      <c r="G29" s="109">
        <f t="shared" si="0"/>
        <v>16818.046086336235</v>
      </c>
      <c r="H29" s="109">
        <f t="shared" si="0"/>
        <v>18021.344775574154</v>
      </c>
      <c r="I29" s="109">
        <f t="shared" ref="I29:J29" si="1">I27*I28</f>
        <v>19259.429829270885</v>
      </c>
      <c r="J29" s="109">
        <f t="shared" si="1"/>
        <v>18599.583604604133</v>
      </c>
    </row>
    <row r="30" spans="2:15" ht="12.9">
      <c r="B30" s="105" t="s">
        <v>219</v>
      </c>
      <c r="C30" s="105"/>
      <c r="D30" s="106" t="s">
        <v>216</v>
      </c>
      <c r="E30" s="110">
        <f>+'DAV Inputs'!P51</f>
        <v>12250.460939743103</v>
      </c>
      <c r="F30" s="110">
        <f>+'DAV Inputs'!Q51</f>
        <v>14797.29578691918</v>
      </c>
      <c r="G30" s="110">
        <f>+'DAV Inputs'!R51</f>
        <v>14839.940155368362</v>
      </c>
      <c r="H30" s="110">
        <f>+'DAV Inputs'!S51</f>
        <v>15726.61977482088</v>
      </c>
      <c r="I30" s="110">
        <f>+'DAV Inputs'!T51</f>
        <v>19356.859095632848</v>
      </c>
      <c r="J30" s="110">
        <f>+'DAV Inputs'!U51</f>
        <v>21909.235922645854</v>
      </c>
    </row>
    <row r="31" spans="2:15" ht="13.6">
      <c r="B31" s="100" t="s">
        <v>220</v>
      </c>
      <c r="C31" s="100"/>
      <c r="D31" s="106" t="s">
        <v>216</v>
      </c>
      <c r="E31" s="168">
        <f>E29-E30</f>
        <v>2942.2780802090547</v>
      </c>
      <c r="F31" s="168">
        <f t="shared" ref="F31:H31" si="2">F29-F30</f>
        <v>1536.4730196098426</v>
      </c>
      <c r="G31" s="168">
        <f t="shared" si="2"/>
        <v>1978.1059309678731</v>
      </c>
      <c r="H31" s="168">
        <f t="shared" si="2"/>
        <v>2294.7250007532748</v>
      </c>
      <c r="I31" s="168">
        <f t="shared" ref="I31" si="3">I29-I30</f>
        <v>-97.429266361963528</v>
      </c>
      <c r="J31" s="168">
        <f t="shared" ref="J31" si="4">J29-J30</f>
        <v>-3309.6523180417207</v>
      </c>
      <c r="K31" s="111">
        <f>SUM(E31:J31)</f>
        <v>5344.5004471363609</v>
      </c>
    </row>
    <row r="32" spans="2:15" ht="12.9"/>
    <row r="33" spans="2:12" ht="12.9"/>
    <row r="34" spans="2:12" ht="12.9"/>
    <row r="35" spans="2:12" s="102" customFormat="1" ht="18.350000000000001">
      <c r="B35" s="101" t="s">
        <v>221</v>
      </c>
      <c r="C35" s="101"/>
      <c r="D35" s="101"/>
    </row>
    <row r="36" spans="2:12" ht="12.9"/>
    <row r="37" spans="2:12" ht="12.9">
      <c r="B37" s="105" t="s">
        <v>222</v>
      </c>
      <c r="C37" s="105"/>
      <c r="D37" s="105"/>
      <c r="E37" s="112">
        <f>E81</f>
        <v>0</v>
      </c>
      <c r="F37" s="112">
        <f t="shared" ref="F37:J37" si="5">F81</f>
        <v>0</v>
      </c>
      <c r="G37" s="112">
        <f t="shared" si="5"/>
        <v>70.578514412547051</v>
      </c>
      <c r="H37" s="112">
        <f t="shared" si="5"/>
        <v>160.82956509046994</v>
      </c>
      <c r="I37" s="112">
        <f t="shared" si="5"/>
        <v>-10.061111644234547</v>
      </c>
      <c r="J37" s="112">
        <f t="shared" si="5"/>
        <v>-447.66735528928234</v>
      </c>
    </row>
    <row r="38" spans="2:12" ht="12.9">
      <c r="B38" s="105" t="s">
        <v>223</v>
      </c>
      <c r="C38" s="105"/>
      <c r="D38" s="105"/>
      <c r="E38" s="112">
        <f>E110</f>
        <v>0</v>
      </c>
      <c r="F38" s="112">
        <f t="shared" ref="F38:J38" si="6">F110</f>
        <v>0</v>
      </c>
      <c r="G38" s="112">
        <f t="shared" si="6"/>
        <v>0</v>
      </c>
      <c r="H38" s="112">
        <f t="shared" si="6"/>
        <v>0</v>
      </c>
      <c r="I38" s="112">
        <f t="shared" si="6"/>
        <v>0</v>
      </c>
      <c r="J38" s="112">
        <f t="shared" si="6"/>
        <v>0</v>
      </c>
    </row>
    <row r="39" spans="2:12" ht="12.9">
      <c r="B39" s="105" t="s">
        <v>224</v>
      </c>
      <c r="C39" s="105"/>
      <c r="D39" s="105"/>
      <c r="J39" s="112">
        <f>E161</f>
        <v>46.892999957202896</v>
      </c>
    </row>
    <row r="40" spans="2:12" ht="12.9">
      <c r="B40" s="105" t="s">
        <v>225</v>
      </c>
      <c r="C40" s="105"/>
      <c r="D40" s="105"/>
      <c r="J40" s="112">
        <f>E203</f>
        <v>63.553206532515581</v>
      </c>
    </row>
    <row r="41" spans="2:12" ht="12.9">
      <c r="B41" s="105" t="s">
        <v>226</v>
      </c>
      <c r="C41" s="105"/>
      <c r="D41" s="105"/>
      <c r="J41" s="112">
        <f>E236</f>
        <v>455.42898283963194</v>
      </c>
    </row>
    <row r="42" spans="2:12" ht="12.9">
      <c r="B42" s="105" t="s">
        <v>227</v>
      </c>
      <c r="C42" s="105"/>
      <c r="D42" s="105"/>
      <c r="J42" s="112">
        <f>E254</f>
        <v>391.15905369706104</v>
      </c>
    </row>
    <row r="43" spans="2:12" ht="12.9">
      <c r="B43" s="105"/>
      <c r="C43" s="105"/>
      <c r="D43" s="105"/>
    </row>
    <row r="44" spans="2:12" ht="13.6">
      <c r="B44" s="113" t="s">
        <v>228</v>
      </c>
      <c r="C44" s="113"/>
      <c r="D44" s="113"/>
      <c r="E44" s="113"/>
      <c r="F44" s="113"/>
      <c r="G44" s="113"/>
      <c r="H44" s="113"/>
      <c r="I44" s="113"/>
      <c r="J44" s="114">
        <f>E11*(SUM(E37:J37)-SUM(E38:J38)+J39-J40+($E$12*(J41+J42)))</f>
        <v>603.60744253088035</v>
      </c>
      <c r="K44" s="111">
        <f>J44</f>
        <v>603.60744253088035</v>
      </c>
      <c r="L44" s="115">
        <f>K44/K31</f>
        <v>0.11293991805245325</v>
      </c>
    </row>
    <row r="45" spans="2:12" ht="13.6">
      <c r="B45" s="100"/>
      <c r="C45" s="100"/>
      <c r="D45" s="100"/>
    </row>
    <row r="46" spans="2:12" s="102" customFormat="1" ht="18.350000000000001">
      <c r="B46" s="101" t="s">
        <v>229</v>
      </c>
      <c r="C46" s="101"/>
      <c r="D46" s="101"/>
    </row>
    <row r="47" spans="2:12" ht="12.9"/>
    <row r="48" spans="2:12" ht="12.9"/>
    <row r="49" spans="2:10" ht="12.9"/>
    <row r="50" spans="2:10" ht="12.9"/>
    <row r="51" spans="2:10" ht="12.9"/>
    <row r="52" spans="2:10" ht="12.9"/>
    <row r="53" spans="2:10" ht="12.9"/>
    <row r="54" spans="2:10" ht="12.9"/>
    <row r="55" spans="2:10" ht="12.9"/>
    <row r="56" spans="2:10" s="116" customFormat="1" ht="12.9"/>
    <row r="57" spans="2:10" ht="12.9"/>
    <row r="58" spans="2:10" ht="12.9"/>
    <row r="59" spans="2:10" ht="12.9"/>
    <row r="60" spans="2:10" ht="12.9"/>
    <row r="61" spans="2:10" ht="12.9"/>
    <row r="62" spans="2:10" ht="12.9"/>
    <row r="63" spans="2:10" ht="13.6">
      <c r="B63" s="117" t="s">
        <v>230</v>
      </c>
      <c r="C63" s="117"/>
      <c r="D63" s="117"/>
    </row>
    <row r="64" spans="2:10" ht="13.6">
      <c r="B64" s="100" t="s">
        <v>231</v>
      </c>
      <c r="C64" s="100"/>
      <c r="D64" s="100"/>
      <c r="E64" s="92">
        <f>$E$3+1</f>
        <v>6</v>
      </c>
      <c r="F64" s="92">
        <f t="shared" ref="F64:J64" si="7">$E$3+1</f>
        <v>6</v>
      </c>
      <c r="G64" s="92">
        <f t="shared" si="7"/>
        <v>6</v>
      </c>
      <c r="H64" s="92">
        <f>$E$3+1</f>
        <v>6</v>
      </c>
      <c r="I64" s="92">
        <f t="shared" si="7"/>
        <v>6</v>
      </c>
      <c r="J64" s="92">
        <f t="shared" si="7"/>
        <v>6</v>
      </c>
    </row>
    <row r="65" spans="1:15" ht="13.6">
      <c r="A65" s="118" t="s">
        <v>232</v>
      </c>
      <c r="B65" s="100" t="s">
        <v>233</v>
      </c>
      <c r="C65" s="100"/>
      <c r="D65" s="100"/>
      <c r="E65" s="92">
        <f t="shared" ref="E65:J65" si="8">E24+$E$4-1</f>
        <v>4</v>
      </c>
      <c r="F65" s="92">
        <f t="shared" si="8"/>
        <v>5</v>
      </c>
      <c r="G65" s="92">
        <f t="shared" si="8"/>
        <v>6</v>
      </c>
      <c r="H65" s="92">
        <f t="shared" si="8"/>
        <v>7</v>
      </c>
      <c r="I65" s="92">
        <f t="shared" si="8"/>
        <v>8</v>
      </c>
      <c r="J65" s="92">
        <f t="shared" si="8"/>
        <v>9</v>
      </c>
    </row>
    <row r="66" spans="1:15" ht="13.6">
      <c r="A66" s="118"/>
      <c r="B66" s="100"/>
      <c r="C66" s="100"/>
      <c r="D66" s="100"/>
      <c r="E66" s="119">
        <f>E65-E64</f>
        <v>-2</v>
      </c>
      <c r="F66" s="119">
        <f t="shared" ref="F66:J66" si="9">F65-F64</f>
        <v>-1</v>
      </c>
      <c r="G66" s="119">
        <f t="shared" si="9"/>
        <v>0</v>
      </c>
      <c r="H66" s="119">
        <f t="shared" si="9"/>
        <v>1</v>
      </c>
      <c r="I66" s="119">
        <f t="shared" si="9"/>
        <v>2</v>
      </c>
      <c r="J66" s="119">
        <f t="shared" si="9"/>
        <v>3</v>
      </c>
    </row>
    <row r="67" spans="1:15" ht="13.6">
      <c r="B67" s="117" t="s">
        <v>234</v>
      </c>
      <c r="C67" s="117"/>
      <c r="D67" s="117"/>
    </row>
    <row r="68" spans="1:15" ht="13.6">
      <c r="B68" s="100" t="s">
        <v>235</v>
      </c>
      <c r="C68" s="100"/>
      <c r="D68" s="100"/>
      <c r="E68" s="92">
        <f>IF(E66&lt;0, 0, E64-$E$3)</f>
        <v>0</v>
      </c>
      <c r="F68" s="92">
        <f t="shared" ref="F68:J68" si="10">IF(F66&lt;0, 0, F64-$E$3)</f>
        <v>0</v>
      </c>
      <c r="G68" s="92">
        <f>IF(G66&lt;0, 0, G64-$E$3)</f>
        <v>1</v>
      </c>
      <c r="H68" s="92">
        <f t="shared" si="10"/>
        <v>1</v>
      </c>
      <c r="I68" s="92">
        <f t="shared" si="10"/>
        <v>1</v>
      </c>
      <c r="J68" s="92">
        <f t="shared" si="10"/>
        <v>1</v>
      </c>
    </row>
    <row r="69" spans="1:15" ht="12.9">
      <c r="B69" s="119"/>
      <c r="C69" s="119"/>
      <c r="D69" s="119"/>
      <c r="E69" s="92">
        <f>IF(OR(E68=0, E$66&lt;E68), 0, E68+1)</f>
        <v>0</v>
      </c>
      <c r="F69" s="92">
        <f t="shared" ref="F69:J72" si="11">IF(OR(F68=0, F$66&lt;F68), 0, F68+1)</f>
        <v>0</v>
      </c>
      <c r="G69" s="92">
        <f t="shared" si="11"/>
        <v>0</v>
      </c>
      <c r="H69" s="92">
        <f t="shared" si="11"/>
        <v>2</v>
      </c>
      <c r="I69" s="92">
        <f t="shared" si="11"/>
        <v>2</v>
      </c>
      <c r="J69" s="92">
        <f t="shared" si="11"/>
        <v>2</v>
      </c>
    </row>
    <row r="70" spans="1:15" ht="12.9">
      <c r="B70" s="119"/>
      <c r="C70" s="119"/>
      <c r="D70" s="119"/>
      <c r="E70" s="92">
        <f t="shared" ref="E70:E72" si="12">IF(OR(E69=0, E$66&lt;E69), 0, E69+1)</f>
        <v>0</v>
      </c>
      <c r="F70" s="92">
        <f t="shared" si="11"/>
        <v>0</v>
      </c>
      <c r="G70" s="92">
        <f t="shared" si="11"/>
        <v>0</v>
      </c>
      <c r="H70" s="92">
        <f t="shared" si="11"/>
        <v>0</v>
      </c>
      <c r="I70" s="92">
        <f t="shared" si="11"/>
        <v>3</v>
      </c>
      <c r="J70" s="92">
        <f t="shared" si="11"/>
        <v>3</v>
      </c>
    </row>
    <row r="71" spans="1:15" ht="12.9">
      <c r="B71" s="119"/>
      <c r="C71" s="119"/>
      <c r="D71" s="119"/>
      <c r="E71" s="92">
        <f t="shared" si="12"/>
        <v>0</v>
      </c>
      <c r="F71" s="92">
        <f t="shared" si="11"/>
        <v>0</v>
      </c>
      <c r="G71" s="92">
        <f t="shared" si="11"/>
        <v>0</v>
      </c>
      <c r="H71" s="92">
        <f t="shared" si="11"/>
        <v>0</v>
      </c>
      <c r="I71" s="92">
        <f t="shared" si="11"/>
        <v>0</v>
      </c>
      <c r="J71" s="92">
        <f t="shared" si="11"/>
        <v>4</v>
      </c>
    </row>
    <row r="72" spans="1:15" ht="12.9">
      <c r="B72" s="119"/>
      <c r="C72" s="119"/>
      <c r="D72" s="119"/>
      <c r="E72" s="92">
        <f t="shared" si="12"/>
        <v>0</v>
      </c>
      <c r="F72" s="92">
        <f t="shared" si="11"/>
        <v>0</v>
      </c>
      <c r="G72" s="92">
        <f t="shared" si="11"/>
        <v>0</v>
      </c>
      <c r="H72" s="92">
        <f t="shared" si="11"/>
        <v>0</v>
      </c>
      <c r="I72" s="92">
        <f t="shared" si="11"/>
        <v>0</v>
      </c>
      <c r="J72" s="92">
        <f t="shared" si="11"/>
        <v>0</v>
      </c>
    </row>
    <row r="73" spans="1:15" ht="12.9"/>
    <row r="74" spans="1:15" ht="13.6">
      <c r="B74" s="117" t="s">
        <v>236</v>
      </c>
      <c r="C74" s="117"/>
      <c r="D74" s="117"/>
    </row>
    <row r="75" spans="1:15" ht="12.9">
      <c r="E75" s="120">
        <f t="shared" ref="E75:J79" si="13">IF(E68&gt;0, $E$6/((1+$E$6)^E68), 0)</f>
        <v>0</v>
      </c>
      <c r="F75" s="120">
        <f t="shared" si="13"/>
        <v>0</v>
      </c>
      <c r="G75" s="120">
        <f t="shared" si="13"/>
        <v>3.5679845708775311E-2</v>
      </c>
      <c r="H75" s="120">
        <f t="shared" si="13"/>
        <v>3.5679845708775311E-2</v>
      </c>
      <c r="I75" s="120">
        <f t="shared" si="13"/>
        <v>3.5679845708775311E-2</v>
      </c>
      <c r="J75" s="120">
        <f t="shared" si="13"/>
        <v>3.5679845708775311E-2</v>
      </c>
    </row>
    <row r="76" spans="1:15" ht="12.9">
      <c r="B76" s="119"/>
      <c r="C76" s="119"/>
      <c r="D76" s="119"/>
      <c r="E76" s="120">
        <f t="shared" si="13"/>
        <v>0</v>
      </c>
      <c r="F76" s="120">
        <f t="shared" si="13"/>
        <v>0</v>
      </c>
      <c r="G76" s="120">
        <f t="shared" si="13"/>
        <v>0</v>
      </c>
      <c r="H76" s="120">
        <f t="shared" si="13"/>
        <v>3.4406794318973304E-2</v>
      </c>
      <c r="I76" s="120">
        <f t="shared" si="13"/>
        <v>3.4406794318973304E-2</v>
      </c>
      <c r="J76" s="120">
        <f t="shared" si="13"/>
        <v>3.4406794318973304E-2</v>
      </c>
    </row>
    <row r="77" spans="1:15" ht="12.9">
      <c r="B77" s="119"/>
      <c r="C77" s="119"/>
      <c r="D77" s="119"/>
      <c r="E77" s="120">
        <f t="shared" si="13"/>
        <v>0</v>
      </c>
      <c r="F77" s="120">
        <f t="shared" si="13"/>
        <v>0</v>
      </c>
      <c r="G77" s="120">
        <f t="shared" si="13"/>
        <v>0</v>
      </c>
      <c r="H77" s="120">
        <f t="shared" si="13"/>
        <v>0</v>
      </c>
      <c r="I77" s="120">
        <f t="shared" si="13"/>
        <v>3.3179165206338769E-2</v>
      </c>
      <c r="J77" s="120">
        <f t="shared" si="13"/>
        <v>3.3179165206338769E-2</v>
      </c>
    </row>
    <row r="78" spans="1:15" ht="12.9">
      <c r="B78" s="119"/>
      <c r="C78" s="119"/>
      <c r="D78" s="119"/>
      <c r="E78" s="120">
        <f t="shared" si="13"/>
        <v>0</v>
      </c>
      <c r="F78" s="120">
        <f t="shared" si="13"/>
        <v>0</v>
      </c>
      <c r="G78" s="120">
        <f t="shared" si="13"/>
        <v>0</v>
      </c>
      <c r="H78" s="120">
        <f t="shared" si="13"/>
        <v>0</v>
      </c>
      <c r="I78" s="120">
        <f t="shared" si="13"/>
        <v>0</v>
      </c>
      <c r="J78" s="120">
        <f t="shared" si="13"/>
        <v>3.1995337711030643E-2</v>
      </c>
    </row>
    <row r="79" spans="1:15" ht="12.9">
      <c r="B79" s="119"/>
      <c r="C79" s="119"/>
      <c r="D79" s="119"/>
      <c r="E79" s="120">
        <f t="shared" si="13"/>
        <v>0</v>
      </c>
      <c r="F79" s="120">
        <f t="shared" si="13"/>
        <v>0</v>
      </c>
      <c r="G79" s="120">
        <f t="shared" si="13"/>
        <v>0</v>
      </c>
      <c r="H79" s="120">
        <f t="shared" si="13"/>
        <v>0</v>
      </c>
      <c r="I79" s="120">
        <f t="shared" si="13"/>
        <v>0</v>
      </c>
      <c r="J79" s="120">
        <f t="shared" si="13"/>
        <v>0</v>
      </c>
      <c r="N79" s="112"/>
      <c r="O79" s="112"/>
    </row>
    <row r="80" spans="1:15" ht="12.9"/>
    <row r="81" spans="1:10" ht="13.6">
      <c r="B81" s="117" t="s">
        <v>222</v>
      </c>
      <c r="C81" s="117"/>
      <c r="D81" s="117"/>
      <c r="E81" s="112">
        <f t="shared" ref="E81:J81" si="14">E$31*SUM(E$75:E$79)</f>
        <v>0</v>
      </c>
      <c r="F81" s="112">
        <f t="shared" si="14"/>
        <v>0</v>
      </c>
      <c r="G81" s="112">
        <f t="shared" si="14"/>
        <v>70.578514412547051</v>
      </c>
      <c r="H81" s="112">
        <f t="shared" si="14"/>
        <v>160.82956509046994</v>
      </c>
      <c r="I81" s="112">
        <f t="shared" si="14"/>
        <v>-10.061111644234547</v>
      </c>
      <c r="J81" s="112">
        <f t="shared" si="14"/>
        <v>-447.66735528928234</v>
      </c>
    </row>
    <row r="82" spans="1:10" ht="12.9"/>
    <row r="83" spans="1:10" s="116" customFormat="1" ht="12.9"/>
    <row r="84" spans="1:10" ht="12.9"/>
    <row r="85" spans="1:10" ht="12.9"/>
    <row r="86" spans="1:10" ht="12.9"/>
    <row r="87" spans="1:10" ht="12.9"/>
    <row r="88" spans="1:10" ht="12.9"/>
    <row r="89" spans="1:10" ht="12.9"/>
    <row r="90" spans="1:10" ht="13.6">
      <c r="B90" s="117" t="s">
        <v>230</v>
      </c>
      <c r="C90" s="117"/>
      <c r="D90" s="117"/>
    </row>
    <row r="91" spans="1:10" ht="13.6">
      <c r="A91" s="104"/>
      <c r="B91" s="100" t="s">
        <v>237</v>
      </c>
      <c r="C91" s="100"/>
      <c r="D91" s="100"/>
      <c r="E91" s="92">
        <f t="shared" ref="E91:J91" si="15">E24+$E$4+1</f>
        <v>6</v>
      </c>
      <c r="F91" s="92">
        <f t="shared" si="15"/>
        <v>7</v>
      </c>
      <c r="G91" s="92">
        <f t="shared" si="15"/>
        <v>8</v>
      </c>
      <c r="H91" s="92">
        <f t="shared" si="15"/>
        <v>9</v>
      </c>
      <c r="I91" s="92">
        <f t="shared" si="15"/>
        <v>10</v>
      </c>
      <c r="J91" s="92">
        <f t="shared" si="15"/>
        <v>11</v>
      </c>
    </row>
    <row r="92" spans="1:10" ht="13.6">
      <c r="A92" s="118" t="s">
        <v>232</v>
      </c>
      <c r="B92" s="100" t="s">
        <v>238</v>
      </c>
      <c r="C92" s="100"/>
      <c r="D92" s="100"/>
      <c r="E92" s="92">
        <f>$E$3</f>
        <v>5</v>
      </c>
      <c r="F92" s="92">
        <f t="shared" ref="F92:J92" si="16">$E$3</f>
        <v>5</v>
      </c>
      <c r="G92" s="92">
        <f t="shared" si="16"/>
        <v>5</v>
      </c>
      <c r="H92" s="92">
        <f t="shared" si="16"/>
        <v>5</v>
      </c>
      <c r="I92" s="92">
        <f t="shared" si="16"/>
        <v>5</v>
      </c>
      <c r="J92" s="92">
        <f t="shared" si="16"/>
        <v>5</v>
      </c>
    </row>
    <row r="93" spans="1:10" ht="12.9">
      <c r="E93" s="119">
        <f>E92-E91</f>
        <v>-1</v>
      </c>
      <c r="F93" s="119">
        <f t="shared" ref="F93:J93" si="17">F92-F91</f>
        <v>-2</v>
      </c>
      <c r="G93" s="119">
        <f t="shared" si="17"/>
        <v>-3</v>
      </c>
      <c r="H93" s="119">
        <f t="shared" si="17"/>
        <v>-4</v>
      </c>
      <c r="I93" s="119">
        <f t="shared" si="17"/>
        <v>-5</v>
      </c>
      <c r="J93" s="119">
        <f t="shared" si="17"/>
        <v>-6</v>
      </c>
    </row>
    <row r="94" spans="1:10" ht="13.6">
      <c r="B94" s="117" t="s">
        <v>234</v>
      </c>
      <c r="C94" s="117"/>
      <c r="D94" s="117"/>
    </row>
    <row r="95" spans="1:10" ht="13.6">
      <c r="B95" s="100" t="s">
        <v>239</v>
      </c>
      <c r="C95" s="100"/>
      <c r="D95" s="100"/>
      <c r="E95" s="121" t="str">
        <f>IF(E93&lt;0, "", $E$3-E91)</f>
        <v/>
      </c>
      <c r="F95" s="121" t="str">
        <f t="shared" ref="F95:J95" si="18">IF(F93&lt;0, "", $E$3-F91)</f>
        <v/>
      </c>
      <c r="G95" s="121" t="str">
        <f t="shared" si="18"/>
        <v/>
      </c>
      <c r="H95" s="121" t="str">
        <f t="shared" si="18"/>
        <v/>
      </c>
      <c r="I95" s="121" t="str">
        <f t="shared" si="18"/>
        <v/>
      </c>
      <c r="J95" s="121" t="str">
        <f t="shared" si="18"/>
        <v/>
      </c>
    </row>
    <row r="96" spans="1:10" ht="12.9">
      <c r="B96" s="119"/>
      <c r="C96" s="119"/>
      <c r="D96" s="119"/>
      <c r="E96" s="121" t="str">
        <f t="shared" ref="E96:J100" si="19">IF(OR(E$93&lt;0,E95=0, E95=""), "", E95-1)</f>
        <v/>
      </c>
      <c r="F96" s="121" t="str">
        <f t="shared" si="19"/>
        <v/>
      </c>
      <c r="G96" s="121" t="str">
        <f t="shared" si="19"/>
        <v/>
      </c>
      <c r="H96" s="121" t="str">
        <f t="shared" si="19"/>
        <v/>
      </c>
      <c r="I96" s="121" t="str">
        <f t="shared" si="19"/>
        <v/>
      </c>
      <c r="J96" s="121" t="str">
        <f t="shared" si="19"/>
        <v/>
      </c>
    </row>
    <row r="97" spans="2:10" ht="12.9">
      <c r="B97" s="119"/>
      <c r="C97" s="119"/>
      <c r="D97" s="119"/>
      <c r="E97" s="121" t="str">
        <f t="shared" si="19"/>
        <v/>
      </c>
      <c r="F97" s="121" t="str">
        <f t="shared" si="19"/>
        <v/>
      </c>
      <c r="G97" s="121" t="str">
        <f t="shared" si="19"/>
        <v/>
      </c>
      <c r="H97" s="121" t="str">
        <f t="shared" si="19"/>
        <v/>
      </c>
      <c r="I97" s="121" t="str">
        <f t="shared" si="19"/>
        <v/>
      </c>
      <c r="J97" s="121" t="str">
        <f t="shared" si="19"/>
        <v/>
      </c>
    </row>
    <row r="98" spans="2:10" ht="12.9">
      <c r="B98" s="119"/>
      <c r="C98" s="119"/>
      <c r="D98" s="119"/>
      <c r="E98" s="121" t="str">
        <f t="shared" si="19"/>
        <v/>
      </c>
      <c r="F98" s="121" t="str">
        <f t="shared" si="19"/>
        <v/>
      </c>
      <c r="G98" s="121" t="str">
        <f t="shared" si="19"/>
        <v/>
      </c>
      <c r="H98" s="121" t="str">
        <f t="shared" si="19"/>
        <v/>
      </c>
      <c r="I98" s="121" t="str">
        <f t="shared" si="19"/>
        <v/>
      </c>
      <c r="J98" s="121" t="str">
        <f t="shared" si="19"/>
        <v/>
      </c>
    </row>
    <row r="99" spans="2:10" ht="12.9">
      <c r="B99" s="119"/>
      <c r="C99" s="119"/>
      <c r="D99" s="119"/>
      <c r="E99" s="121" t="str">
        <f>IF(OR(E$93&lt;0,E98=0, E98=""), "", E98-1)</f>
        <v/>
      </c>
      <c r="F99" s="121" t="str">
        <f t="shared" si="19"/>
        <v/>
      </c>
      <c r="G99" s="121" t="str">
        <f t="shared" si="19"/>
        <v/>
      </c>
      <c r="H99" s="121" t="str">
        <f t="shared" si="19"/>
        <v/>
      </c>
      <c r="I99" s="121" t="str">
        <f t="shared" si="19"/>
        <v/>
      </c>
      <c r="J99" s="121" t="str">
        <f t="shared" si="19"/>
        <v/>
      </c>
    </row>
    <row r="100" spans="2:10" ht="12.9">
      <c r="B100" s="119"/>
      <c r="C100" s="119"/>
      <c r="D100" s="119"/>
      <c r="E100" s="121" t="str">
        <f>IF(OR(E$93&lt;0,E99=0, E99=""), "", E99-1)</f>
        <v/>
      </c>
      <c r="F100" s="121" t="str">
        <f t="shared" si="19"/>
        <v/>
      </c>
      <c r="G100" s="121" t="str">
        <f t="shared" si="19"/>
        <v/>
      </c>
      <c r="H100" s="121" t="str">
        <f t="shared" si="19"/>
        <v/>
      </c>
      <c r="I100" s="121" t="str">
        <f t="shared" si="19"/>
        <v/>
      </c>
      <c r="J100" s="121" t="str">
        <f t="shared" si="19"/>
        <v/>
      </c>
    </row>
    <row r="101" spans="2:10" ht="12.9">
      <c r="B101" s="119"/>
      <c r="C101" s="119"/>
      <c r="D101" s="119"/>
    </row>
    <row r="102" spans="2:10" ht="13.6">
      <c r="B102" s="117" t="s">
        <v>236</v>
      </c>
      <c r="C102" s="117"/>
      <c r="D102" s="117"/>
    </row>
    <row r="103" spans="2:10" ht="12.9">
      <c r="E103" s="120">
        <f>IFERROR($E$6*((1+$E$6)^E95), 0)</f>
        <v>0</v>
      </c>
      <c r="F103" s="120">
        <f t="shared" ref="F103:J103" si="20">IFERROR($E$6*((1+$E$6)^F95), 0)</f>
        <v>0</v>
      </c>
      <c r="G103" s="120">
        <f t="shared" si="20"/>
        <v>0</v>
      </c>
      <c r="H103" s="120">
        <f t="shared" si="20"/>
        <v>0</v>
      </c>
      <c r="I103" s="120">
        <f t="shared" si="20"/>
        <v>0</v>
      </c>
      <c r="J103" s="120">
        <f t="shared" si="20"/>
        <v>0</v>
      </c>
    </row>
    <row r="104" spans="2:10" ht="12.9">
      <c r="B104" s="119"/>
      <c r="C104" s="119"/>
      <c r="D104" s="119"/>
      <c r="E104" s="120">
        <f t="shared" ref="E104:J108" si="21">IFERROR($E$6*((1+$E$6)^E96), 0)</f>
        <v>0</v>
      </c>
      <c r="F104" s="120">
        <f t="shared" si="21"/>
        <v>0</v>
      </c>
      <c r="G104" s="120">
        <f t="shared" si="21"/>
        <v>0</v>
      </c>
      <c r="H104" s="120">
        <f t="shared" si="21"/>
        <v>0</v>
      </c>
      <c r="I104" s="120">
        <f t="shared" si="21"/>
        <v>0</v>
      </c>
      <c r="J104" s="120">
        <f t="shared" si="21"/>
        <v>0</v>
      </c>
    </row>
    <row r="105" spans="2:10" ht="12.9">
      <c r="B105" s="119"/>
      <c r="C105" s="119"/>
      <c r="D105" s="119"/>
      <c r="E105" s="120">
        <f t="shared" si="21"/>
        <v>0</v>
      </c>
      <c r="F105" s="120">
        <f t="shared" si="21"/>
        <v>0</v>
      </c>
      <c r="G105" s="120">
        <f t="shared" si="21"/>
        <v>0</v>
      </c>
      <c r="H105" s="120">
        <f t="shared" si="21"/>
        <v>0</v>
      </c>
      <c r="I105" s="120">
        <f t="shared" si="21"/>
        <v>0</v>
      </c>
      <c r="J105" s="120">
        <f t="shared" si="21"/>
        <v>0</v>
      </c>
    </row>
    <row r="106" spans="2:10" ht="12.9">
      <c r="B106" s="119"/>
      <c r="C106" s="119"/>
      <c r="D106" s="119"/>
      <c r="E106" s="120">
        <f t="shared" si="21"/>
        <v>0</v>
      </c>
      <c r="F106" s="120">
        <f t="shared" si="21"/>
        <v>0</v>
      </c>
      <c r="G106" s="120">
        <f t="shared" si="21"/>
        <v>0</v>
      </c>
      <c r="H106" s="120">
        <f t="shared" si="21"/>
        <v>0</v>
      </c>
      <c r="I106" s="120">
        <f t="shared" si="21"/>
        <v>0</v>
      </c>
      <c r="J106" s="120">
        <f t="shared" si="21"/>
        <v>0</v>
      </c>
    </row>
    <row r="107" spans="2:10" ht="12.9">
      <c r="B107" s="119"/>
      <c r="C107" s="119"/>
      <c r="D107" s="119"/>
      <c r="E107" s="120">
        <f t="shared" si="21"/>
        <v>0</v>
      </c>
      <c r="F107" s="120">
        <f t="shared" si="21"/>
        <v>0</v>
      </c>
      <c r="G107" s="120">
        <f t="shared" si="21"/>
        <v>0</v>
      </c>
      <c r="H107" s="120">
        <f t="shared" si="21"/>
        <v>0</v>
      </c>
      <c r="I107" s="120">
        <f t="shared" si="21"/>
        <v>0</v>
      </c>
      <c r="J107" s="120">
        <f t="shared" si="21"/>
        <v>0</v>
      </c>
    </row>
    <row r="108" spans="2:10" ht="12.9">
      <c r="B108" s="119"/>
      <c r="C108" s="119"/>
      <c r="D108" s="119"/>
      <c r="E108" s="120">
        <f t="shared" si="21"/>
        <v>0</v>
      </c>
      <c r="F108" s="120">
        <f t="shared" si="21"/>
        <v>0</v>
      </c>
      <c r="G108" s="120">
        <f t="shared" si="21"/>
        <v>0</v>
      </c>
      <c r="H108" s="120">
        <f t="shared" si="21"/>
        <v>0</v>
      </c>
      <c r="I108" s="120">
        <f t="shared" si="21"/>
        <v>0</v>
      </c>
      <c r="J108" s="120">
        <f t="shared" si="21"/>
        <v>0</v>
      </c>
    </row>
    <row r="109" spans="2:10" ht="12.9"/>
    <row r="110" spans="2:10" ht="13.6">
      <c r="B110" s="117" t="s">
        <v>223</v>
      </c>
      <c r="C110" s="117"/>
      <c r="D110" s="117"/>
      <c r="E110" s="92">
        <f t="shared" ref="E110:J110" si="22">E$31*SUM(E$103:E$108)</f>
        <v>0</v>
      </c>
      <c r="F110" s="122">
        <f t="shared" si="22"/>
        <v>0</v>
      </c>
      <c r="G110" s="92">
        <f t="shared" si="22"/>
        <v>0</v>
      </c>
      <c r="H110" s="92">
        <f t="shared" si="22"/>
        <v>0</v>
      </c>
      <c r="I110" s="92">
        <f t="shared" si="22"/>
        <v>0</v>
      </c>
      <c r="J110" s="92">
        <f t="shared" si="22"/>
        <v>0</v>
      </c>
    </row>
    <row r="111" spans="2:10" ht="12.9"/>
    <row r="112" spans="2:10" s="123" customFormat="1" ht="18.350000000000001">
      <c r="B112" s="101" t="s">
        <v>240</v>
      </c>
      <c r="C112" s="101"/>
      <c r="D112" s="101"/>
    </row>
    <row r="113" spans="2:4" ht="12.9"/>
    <row r="114" spans="2:4" ht="12.9"/>
    <row r="115" spans="2:4" ht="12.9"/>
    <row r="116" spans="2:4" ht="12.9"/>
    <row r="117" spans="2:4" ht="12.9"/>
    <row r="118" spans="2:4" ht="12.9"/>
    <row r="119" spans="2:4" ht="12.9"/>
    <row r="120" spans="2:4" ht="12.9"/>
    <row r="121" spans="2:4" ht="12.9"/>
    <row r="122" spans="2:4" s="116" customFormat="1" ht="12.9"/>
    <row r="123" spans="2:4" ht="12.9"/>
    <row r="124" spans="2:4" ht="12.9"/>
    <row r="125" spans="2:4" ht="12.9"/>
    <row r="126" spans="2:4" ht="12.9"/>
    <row r="127" spans="2:4" ht="12.9"/>
    <row r="128" spans="2:4" ht="13.6">
      <c r="B128" s="117" t="s">
        <v>230</v>
      </c>
      <c r="C128" s="117"/>
      <c r="D128" s="117"/>
    </row>
    <row r="129" spans="1:5" ht="13.6">
      <c r="A129" s="104"/>
      <c r="B129" s="100" t="s">
        <v>241</v>
      </c>
      <c r="C129" s="100"/>
      <c r="D129" s="100"/>
      <c r="E129" s="92">
        <f>E3-E4+1</f>
        <v>1</v>
      </c>
    </row>
    <row r="130" spans="1:5" ht="13.6">
      <c r="A130" s="118" t="s">
        <v>232</v>
      </c>
      <c r="B130" s="100" t="s">
        <v>242</v>
      </c>
      <c r="C130" s="100"/>
      <c r="D130" s="100"/>
      <c r="E130" s="92">
        <f>E3</f>
        <v>5</v>
      </c>
    </row>
    <row r="131" spans="1:5" ht="12.9">
      <c r="E131" s="119">
        <f>E130-E129</f>
        <v>4</v>
      </c>
    </row>
    <row r="132" spans="1:5" ht="12.9"/>
    <row r="133" spans="1:5" ht="13.6">
      <c r="B133" s="117" t="s">
        <v>214</v>
      </c>
      <c r="C133" s="117"/>
      <c r="D133" s="117"/>
      <c r="E133" s="121">
        <f>E129</f>
        <v>1</v>
      </c>
    </row>
    <row r="134" spans="1:5" ht="12.9">
      <c r="E134" s="121">
        <f>IF(E133&lt;$E$130, E133+1, "")</f>
        <v>2</v>
      </c>
    </row>
    <row r="135" spans="1:5" ht="12.9">
      <c r="E135" s="121">
        <f>IF(E134&lt;$E$130, E134+1, "")</f>
        <v>3</v>
      </c>
    </row>
    <row r="136" spans="1:5" ht="12.9">
      <c r="E136" s="121">
        <f>IF(E135&lt;$E$130, E135+1, "")</f>
        <v>4</v>
      </c>
    </row>
    <row r="137" spans="1:5" ht="12.9">
      <c r="E137" s="121">
        <f>IF(E136&lt;$E$130, E136+1, "")</f>
        <v>5</v>
      </c>
    </row>
    <row r="138" spans="1:5" ht="12.9">
      <c r="E138" s="121" t="str">
        <f>IF(E137&lt;$E$130, E137+1, "")</f>
        <v/>
      </c>
    </row>
    <row r="139" spans="1:5" ht="12.9"/>
    <row r="140" spans="1:5" ht="13.6">
      <c r="B140" s="117" t="s">
        <v>243</v>
      </c>
      <c r="C140" s="117"/>
      <c r="D140" s="117"/>
      <c r="E140" s="121">
        <f t="shared" ref="E140:E145" si="23">IFERROR(E133+$E$4-$E$3, "")</f>
        <v>1</v>
      </c>
    </row>
    <row r="141" spans="1:5" ht="13.6">
      <c r="B141" s="117"/>
      <c r="C141" s="117"/>
      <c r="D141" s="117"/>
      <c r="E141" s="121">
        <f t="shared" si="23"/>
        <v>2</v>
      </c>
    </row>
    <row r="142" spans="1:5" ht="12.9">
      <c r="E142" s="121">
        <f t="shared" si="23"/>
        <v>3</v>
      </c>
    </row>
    <row r="143" spans="1:5" ht="12.9">
      <c r="E143" s="121">
        <f t="shared" si="23"/>
        <v>4</v>
      </c>
    </row>
    <row r="144" spans="1:5" ht="12.9">
      <c r="E144" s="121">
        <f t="shared" si="23"/>
        <v>5</v>
      </c>
    </row>
    <row r="145" spans="2:5" ht="12.9">
      <c r="E145" s="121" t="str">
        <f t="shared" si="23"/>
        <v/>
      </c>
    </row>
    <row r="146" spans="2:5" ht="12.9"/>
    <row r="147" spans="2:5" ht="13.6">
      <c r="B147" s="117" t="s">
        <v>244</v>
      </c>
      <c r="C147" s="117"/>
      <c r="D147" s="117"/>
      <c r="E147" s="124">
        <f>IFERROR(($E$6*$E$8)/((1+$E$6)^E140), "")</f>
        <v>1.7839922854387655E-2</v>
      </c>
    </row>
    <row r="148" spans="2:5" ht="12.9">
      <c r="E148" s="131">
        <f t="shared" ref="E148:E152" si="24">IFERROR(($E$6*$E$8)/((1+$E$6)^E141), "")</f>
        <v>1.7203397159486652E-2</v>
      </c>
    </row>
    <row r="149" spans="2:5" ht="13.6">
      <c r="B149" s="117"/>
      <c r="C149" s="117"/>
      <c r="D149" s="117"/>
      <c r="E149" s="124">
        <f t="shared" si="24"/>
        <v>1.6589582603169385E-2</v>
      </c>
    </row>
    <row r="150" spans="2:5" ht="12.9">
      <c r="E150" s="124">
        <f t="shared" si="24"/>
        <v>1.5997668855515321E-2</v>
      </c>
    </row>
    <row r="151" spans="2:5" ht="12.9">
      <c r="E151" s="124">
        <f t="shared" si="24"/>
        <v>1.5426874499050454E-2</v>
      </c>
    </row>
    <row r="152" spans="2:5" ht="12.9">
      <c r="E152" s="124" t="str">
        <f t="shared" si="24"/>
        <v/>
      </c>
    </row>
    <row r="153" spans="2:5" ht="12.9"/>
    <row r="154" spans="2:5" ht="13.6">
      <c r="B154" s="117" t="s">
        <v>245</v>
      </c>
      <c r="C154" s="117"/>
      <c r="D154" s="117"/>
      <c r="E154" s="125">
        <f t="shared" ref="E154:E159" si="25">IFERROR(INDEX($E$31:$J$31, 1, MATCH($E133,$E$24:$J$24,0))*E147, "")</f>
        <v>27.410560137687643</v>
      </c>
    </row>
    <row r="155" spans="2:5" ht="12.9">
      <c r="E155" s="125">
        <f t="shared" si="25"/>
        <v>34.030141953976404</v>
      </c>
    </row>
    <row r="156" spans="2:5" ht="12.9">
      <c r="E156" s="125">
        <f>IFERROR(INDEX($E$31:$J$31, 1, MATCH($E135,$E$24:$J$24,0))*E149, "")</f>
        <v>38.068529951554382</v>
      </c>
    </row>
    <row r="157" spans="2:5" ht="12.9">
      <c r="E157" s="125">
        <f t="shared" si="25"/>
        <v>-1.5586411400944904</v>
      </c>
    </row>
    <row r="158" spans="2:5" ht="12.9">
      <c r="E158" s="125">
        <f t="shared" si="25"/>
        <v>-51.057590945921042</v>
      </c>
    </row>
    <row r="159" spans="2:5" ht="12.9">
      <c r="E159" s="125" t="str">
        <f t="shared" si="25"/>
        <v/>
      </c>
    </row>
    <row r="160" spans="2:5" ht="12.9"/>
    <row r="161" spans="1:5" ht="13.6">
      <c r="B161" s="117" t="s">
        <v>224</v>
      </c>
      <c r="C161" s="117"/>
      <c r="D161" s="117"/>
      <c r="E161" s="125">
        <f>SUM(E154:E159)</f>
        <v>46.892999957202896</v>
      </c>
    </row>
    <row r="162" spans="1:5" ht="12.9"/>
    <row r="163" spans="1:5" ht="12.9"/>
    <row r="164" spans="1:5" s="116" customFormat="1" ht="12.9"/>
    <row r="165" spans="1:5" ht="12.9"/>
    <row r="166" spans="1:5" ht="12.9"/>
    <row r="167" spans="1:5" ht="12.9"/>
    <row r="168" spans="1:5" ht="12.9">
      <c r="A168" s="104"/>
    </row>
    <row r="169" spans="1:5" ht="12.9"/>
    <row r="170" spans="1:5" ht="13.6">
      <c r="B170" s="117" t="s">
        <v>230</v>
      </c>
      <c r="C170" s="117"/>
      <c r="D170" s="117"/>
    </row>
    <row r="171" spans="1:5" ht="13.6">
      <c r="A171" s="104"/>
      <c r="B171" s="100" t="s">
        <v>246</v>
      </c>
      <c r="C171" s="100"/>
      <c r="D171" s="100"/>
      <c r="E171" s="92">
        <v>0</v>
      </c>
    </row>
    <row r="172" spans="1:5" ht="13.6">
      <c r="A172" s="118" t="s">
        <v>232</v>
      </c>
      <c r="B172" s="100" t="s">
        <v>247</v>
      </c>
      <c r="C172" s="100"/>
      <c r="D172" s="100"/>
      <c r="E172" s="92">
        <f>$E$3-$E$4</f>
        <v>0</v>
      </c>
    </row>
    <row r="173" spans="1:5" ht="12.9">
      <c r="E173" s="119">
        <f>E172-E171</f>
        <v>0</v>
      </c>
    </row>
    <row r="174" spans="1:5" ht="12.9"/>
    <row r="175" spans="1:5" ht="13.6">
      <c r="B175" s="117" t="s">
        <v>214</v>
      </c>
      <c r="C175" s="117"/>
      <c r="D175" s="117"/>
      <c r="E175" s="121">
        <f>E171</f>
        <v>0</v>
      </c>
    </row>
    <row r="176" spans="1:5" ht="12.9">
      <c r="E176" s="121" t="str">
        <f>IF($E$173&gt;E175,E175+1, "")</f>
        <v/>
      </c>
    </row>
    <row r="177" spans="2:5" ht="12.9">
      <c r="E177" s="121" t="str">
        <f t="shared" ref="E177:E180" si="26">IF($E$173&gt;E176,E176+1, "")</f>
        <v/>
      </c>
    </row>
    <row r="178" spans="2:5" ht="12.9">
      <c r="E178" s="121" t="str">
        <f t="shared" si="26"/>
        <v/>
      </c>
    </row>
    <row r="179" spans="2:5" ht="12.9">
      <c r="E179" s="121" t="str">
        <f t="shared" si="26"/>
        <v/>
      </c>
    </row>
    <row r="180" spans="2:5" ht="12.9">
      <c r="E180" s="121" t="str">
        <f t="shared" si="26"/>
        <v/>
      </c>
    </row>
    <row r="181" spans="2:5" ht="12.9"/>
    <row r="182" spans="2:5" ht="13.6">
      <c r="B182" s="117" t="s">
        <v>248</v>
      </c>
      <c r="C182" s="117"/>
      <c r="D182" s="117"/>
      <c r="E182" s="121">
        <f>IFERROR($E$3-(E175+$E$4), "")</f>
        <v>0</v>
      </c>
    </row>
    <row r="183" spans="2:5" ht="12.9">
      <c r="E183" s="121" t="str">
        <f t="shared" ref="E183:E187" si="27">IFERROR($E$3-(E176+$E$4), "")</f>
        <v/>
      </c>
    </row>
    <row r="184" spans="2:5" ht="12.9">
      <c r="E184" s="121" t="str">
        <f t="shared" si="27"/>
        <v/>
      </c>
    </row>
    <row r="185" spans="2:5" ht="12.9">
      <c r="E185" s="121" t="str">
        <f t="shared" si="27"/>
        <v/>
      </c>
    </row>
    <row r="186" spans="2:5" ht="12.9">
      <c r="E186" s="121" t="str">
        <f t="shared" si="27"/>
        <v/>
      </c>
    </row>
    <row r="187" spans="2:5" ht="12.9">
      <c r="E187" s="121" t="str">
        <f t="shared" si="27"/>
        <v/>
      </c>
    </row>
    <row r="188" spans="2:5" ht="12.9"/>
    <row r="189" spans="2:5" ht="13.6">
      <c r="B189" s="117" t="s">
        <v>244</v>
      </c>
      <c r="C189" s="117"/>
      <c r="D189" s="117"/>
      <c r="E189" s="124">
        <f>IFERROR($E$7*$E$9*((1+$E$7)^$E182), "")</f>
        <v>2.1600000000000001E-2</v>
      </c>
    </row>
    <row r="190" spans="2:5" ht="12.9">
      <c r="E190" s="124" t="str">
        <f t="shared" ref="E190:E194" si="28">IFERROR($E$7*$E$9*((1+$E$7)^$E183), "")</f>
        <v/>
      </c>
    </row>
    <row r="191" spans="2:5" ht="12.9">
      <c r="E191" s="124" t="str">
        <f t="shared" si="28"/>
        <v/>
      </c>
    </row>
    <row r="192" spans="2:5" ht="12.9">
      <c r="E192" s="121" t="str">
        <f t="shared" si="28"/>
        <v/>
      </c>
    </row>
    <row r="193" spans="2:5" ht="12.9">
      <c r="E193" s="121" t="str">
        <f t="shared" si="28"/>
        <v/>
      </c>
    </row>
    <row r="194" spans="2:5" ht="12.9">
      <c r="E194" s="121" t="str">
        <f t="shared" si="28"/>
        <v/>
      </c>
    </row>
    <row r="195" spans="2:5" ht="12.9"/>
    <row r="196" spans="2:5" ht="13.6">
      <c r="B196" s="117" t="s">
        <v>245</v>
      </c>
      <c r="C196" s="117"/>
      <c r="D196" s="117"/>
      <c r="E196" s="125">
        <f t="shared" ref="E196:E201" si="29">IFERROR(INDEX($E$31:$J$31, 1, MATCH($E175,$E$24:$J$24,0))*E189, "")</f>
        <v>63.553206532515581</v>
      </c>
    </row>
    <row r="197" spans="2:5" ht="12.9">
      <c r="E197" s="125" t="str">
        <f t="shared" si="29"/>
        <v/>
      </c>
    </row>
    <row r="198" spans="2:5" ht="12.9">
      <c r="E198" s="125" t="str">
        <f t="shared" si="29"/>
        <v/>
      </c>
    </row>
    <row r="199" spans="2:5" ht="12.9">
      <c r="E199" s="125" t="str">
        <f t="shared" si="29"/>
        <v/>
      </c>
    </row>
    <row r="200" spans="2:5" ht="12.9">
      <c r="E200" s="125" t="str">
        <f t="shared" si="29"/>
        <v/>
      </c>
    </row>
    <row r="201" spans="2:5" ht="12.9">
      <c r="E201" s="125" t="str">
        <f t="shared" si="29"/>
        <v/>
      </c>
    </row>
    <row r="202" spans="2:5" ht="12.9">
      <c r="E202" s="112"/>
    </row>
    <row r="203" spans="2:5" ht="13.6">
      <c r="B203" s="117" t="s">
        <v>225</v>
      </c>
      <c r="C203" s="117"/>
      <c r="D203" s="117"/>
      <c r="E203" s="125">
        <f>SUM(E196:E201)</f>
        <v>63.553206532515581</v>
      </c>
    </row>
    <row r="204" spans="2:5" ht="12.9"/>
    <row r="205" spans="2:5" s="123" customFormat="1" ht="18.350000000000001">
      <c r="B205" s="101" t="s">
        <v>249</v>
      </c>
      <c r="C205" s="101"/>
      <c r="D205" s="101"/>
    </row>
    <row r="206" spans="2:5" ht="12.9"/>
    <row r="207" spans="2:5" ht="12.9"/>
    <row r="208" spans="2:5" ht="12.9"/>
    <row r="209" spans="2:5" ht="12.9"/>
    <row r="210" spans="2:5" ht="12.9"/>
    <row r="211" spans="2:5" ht="12.9"/>
    <row r="212" spans="2:5" ht="12.9"/>
    <row r="213" spans="2:5" ht="12.9"/>
    <row r="214" spans="2:5" ht="12.9"/>
    <row r="215" spans="2:5" ht="12.9"/>
    <row r="216" spans="2:5" ht="12.9"/>
    <row r="217" spans="2:5" ht="12.9"/>
    <row r="218" spans="2:5" ht="13.6">
      <c r="B218" s="117" t="s">
        <v>250</v>
      </c>
      <c r="C218" s="117"/>
      <c r="D218" s="117"/>
      <c r="E218" s="129">
        <f>E4/E5</f>
        <v>0.15151515151515152</v>
      </c>
    </row>
    <row r="219" spans="2:5" ht="12.9"/>
    <row r="220" spans="2:5" s="116" customFormat="1" ht="15.65">
      <c r="B220" s="126" t="s">
        <v>226</v>
      </c>
      <c r="C220" s="126"/>
      <c r="D220" s="126"/>
    </row>
    <row r="221" spans="2:5" ht="12.9"/>
    <row r="222" spans="2:5" ht="13.6">
      <c r="B222" s="117" t="s">
        <v>251</v>
      </c>
      <c r="C222" s="117"/>
      <c r="D222" s="117"/>
      <c r="E222" s="127">
        <f t="shared" ref="E222:E227" si="30">IFERROR($E$218*(1+$E$7*$E$9)*((1+$E$7)^E182), "")</f>
        <v>0.15478787878787881</v>
      </c>
    </row>
    <row r="223" spans="2:5" ht="12.9">
      <c r="E223" s="125" t="str">
        <f t="shared" si="30"/>
        <v/>
      </c>
    </row>
    <row r="224" spans="2:5" ht="12.9">
      <c r="E224" s="125" t="str">
        <f t="shared" si="30"/>
        <v/>
      </c>
    </row>
    <row r="225" spans="2:5" ht="12.9">
      <c r="E225" s="125" t="str">
        <f t="shared" si="30"/>
        <v/>
      </c>
    </row>
    <row r="226" spans="2:5" ht="12.9">
      <c r="E226" s="125" t="str">
        <f t="shared" si="30"/>
        <v/>
      </c>
    </row>
    <row r="227" spans="2:5" ht="12.9">
      <c r="E227" s="125" t="str">
        <f t="shared" si="30"/>
        <v/>
      </c>
    </row>
    <row r="228" spans="2:5" ht="12.9"/>
    <row r="229" spans="2:5" ht="13.6">
      <c r="B229" s="117" t="s">
        <v>245</v>
      </c>
      <c r="C229" s="117"/>
      <c r="D229" s="117"/>
      <c r="E229" s="125">
        <f t="shared" ref="E229:E234" si="31">IFERROR(INDEX($E$31:$J$31, 1, MATCH($E175,$E$24:$J$24,0))*E222, "")</f>
        <v>455.42898283963194</v>
      </c>
    </row>
    <row r="230" spans="2:5" ht="12.9">
      <c r="E230" s="125" t="str">
        <f t="shared" si="31"/>
        <v/>
      </c>
    </row>
    <row r="231" spans="2:5" ht="12.9">
      <c r="E231" s="125" t="str">
        <f t="shared" si="31"/>
        <v/>
      </c>
    </row>
    <row r="232" spans="2:5" ht="12.9">
      <c r="E232" s="125" t="str">
        <f t="shared" si="31"/>
        <v/>
      </c>
    </row>
    <row r="233" spans="2:5" ht="12.9">
      <c r="E233" s="125" t="str">
        <f t="shared" si="31"/>
        <v/>
      </c>
    </row>
    <row r="234" spans="2:5" ht="12.9">
      <c r="E234" s="125" t="str">
        <f t="shared" si="31"/>
        <v/>
      </c>
    </row>
    <row r="235" spans="2:5" ht="12.9"/>
    <row r="236" spans="2:5" ht="13.6">
      <c r="B236" s="117" t="s">
        <v>226</v>
      </c>
      <c r="C236" s="117"/>
      <c r="D236" s="117"/>
      <c r="E236" s="125">
        <f>SUM(E229:E234)</f>
        <v>455.42898283963194</v>
      </c>
    </row>
    <row r="237" spans="2:5" ht="12.9"/>
    <row r="238" spans="2:5" s="116" customFormat="1" ht="15.65">
      <c r="B238" s="126" t="s">
        <v>227</v>
      </c>
      <c r="C238" s="126"/>
      <c r="D238" s="126"/>
    </row>
    <row r="239" spans="2:5" ht="12.9"/>
    <row r="240" spans="2:5" ht="13.6">
      <c r="B240" s="117" t="s">
        <v>251</v>
      </c>
      <c r="C240" s="117"/>
      <c r="D240" s="117"/>
      <c r="E240" s="125">
        <f t="shared" ref="E240:E245" si="32">IFERROR($E$218*((1+$E$6*$E$8)/((1+$E$6)^E140)), "")</f>
        <v>0.14881213290085035</v>
      </c>
    </row>
    <row r="241" spans="2:5" ht="12.9">
      <c r="E241" s="130">
        <f t="shared" si="32"/>
        <v>0.14350253895935428</v>
      </c>
    </row>
    <row r="242" spans="2:5" ht="12.9">
      <c r="E242" s="130">
        <f t="shared" si="32"/>
        <v>0.138382390510467</v>
      </c>
    </row>
    <row r="243" spans="2:5" ht="12.9">
      <c r="E243" s="125">
        <f t="shared" si="32"/>
        <v>0.13344492816824205</v>
      </c>
    </row>
    <row r="244" spans="2:5" ht="12.9">
      <c r="E244" s="125">
        <f t="shared" si="32"/>
        <v>0.12868363372058059</v>
      </c>
    </row>
    <row r="245" spans="2:5" ht="12.9">
      <c r="E245" s="125" t="str">
        <f t="shared" si="32"/>
        <v/>
      </c>
    </row>
    <row r="246" spans="2:5" ht="12.9"/>
    <row r="247" spans="2:5" ht="13.6">
      <c r="B247" s="117" t="s">
        <v>245</v>
      </c>
      <c r="C247" s="117"/>
      <c r="D247" s="117"/>
      <c r="E247" s="125">
        <f t="shared" ref="E247:E252" si="33">IFERROR(INDEX($E$31:$J$31, 1, MATCH($E133,$E$24:$J$24,0))*E240, "")</f>
        <v>228.64582719275074</v>
      </c>
    </row>
    <row r="248" spans="2:5" ht="12.9">
      <c r="E248" s="125">
        <f t="shared" si="33"/>
        <v>283.86322342444697</v>
      </c>
    </row>
    <row r="249" spans="2:5" ht="12.9">
      <c r="E249" s="125">
        <f>IFERROR(INDEX($E$31:$J$31, 1, MATCH($E135,$E$24:$J$24,0))*E242, "")</f>
        <v>317.54953116837135</v>
      </c>
    </row>
    <row r="250" spans="2:5" ht="12.9">
      <c r="E250" s="125">
        <f t="shared" si="33"/>
        <v>-13.001441451156744</v>
      </c>
    </row>
    <row r="251" spans="2:5" ht="12.9">
      <c r="E251" s="125">
        <f t="shared" si="33"/>
        <v>-425.8980866373513</v>
      </c>
    </row>
    <row r="252" spans="2:5" ht="12.9">
      <c r="E252" s="125" t="str">
        <f t="shared" si="33"/>
        <v/>
      </c>
    </row>
    <row r="253" spans="2:5" ht="12.9"/>
    <row r="254" spans="2:5" ht="13.6">
      <c r="B254" s="117" t="s">
        <v>227</v>
      </c>
      <c r="C254" s="117"/>
      <c r="D254" s="117"/>
      <c r="E254" s="125">
        <f>SUM(E247:E252)</f>
        <v>391.15905369706104</v>
      </c>
    </row>
  </sheetData>
  <mergeCells count="9">
    <mergeCell ref="C9:D9"/>
    <mergeCell ref="C11:D11"/>
    <mergeCell ref="C12:D12"/>
    <mergeCell ref="C3:D3"/>
    <mergeCell ref="C4:D4"/>
    <mergeCell ref="C5:D5"/>
    <mergeCell ref="C6:D6"/>
    <mergeCell ref="C7:D7"/>
    <mergeCell ref="C8:D8"/>
  </mergeCells>
  <pageMargins left="0.75" right="0.75" top="1" bottom="1" header="0.5" footer="0.5"/>
  <pageSetup paperSize="9" scale="43" orientation="portrait" r:id="rId1"/>
  <headerFooter alignWithMargins="0"/>
  <rowBreaks count="2" manualBreakCount="2">
    <brk id="111" max="14" man="1"/>
    <brk id="204"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55"/>
  <sheetViews>
    <sheetView zoomScaleNormal="100" zoomScaleSheetLayoutView="70" workbookViewId="0">
      <pane xSplit="3" ySplit="2" topLeftCell="D28" activePane="bottomRight" state="frozen"/>
      <selection pane="topRight" activeCell="D1" sqref="D1"/>
      <selection pane="bottomLeft" activeCell="A8" sqref="A8"/>
      <selection pane="bottomRight" activeCell="G44" sqref="G44"/>
    </sheetView>
  </sheetViews>
  <sheetFormatPr defaultColWidth="9.25" defaultRowHeight="14.95"/>
  <cols>
    <col min="1" max="1" width="32" style="35" bestFit="1" customWidth="1"/>
    <col min="2" max="2" width="2.75" style="33" bestFit="1" customWidth="1"/>
    <col min="3" max="3" width="2.5" style="33" bestFit="1" customWidth="1"/>
    <col min="4" max="4" width="4.375" style="33" bestFit="1" customWidth="1"/>
    <col min="5" max="11" width="5.25" style="33" bestFit="1" customWidth="1"/>
    <col min="12" max="14" width="6.125" style="33" bestFit="1" customWidth="1"/>
    <col min="15" max="44" width="6.125" style="41" bestFit="1" customWidth="1"/>
    <col min="45" max="16384" width="9.25" style="35"/>
  </cols>
  <sheetData>
    <row r="1" spans="1:49" s="28" customFormat="1">
      <c r="A1" s="61" t="s">
        <v>53</v>
      </c>
      <c r="B1" s="38"/>
      <c r="C1" s="39"/>
      <c r="D1" s="39">
        <v>2005</v>
      </c>
      <c r="E1" s="210">
        <f>Inputs!E1</f>
        <v>2006</v>
      </c>
      <c r="F1" s="210">
        <f>Inputs!F1</f>
        <v>2007</v>
      </c>
      <c r="G1" s="210">
        <f>Inputs!G1</f>
        <v>2008</v>
      </c>
      <c r="H1" s="210">
        <f>Inputs!H1</f>
        <v>2009</v>
      </c>
      <c r="I1" s="210">
        <f>Inputs!I1</f>
        <v>2010</v>
      </c>
      <c r="J1" s="210">
        <f>Inputs!J1</f>
        <v>2011</v>
      </c>
      <c r="K1" s="210">
        <f>Inputs!K1</f>
        <v>2012</v>
      </c>
      <c r="L1" s="210">
        <f>Inputs!L1</f>
        <v>2013</v>
      </c>
      <c r="M1" s="210">
        <f>Inputs!M1</f>
        <v>2014</v>
      </c>
      <c r="N1" s="210">
        <f>Inputs!N1</f>
        <v>2015</v>
      </c>
      <c r="O1" s="210">
        <f>Inputs!O1</f>
        <v>2016</v>
      </c>
      <c r="P1" s="210">
        <f>Inputs!P1</f>
        <v>2017</v>
      </c>
      <c r="Q1" s="210">
        <f>Inputs!Q1</f>
        <v>2018</v>
      </c>
      <c r="R1" s="210">
        <f>Inputs!R1</f>
        <v>2019</v>
      </c>
      <c r="S1" s="210">
        <f>Inputs!S1</f>
        <v>2020</v>
      </c>
      <c r="T1" s="210">
        <f>Inputs!T1</f>
        <v>2021</v>
      </c>
      <c r="U1" s="210">
        <f>Inputs!U1</f>
        <v>2022</v>
      </c>
      <c r="V1" s="210">
        <f>Inputs!V1</f>
        <v>2023</v>
      </c>
      <c r="W1" s="210">
        <f>Inputs!W1</f>
        <v>2024</v>
      </c>
      <c r="X1" s="210">
        <f>Inputs!X1</f>
        <v>2025</v>
      </c>
      <c r="Y1" s="210">
        <f>Inputs!Y1</f>
        <v>2026</v>
      </c>
      <c r="Z1" s="210">
        <f>Inputs!Z1</f>
        <v>2027</v>
      </c>
      <c r="AA1" s="210">
        <f>Inputs!AA1</f>
        <v>2028</v>
      </c>
      <c r="AB1" s="210">
        <f>Inputs!AB1</f>
        <v>2029</v>
      </c>
      <c r="AC1" s="210">
        <f>Inputs!AC1</f>
        <v>2030</v>
      </c>
      <c r="AD1" s="210">
        <f>Inputs!AD1</f>
        <v>2031</v>
      </c>
      <c r="AE1" s="210">
        <f>Inputs!AE1</f>
        <v>2032</v>
      </c>
      <c r="AF1" s="210">
        <f>Inputs!AF1</f>
        <v>2033</v>
      </c>
      <c r="AG1" s="210">
        <f>Inputs!AG1</f>
        <v>2034</v>
      </c>
      <c r="AH1" s="210">
        <f>Inputs!AH1</f>
        <v>2035</v>
      </c>
      <c r="AI1" s="210">
        <f>Inputs!AI1</f>
        <v>2036</v>
      </c>
      <c r="AJ1" s="210">
        <f>Inputs!AJ1</f>
        <v>2037</v>
      </c>
      <c r="AK1" s="210">
        <f>Inputs!AK1</f>
        <v>2038</v>
      </c>
      <c r="AL1" s="210">
        <f>Inputs!AL1</f>
        <v>2039</v>
      </c>
      <c r="AM1" s="210">
        <f>Inputs!AM1</f>
        <v>2040</v>
      </c>
      <c r="AN1" s="210">
        <f>Inputs!AN1</f>
        <v>2041</v>
      </c>
      <c r="AO1" s="210">
        <f>Inputs!AO1</f>
        <v>2042</v>
      </c>
      <c r="AP1" s="210">
        <f>Inputs!AP1</f>
        <v>2043</v>
      </c>
      <c r="AQ1" s="210">
        <f>Inputs!AQ1</f>
        <v>2044</v>
      </c>
      <c r="AR1" s="210">
        <f>Inputs!AR1</f>
        <v>2045</v>
      </c>
      <c r="AS1" s="40"/>
      <c r="AT1" s="40"/>
      <c r="AU1" s="40"/>
      <c r="AV1" s="40"/>
      <c r="AW1" s="40"/>
    </row>
    <row r="2" spans="1:49">
      <c r="A2" s="37"/>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49">
      <c r="A3" s="188" t="s">
        <v>285</v>
      </c>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9">
      <c r="A4" s="37"/>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row>
    <row r="5" spans="1:49">
      <c r="A5" s="27" t="s">
        <v>57</v>
      </c>
      <c r="C5" s="21"/>
      <c r="D5" s="21"/>
      <c r="E5" s="21">
        <f>D28</f>
        <v>2627.7539999999999</v>
      </c>
      <c r="F5" s="21">
        <f>E28</f>
        <v>14122.417595244809</v>
      </c>
      <c r="G5" s="21">
        <f t="shared" ref="G5:U5" si="0">F28</f>
        <v>28834.138056969015</v>
      </c>
      <c r="H5" s="21">
        <f t="shared" si="0"/>
        <v>42996.071402474765</v>
      </c>
      <c r="I5" s="21">
        <f t="shared" si="0"/>
        <v>54897.0869821858</v>
      </c>
      <c r="J5" s="21">
        <f t="shared" si="0"/>
        <v>65383.789902065859</v>
      </c>
      <c r="K5" s="21">
        <f t="shared" si="0"/>
        <v>77535.44288204686</v>
      </c>
      <c r="L5" s="21">
        <f t="shared" si="0"/>
        <v>91512.153402134543</v>
      </c>
      <c r="M5" s="21">
        <f t="shared" si="0"/>
        <v>100511.72570609284</v>
      </c>
      <c r="N5" s="21">
        <f t="shared" si="0"/>
        <v>109256.08586179114</v>
      </c>
      <c r="O5" s="21">
        <f t="shared" si="0"/>
        <v>118520.00621135575</v>
      </c>
      <c r="P5" s="21">
        <f t="shared" si="0"/>
        <v>126071.03163304125</v>
      </c>
      <c r="Q5" s="21">
        <f t="shared" si="0"/>
        <v>135073.0640657249</v>
      </c>
      <c r="R5" s="21">
        <f t="shared" si="0"/>
        <v>146501.50726363555</v>
      </c>
      <c r="S5" s="21">
        <f t="shared" si="0"/>
        <v>157501.19270059562</v>
      </c>
      <c r="T5" s="21">
        <f t="shared" si="0"/>
        <v>168993.72193628378</v>
      </c>
      <c r="U5" s="21">
        <f t="shared" si="0"/>
        <v>184038.47727192746</v>
      </c>
    </row>
    <row r="6" spans="1:49">
      <c r="A6" s="27" t="s">
        <v>56</v>
      </c>
      <c r="C6" s="22"/>
      <c r="D6" s="22"/>
      <c r="E6" s="22"/>
      <c r="F6" s="22"/>
      <c r="G6" s="22"/>
      <c r="H6" s="22"/>
      <c r="I6" s="22"/>
      <c r="J6" s="22"/>
      <c r="K6" s="22"/>
      <c r="L6" s="22"/>
      <c r="M6" s="22">
        <f>'DAV Inputs'!M54</f>
        <v>3855.2710135588914</v>
      </c>
      <c r="N6" s="22">
        <f>'DAV Inputs'!N54</f>
        <v>1409.4092158707663</v>
      </c>
      <c r="O6" s="22">
        <f>'DAV Inputs'!O54</f>
        <v>-638.30330575291919</v>
      </c>
      <c r="P6" s="22">
        <f>'DAV Inputs'!P54</f>
        <v>-3368.6785363643503</v>
      </c>
      <c r="Q6" s="22">
        <f>'DAV Inputs'!Q54</f>
        <v>-1759.1415704986139</v>
      </c>
      <c r="R6" s="22">
        <f>'DAV Inputs'!R54</f>
        <v>-2264.7767514323568</v>
      </c>
      <c r="S6" s="22">
        <f>'DAV Inputs'!S54</f>
        <v>-2627.2808504718123</v>
      </c>
      <c r="T6" s="22">
        <f>'DAV Inputs'!T54</f>
        <v>111.54889832300978</v>
      </c>
      <c r="U6" s="22">
        <f>'DAV Inputs'!U54</f>
        <v>3789.2933375704197</v>
      </c>
    </row>
    <row r="7" spans="1:49">
      <c r="A7" s="27" t="s">
        <v>56</v>
      </c>
      <c r="C7" s="22"/>
      <c r="D7" s="22"/>
      <c r="E7" s="22"/>
      <c r="F7" s="22"/>
      <c r="G7" s="22"/>
      <c r="H7" s="22"/>
      <c r="I7" s="22"/>
      <c r="J7" s="22"/>
      <c r="K7" s="22"/>
      <c r="L7" s="22"/>
      <c r="M7" s="22"/>
      <c r="N7" s="22"/>
      <c r="O7" s="22">
        <f>+'CRI GD14'!G44*'DAV Inputs'!B45/'DAV Inputs'!B27</f>
        <v>-1356.850621639567</v>
      </c>
      <c r="P7" s="22"/>
      <c r="Q7" s="22"/>
      <c r="R7" s="22"/>
      <c r="S7" s="22"/>
      <c r="T7" s="22"/>
      <c r="U7" s="22">
        <f>+'CRI GD17'!K44*'DAV Inputs'!B45/'DAV Inputs'!B27</f>
        <v>691.08336486641031</v>
      </c>
    </row>
    <row r="8" spans="1:49">
      <c r="A8" s="27" t="s">
        <v>17</v>
      </c>
      <c r="C8" s="22"/>
      <c r="D8" s="22"/>
      <c r="E8" s="208">
        <f>SUM(E5:E7)</f>
        <v>2627.7539999999999</v>
      </c>
      <c r="F8" s="208">
        <f t="shared" ref="F8:U8" si="1">SUM(F5:F7)</f>
        <v>14122.417595244809</v>
      </c>
      <c r="G8" s="208">
        <f t="shared" si="1"/>
        <v>28834.138056969015</v>
      </c>
      <c r="H8" s="208">
        <f t="shared" si="1"/>
        <v>42996.071402474765</v>
      </c>
      <c r="I8" s="208">
        <f t="shared" si="1"/>
        <v>54897.0869821858</v>
      </c>
      <c r="J8" s="208">
        <f t="shared" si="1"/>
        <v>65383.789902065859</v>
      </c>
      <c r="K8" s="208">
        <f t="shared" si="1"/>
        <v>77535.44288204686</v>
      </c>
      <c r="L8" s="208">
        <f t="shared" si="1"/>
        <v>91512.153402134543</v>
      </c>
      <c r="M8" s="208">
        <f t="shared" si="1"/>
        <v>104366.99671965172</v>
      </c>
      <c r="N8" s="208">
        <f t="shared" si="1"/>
        <v>110665.49507766191</v>
      </c>
      <c r="O8" s="208">
        <f t="shared" si="1"/>
        <v>116524.85228396326</v>
      </c>
      <c r="P8" s="208">
        <f t="shared" si="1"/>
        <v>122702.3530966769</v>
      </c>
      <c r="Q8" s="208">
        <f t="shared" si="1"/>
        <v>133313.92249522629</v>
      </c>
      <c r="R8" s="208">
        <f t="shared" si="1"/>
        <v>144236.73051220318</v>
      </c>
      <c r="S8" s="208">
        <f t="shared" si="1"/>
        <v>154873.91185012381</v>
      </c>
      <c r="T8" s="208">
        <f t="shared" si="1"/>
        <v>169105.27083460678</v>
      </c>
      <c r="U8" s="208">
        <f t="shared" si="1"/>
        <v>188518.85397436429</v>
      </c>
    </row>
    <row r="9" spans="1:49">
      <c r="A9" s="37"/>
      <c r="C9" s="22"/>
      <c r="D9" s="22"/>
      <c r="E9" s="22"/>
      <c r="F9" s="22"/>
      <c r="G9" s="22"/>
      <c r="H9" s="22"/>
      <c r="I9" s="22"/>
      <c r="J9" s="22"/>
      <c r="K9" s="22"/>
      <c r="L9" s="22"/>
      <c r="M9" s="22"/>
      <c r="N9" s="22"/>
      <c r="O9" s="44"/>
      <c r="P9" s="45"/>
      <c r="Q9" s="45"/>
      <c r="R9" s="45"/>
      <c r="S9" s="45"/>
      <c r="T9" s="45"/>
      <c r="U9" s="45"/>
    </row>
    <row r="10" spans="1:49">
      <c r="A10" s="29" t="s">
        <v>129</v>
      </c>
      <c r="B10" s="36"/>
      <c r="E10" s="33">
        <v>10935.721033239943</v>
      </c>
      <c r="F10" s="33">
        <v>14509.742448753132</v>
      </c>
      <c r="G10" s="33">
        <v>12614.327610671904</v>
      </c>
      <c r="H10" s="33">
        <v>12676.037465623031</v>
      </c>
      <c r="I10" s="33">
        <v>11562.195421637156</v>
      </c>
      <c r="J10" s="33">
        <v>13424.384951899361</v>
      </c>
      <c r="K10" s="33">
        <v>15360.720465620854</v>
      </c>
      <c r="L10" s="33">
        <v>10844.045983633243</v>
      </c>
      <c r="M10" s="33">
        <f>+'DAV Inputs'!M46</f>
        <v>7231.6027682982922</v>
      </c>
      <c r="N10" s="33">
        <f>+'DAV Inputs'!N46</f>
        <v>10790.025915707825</v>
      </c>
      <c r="O10" s="33">
        <f>+'DAV Inputs'!O46</f>
        <v>12816.593334427425</v>
      </c>
      <c r="P10" s="33">
        <f>+'DAV Inputs'!P46</f>
        <v>15278.070087669961</v>
      </c>
      <c r="Q10" s="33">
        <f>+'DAV Inputs'!Q46</f>
        <v>17047.302324190721</v>
      </c>
      <c r="R10" s="33">
        <f>+'DAV Inputs'!R46</f>
        <v>17326.032756900746</v>
      </c>
      <c r="S10" s="33">
        <f>+'DAV Inputs'!S46</f>
        <v>18746.976537124978</v>
      </c>
      <c r="T10" s="33">
        <f>+'DAV Inputs'!T46</f>
        <v>20211.328930585958</v>
      </c>
      <c r="U10" s="33">
        <f>+'DAV Inputs'!U46</f>
        <v>19468.044460120946</v>
      </c>
    </row>
    <row r="11" spans="1:49">
      <c r="A11" s="29" t="s">
        <v>130</v>
      </c>
      <c r="B11" s="36"/>
      <c r="E11" s="33">
        <v>555.34908626157392</v>
      </c>
      <c r="F11" s="33">
        <v>1038.7870804009583</v>
      </c>
      <c r="G11" s="33">
        <v>2201.8993491767847</v>
      </c>
      <c r="H11" s="33">
        <v>1126.6533649121159</v>
      </c>
      <c r="I11" s="33">
        <v>1209.9226780680633</v>
      </c>
      <c r="J11" s="33">
        <v>1570.1066158746826</v>
      </c>
      <c r="K11" s="33">
        <v>1706.043308373901</v>
      </c>
      <c r="L11" s="33">
        <v>1444.7424807921855</v>
      </c>
      <c r="M11" s="33">
        <f>+'DAV Inputs'!M47</f>
        <v>1239.9649129392319</v>
      </c>
      <c r="N11" s="33">
        <f>+'DAV Inputs'!N47</f>
        <v>1150.2207023807687</v>
      </c>
      <c r="O11" s="33">
        <f>+'DAV Inputs'!O47</f>
        <v>1219.7325891698536</v>
      </c>
      <c r="P11" s="33">
        <f>+'DAV Inputs'!P47</f>
        <v>1454.0146486488875</v>
      </c>
      <c r="Q11" s="33">
        <f>+'DAV Inputs'!Q47</f>
        <v>1508.4271207644231</v>
      </c>
      <c r="R11" s="33">
        <f>+'DAV Inputs'!R47</f>
        <v>1786.7070289204942</v>
      </c>
      <c r="S11" s="33">
        <f>+'DAV Inputs'!S47</f>
        <v>1744.3782871221335</v>
      </c>
      <c r="T11" s="33">
        <f>+'DAV Inputs'!T47</f>
        <v>1709.1083348227944</v>
      </c>
      <c r="U11" s="33">
        <f>+'DAV Inputs'!U47</f>
        <v>1697.7707545040564</v>
      </c>
    </row>
    <row r="12" spans="1:49">
      <c r="A12" s="29" t="s">
        <v>131</v>
      </c>
      <c r="B12" s="36"/>
      <c r="E12" s="33">
        <v>474.62952998965875</v>
      </c>
      <c r="F12" s="33">
        <v>82.778775077559459</v>
      </c>
      <c r="G12" s="33">
        <v>909.30713547052744</v>
      </c>
      <c r="H12" s="33">
        <v>67.420824946751651</v>
      </c>
      <c r="I12" s="33">
        <v>66.746616697284139</v>
      </c>
      <c r="J12" s="33">
        <v>-181.64912384922843</v>
      </c>
      <c r="K12" s="33">
        <v>65.418359025008186</v>
      </c>
      <c r="L12" s="33">
        <v>64.764175434758101</v>
      </c>
      <c r="M12" s="33">
        <f>+'DAV Inputs'!M48</f>
        <v>172.8730286268223</v>
      </c>
      <c r="N12" s="33">
        <f>+'DAV Inputs'!N48</f>
        <v>56.760197775030903</v>
      </c>
      <c r="O12" s="33">
        <f>+'DAV Inputs'!O48</f>
        <v>37.437577255871453</v>
      </c>
      <c r="P12" s="33">
        <f>+'DAV Inputs'!P48</f>
        <v>662.41450879044044</v>
      </c>
      <c r="Q12" s="33">
        <f>+'DAV Inputs'!Q48</f>
        <v>145.15976283257845</v>
      </c>
      <c r="R12" s="33">
        <f>+'DAV Inputs'!R48</f>
        <v>142.60907318325579</v>
      </c>
      <c r="S12" s="33">
        <f>+'DAV Inputs'!S48</f>
        <v>141.67702622470014</v>
      </c>
      <c r="T12" s="33">
        <f>+'DAV Inputs'!T48</f>
        <v>130.10524615100277</v>
      </c>
      <c r="U12" s="33">
        <f>+'DAV Inputs'!U48</f>
        <v>129.25492017762414</v>
      </c>
    </row>
    <row r="13" spans="1:49">
      <c r="A13" s="27"/>
      <c r="C13" s="22"/>
      <c r="D13" s="22"/>
      <c r="E13" s="208">
        <f t="shared" ref="E13:U13" si="2">SUM(E10:E12)</f>
        <v>11965.699649491176</v>
      </c>
      <c r="F13" s="208">
        <f t="shared" si="2"/>
        <v>15631.308304231648</v>
      </c>
      <c r="G13" s="208">
        <f t="shared" si="2"/>
        <v>15725.534095319217</v>
      </c>
      <c r="H13" s="208">
        <f t="shared" si="2"/>
        <v>13870.111655481898</v>
      </c>
      <c r="I13" s="208">
        <f t="shared" si="2"/>
        <v>12838.864716402504</v>
      </c>
      <c r="J13" s="208">
        <f t="shared" si="2"/>
        <v>14812.842443924814</v>
      </c>
      <c r="K13" s="208">
        <f t="shared" si="2"/>
        <v>17132.182133019764</v>
      </c>
      <c r="L13" s="208">
        <f t="shared" si="2"/>
        <v>12353.552639860187</v>
      </c>
      <c r="M13" s="208">
        <f t="shared" ref="M13:O13" si="3">SUM(M10:M12)</f>
        <v>8644.440709864346</v>
      </c>
      <c r="N13" s="208">
        <f t="shared" si="3"/>
        <v>11997.006815863624</v>
      </c>
      <c r="O13" s="208">
        <f t="shared" si="3"/>
        <v>14073.763500853149</v>
      </c>
      <c r="P13" s="208">
        <f t="shared" si="2"/>
        <v>17394.499245109288</v>
      </c>
      <c r="Q13" s="208">
        <f t="shared" si="2"/>
        <v>18700.889207787724</v>
      </c>
      <c r="R13" s="208">
        <f t="shared" si="2"/>
        <v>19255.348859004494</v>
      </c>
      <c r="S13" s="208">
        <f t="shared" si="2"/>
        <v>20633.031850471813</v>
      </c>
      <c r="T13" s="208">
        <f t="shared" si="2"/>
        <v>22050.542511559757</v>
      </c>
      <c r="U13" s="208">
        <f t="shared" si="2"/>
        <v>21295.070134802627</v>
      </c>
    </row>
    <row r="14" spans="1:49">
      <c r="A14" s="29"/>
      <c r="B14" s="36"/>
      <c r="P14" s="43"/>
      <c r="Q14" s="43"/>
      <c r="R14" s="43"/>
      <c r="S14" s="43"/>
      <c r="T14" s="43"/>
      <c r="U14" s="43"/>
    </row>
    <row r="15" spans="1:49">
      <c r="A15" s="29" t="s">
        <v>132</v>
      </c>
      <c r="B15" s="36"/>
      <c r="C15" s="36">
        <v>40</v>
      </c>
      <c r="D15" s="36"/>
      <c r="E15" s="43">
        <f t="shared" ref="E15:U15" si="4">E10/$C15</f>
        <v>273.39302583099857</v>
      </c>
      <c r="F15" s="43">
        <f t="shared" si="4"/>
        <v>362.74356121882829</v>
      </c>
      <c r="G15" s="43">
        <f t="shared" si="4"/>
        <v>315.35819026679758</v>
      </c>
      <c r="H15" s="43">
        <f t="shared" si="4"/>
        <v>316.90093664057576</v>
      </c>
      <c r="I15" s="43">
        <f t="shared" si="4"/>
        <v>289.05488554092892</v>
      </c>
      <c r="J15" s="43">
        <f t="shared" si="4"/>
        <v>335.60962379748401</v>
      </c>
      <c r="K15" s="43">
        <f t="shared" si="4"/>
        <v>384.01801164052137</v>
      </c>
      <c r="L15" s="43">
        <f t="shared" si="4"/>
        <v>271.10114959083108</v>
      </c>
      <c r="M15" s="43">
        <f t="shared" si="4"/>
        <v>180.79006920745729</v>
      </c>
      <c r="N15" s="43">
        <f t="shared" si="4"/>
        <v>269.75064789269561</v>
      </c>
      <c r="O15" s="43">
        <f t="shared" si="4"/>
        <v>320.41483336068563</v>
      </c>
      <c r="P15" s="43">
        <f t="shared" si="4"/>
        <v>381.95175219174905</v>
      </c>
      <c r="Q15" s="43">
        <f t="shared" si="4"/>
        <v>426.18255810476802</v>
      </c>
      <c r="R15" s="43">
        <f t="shared" si="4"/>
        <v>433.15081892251862</v>
      </c>
      <c r="S15" s="43">
        <f t="shared" si="4"/>
        <v>468.67441342812447</v>
      </c>
      <c r="T15" s="43">
        <f t="shared" si="4"/>
        <v>505.28322326464894</v>
      </c>
      <c r="U15" s="43">
        <f t="shared" si="4"/>
        <v>486.70111150302364</v>
      </c>
    </row>
    <row r="16" spans="1:49">
      <c r="A16" s="29" t="s">
        <v>133</v>
      </c>
      <c r="B16" s="36"/>
      <c r="C16" s="36">
        <v>15</v>
      </c>
      <c r="D16" s="36"/>
      <c r="E16" s="43">
        <f t="shared" ref="E16:U16" si="5">E11/$C16</f>
        <v>37.023272417438264</v>
      </c>
      <c r="F16" s="43">
        <f t="shared" si="5"/>
        <v>69.252472026730558</v>
      </c>
      <c r="G16" s="43">
        <f t="shared" si="5"/>
        <v>146.79328994511897</v>
      </c>
      <c r="H16" s="43">
        <f t="shared" si="5"/>
        <v>75.110224327474398</v>
      </c>
      <c r="I16" s="43">
        <f t="shared" si="5"/>
        <v>80.661511871204226</v>
      </c>
      <c r="J16" s="43">
        <f t="shared" si="5"/>
        <v>104.67377439164551</v>
      </c>
      <c r="K16" s="43">
        <f t="shared" si="5"/>
        <v>113.73622055826007</v>
      </c>
      <c r="L16" s="43">
        <f t="shared" si="5"/>
        <v>96.316165386145698</v>
      </c>
      <c r="M16" s="43">
        <f t="shared" si="5"/>
        <v>82.664327529282133</v>
      </c>
      <c r="N16" s="43">
        <f t="shared" si="5"/>
        <v>76.681380158717914</v>
      </c>
      <c r="O16" s="43">
        <f t="shared" si="5"/>
        <v>81.315505944656906</v>
      </c>
      <c r="P16" s="43">
        <f t="shared" si="5"/>
        <v>96.93430990992583</v>
      </c>
      <c r="Q16" s="43">
        <f t="shared" si="5"/>
        <v>100.56180805096155</v>
      </c>
      <c r="R16" s="43">
        <f t="shared" si="5"/>
        <v>119.11380192803294</v>
      </c>
      <c r="S16" s="43">
        <f t="shared" si="5"/>
        <v>116.29188580814224</v>
      </c>
      <c r="T16" s="43">
        <f t="shared" si="5"/>
        <v>113.94055565485296</v>
      </c>
      <c r="U16" s="43">
        <f t="shared" si="5"/>
        <v>113.18471696693709</v>
      </c>
    </row>
    <row r="17" spans="1:44">
      <c r="A17" s="29" t="s">
        <v>134</v>
      </c>
      <c r="B17" s="36"/>
      <c r="C17" s="36">
        <v>5</v>
      </c>
      <c r="D17" s="36"/>
      <c r="E17" s="43">
        <f>E12/$C17</f>
        <v>94.92590599793175</v>
      </c>
      <c r="F17" s="43">
        <f>F12/$C17</f>
        <v>16.555755015511892</v>
      </c>
      <c r="G17" s="43">
        <f>G12/$C17</f>
        <v>181.86142709410549</v>
      </c>
      <c r="H17" s="43">
        <f>H12/$C17</f>
        <v>13.484164989350329</v>
      </c>
      <c r="I17" s="43">
        <f>I12/$C17</f>
        <v>13.349323339456827</v>
      </c>
      <c r="J17" s="43">
        <f t="shared" ref="J17:K17" si="6">J12/$C17</f>
        <v>-36.329824769845686</v>
      </c>
      <c r="K17" s="43">
        <f t="shared" si="6"/>
        <v>13.083671805001638</v>
      </c>
      <c r="L17" s="43">
        <f t="shared" ref="L17:U17" si="7">L12/$C17</f>
        <v>12.95283508695162</v>
      </c>
      <c r="M17" s="43">
        <f t="shared" si="7"/>
        <v>34.574605725364464</v>
      </c>
      <c r="N17" s="43">
        <f t="shared" si="7"/>
        <v>11.352039555006181</v>
      </c>
      <c r="O17" s="43">
        <f t="shared" si="7"/>
        <v>7.487515451174291</v>
      </c>
      <c r="P17" s="43">
        <f t="shared" si="7"/>
        <v>132.48290175808808</v>
      </c>
      <c r="Q17" s="43">
        <f t="shared" si="7"/>
        <v>29.031952566515692</v>
      </c>
      <c r="R17" s="43">
        <f t="shared" si="7"/>
        <v>28.521814636651158</v>
      </c>
      <c r="S17" s="43">
        <f t="shared" si="7"/>
        <v>28.335405244940027</v>
      </c>
      <c r="T17" s="43">
        <f t="shared" si="7"/>
        <v>26.021049230200553</v>
      </c>
      <c r="U17" s="43">
        <f t="shared" si="7"/>
        <v>25.850984035524828</v>
      </c>
    </row>
    <row r="18" spans="1:44">
      <c r="A18" s="29" t="s">
        <v>182</v>
      </c>
      <c r="B18" s="36"/>
      <c r="C18" s="36">
        <v>33</v>
      </c>
      <c r="D18" s="36"/>
      <c r="E18" s="43">
        <f t="shared" ref="E18:T18" si="8">(E6+E7)/$C$18</f>
        <v>0</v>
      </c>
      <c r="F18" s="43">
        <f t="shared" si="8"/>
        <v>0</v>
      </c>
      <c r="G18" s="43">
        <f t="shared" si="8"/>
        <v>0</v>
      </c>
      <c r="H18" s="43">
        <f t="shared" si="8"/>
        <v>0</v>
      </c>
      <c r="I18" s="43">
        <f t="shared" si="8"/>
        <v>0</v>
      </c>
      <c r="J18" s="43">
        <f t="shared" si="8"/>
        <v>0</v>
      </c>
      <c r="K18" s="43">
        <f t="shared" si="8"/>
        <v>0</v>
      </c>
      <c r="L18" s="43">
        <f t="shared" si="8"/>
        <v>0</v>
      </c>
      <c r="M18" s="43">
        <f t="shared" si="8"/>
        <v>116.82639435026944</v>
      </c>
      <c r="N18" s="43">
        <f t="shared" si="8"/>
        <v>42.709370177902009</v>
      </c>
      <c r="O18" s="43">
        <f t="shared" si="8"/>
        <v>-60.459209920984428</v>
      </c>
      <c r="P18" s="43">
        <f t="shared" si="8"/>
        <v>-102.08116776861668</v>
      </c>
      <c r="Q18" s="43">
        <f t="shared" si="8"/>
        <v>-53.307320318139816</v>
      </c>
      <c r="R18" s="43">
        <f t="shared" si="8"/>
        <v>-68.62959852825324</v>
      </c>
      <c r="S18" s="43">
        <f t="shared" si="8"/>
        <v>-79.614571226418548</v>
      </c>
      <c r="T18" s="43">
        <f t="shared" si="8"/>
        <v>3.3802696461518114</v>
      </c>
      <c r="U18" s="43">
        <f>(U6+U7)/$C$18</f>
        <v>135.76899098293424</v>
      </c>
    </row>
    <row r="19" spans="1:44">
      <c r="A19" s="27"/>
      <c r="C19" s="22"/>
      <c r="D19" s="22"/>
      <c r="E19" s="208">
        <f t="shared" ref="E19:U19" si="9">SUM(E15:E18)</f>
        <v>405.34220424636857</v>
      </c>
      <c r="F19" s="208">
        <f t="shared" si="9"/>
        <v>448.55178826107078</v>
      </c>
      <c r="G19" s="208">
        <f t="shared" si="9"/>
        <v>644.01290730602204</v>
      </c>
      <c r="H19" s="208">
        <f t="shared" si="9"/>
        <v>405.4953259574005</v>
      </c>
      <c r="I19" s="208">
        <f t="shared" si="9"/>
        <v>383.06572075158994</v>
      </c>
      <c r="J19" s="208">
        <f t="shared" si="9"/>
        <v>403.95357341928383</v>
      </c>
      <c r="K19" s="208">
        <f t="shared" si="9"/>
        <v>510.83790400378308</v>
      </c>
      <c r="L19" s="208">
        <f t="shared" si="9"/>
        <v>380.37015006392841</v>
      </c>
      <c r="M19" s="208">
        <f t="shared" si="9"/>
        <v>414.85539681237333</v>
      </c>
      <c r="N19" s="208">
        <f t="shared" si="9"/>
        <v>400.49343778432171</v>
      </c>
      <c r="O19" s="208">
        <f t="shared" si="9"/>
        <v>348.75864483553244</v>
      </c>
      <c r="P19" s="208">
        <f t="shared" si="9"/>
        <v>509.28779609114628</v>
      </c>
      <c r="Q19" s="208">
        <f t="shared" si="9"/>
        <v>502.46899840410543</v>
      </c>
      <c r="R19" s="208">
        <f t="shared" si="9"/>
        <v>512.15683695894938</v>
      </c>
      <c r="S19" s="208">
        <f t="shared" si="9"/>
        <v>533.68713325478814</v>
      </c>
      <c r="T19" s="208">
        <f t="shared" si="9"/>
        <v>648.62509779585423</v>
      </c>
      <c r="U19" s="208">
        <f t="shared" si="9"/>
        <v>761.50580348841982</v>
      </c>
    </row>
    <row r="20" spans="1:44">
      <c r="A20" s="37"/>
      <c r="O20" s="43"/>
      <c r="P20" s="42"/>
      <c r="Q20" s="42"/>
      <c r="R20" s="42"/>
      <c r="S20" s="42"/>
      <c r="T20" s="42"/>
      <c r="U20" s="42"/>
    </row>
    <row r="21" spans="1:44">
      <c r="A21" s="27" t="s">
        <v>138</v>
      </c>
      <c r="B21" s="36"/>
      <c r="C21" s="22">
        <v>40</v>
      </c>
      <c r="D21" s="22"/>
      <c r="E21" s="43">
        <f t="shared" ref="E21:U21" si="10">$E$5/$C$21</f>
        <v>65.693849999999998</v>
      </c>
      <c r="F21" s="43">
        <f t="shared" si="10"/>
        <v>65.693849999999998</v>
      </c>
      <c r="G21" s="43">
        <f t="shared" si="10"/>
        <v>65.693849999999998</v>
      </c>
      <c r="H21" s="43">
        <f t="shared" si="10"/>
        <v>65.693849999999998</v>
      </c>
      <c r="I21" s="43">
        <f t="shared" si="10"/>
        <v>65.693849999999998</v>
      </c>
      <c r="J21" s="43">
        <f t="shared" si="10"/>
        <v>65.693849999999998</v>
      </c>
      <c r="K21" s="43">
        <f t="shared" si="10"/>
        <v>65.693849999999998</v>
      </c>
      <c r="L21" s="43">
        <f t="shared" si="10"/>
        <v>65.693849999999998</v>
      </c>
      <c r="M21" s="43">
        <f t="shared" si="10"/>
        <v>65.693849999999998</v>
      </c>
      <c r="N21" s="43">
        <f t="shared" si="10"/>
        <v>65.693849999999998</v>
      </c>
      <c r="O21" s="43">
        <f t="shared" si="10"/>
        <v>65.693849999999998</v>
      </c>
      <c r="P21" s="43">
        <f t="shared" si="10"/>
        <v>65.693849999999998</v>
      </c>
      <c r="Q21" s="43">
        <f t="shared" si="10"/>
        <v>65.693849999999998</v>
      </c>
      <c r="R21" s="43">
        <f t="shared" si="10"/>
        <v>65.693849999999998</v>
      </c>
      <c r="S21" s="43">
        <f t="shared" si="10"/>
        <v>65.693849999999998</v>
      </c>
      <c r="T21" s="43">
        <f t="shared" si="10"/>
        <v>65.693849999999998</v>
      </c>
      <c r="U21" s="43">
        <f t="shared" si="10"/>
        <v>65.693849999999998</v>
      </c>
    </row>
    <row r="22" spans="1:44">
      <c r="A22" s="29" t="s">
        <v>135</v>
      </c>
      <c r="B22" s="22"/>
      <c r="C22" s="22"/>
      <c r="D22" s="22"/>
      <c r="E22" s="186">
        <f>E15</f>
        <v>273.39302583099857</v>
      </c>
      <c r="F22" s="186">
        <f>SUM($E$15:F$15)</f>
        <v>636.13658704982686</v>
      </c>
      <c r="G22" s="186">
        <f>SUM($E$15:G$15)</f>
        <v>951.49477731662444</v>
      </c>
      <c r="H22" s="186">
        <f>SUM($E$15:H$15)</f>
        <v>1268.3957139572003</v>
      </c>
      <c r="I22" s="186">
        <f>SUM($E$15:I$15)</f>
        <v>1557.4505994981291</v>
      </c>
      <c r="J22" s="186">
        <f>SUM($E$15:J$15)</f>
        <v>1893.060223295613</v>
      </c>
      <c r="K22" s="186">
        <f>SUM($E$15:K$15)</f>
        <v>2277.0782349361343</v>
      </c>
      <c r="L22" s="186">
        <f>SUM($E$15:L$15)</f>
        <v>2548.1793845269654</v>
      </c>
      <c r="M22" s="186">
        <f>SUM($E$15:M$15)</f>
        <v>2728.9694537344226</v>
      </c>
      <c r="N22" s="186">
        <f>SUM($E$15:N$15)</f>
        <v>2998.7201016271183</v>
      </c>
      <c r="O22" s="186">
        <f>SUM($E$15:O$15)</f>
        <v>3319.1349349878037</v>
      </c>
      <c r="P22" s="186">
        <f>SUM($E$15:P$15)</f>
        <v>3701.0866871795529</v>
      </c>
      <c r="Q22" s="186">
        <f>SUM($E$15:Q$15)</f>
        <v>4127.2692452843212</v>
      </c>
      <c r="R22" s="186">
        <f>SUM($E$15:R$15)</f>
        <v>4560.4200642068399</v>
      </c>
      <c r="S22" s="186">
        <f>SUM($E$15:S$15)</f>
        <v>5029.0944776349643</v>
      </c>
      <c r="T22" s="186">
        <f>SUM($E$15:T$15)</f>
        <v>5534.377700899613</v>
      </c>
      <c r="U22" s="186">
        <f>SUM($E$15:U$15)</f>
        <v>6021.0788124026367</v>
      </c>
    </row>
    <row r="23" spans="1:44">
      <c r="A23" s="29" t="s">
        <v>136</v>
      </c>
      <c r="B23" s="22"/>
      <c r="C23" s="22"/>
      <c r="D23" s="22"/>
      <c r="E23" s="186">
        <f>E16</f>
        <v>37.023272417438264</v>
      </c>
      <c r="F23" s="186">
        <f>SUM($E$16:F$16)</f>
        <v>106.27574444416882</v>
      </c>
      <c r="G23" s="186">
        <f>SUM($E$16:G$16)</f>
        <v>253.06903438928779</v>
      </c>
      <c r="H23" s="186">
        <f>SUM($E$16:H$16)</f>
        <v>328.17925871676221</v>
      </c>
      <c r="I23" s="186">
        <f>SUM($E$16:I$16)</f>
        <v>408.8407705879664</v>
      </c>
      <c r="J23" s="186">
        <f>SUM($E$16:J$16)</f>
        <v>513.51454497961186</v>
      </c>
      <c r="K23" s="186">
        <f>SUM($E$16:K$16)</f>
        <v>627.25076553787198</v>
      </c>
      <c r="L23" s="186">
        <f>SUM($E$16:L$16)</f>
        <v>723.5669309240177</v>
      </c>
      <c r="M23" s="186">
        <f>SUM($E$16:M$16)</f>
        <v>806.2312584532998</v>
      </c>
      <c r="N23" s="186">
        <f>SUM($E$16:N$16)</f>
        <v>882.91263861201776</v>
      </c>
      <c r="O23" s="186">
        <f>SUM($E$16:O$16)</f>
        <v>964.22814455667469</v>
      </c>
      <c r="P23" s="186">
        <f>SUM($E$16:P$16)</f>
        <v>1061.1624544666006</v>
      </c>
      <c r="Q23" s="186">
        <f>SUM($E$16:Q$16)</f>
        <v>1161.7242625175622</v>
      </c>
      <c r="R23" s="186">
        <f>SUM($E$16:R$16)</f>
        <v>1280.8380644455951</v>
      </c>
      <c r="S23" s="186">
        <f>SUM($E$16:S$16)</f>
        <v>1397.1299502537374</v>
      </c>
      <c r="T23" s="186">
        <f>SUM(F$16:T$16)</f>
        <v>1474.0472334911519</v>
      </c>
      <c r="U23" s="186">
        <f t="shared" ref="U23" si="11">SUM(G$16:U$16)</f>
        <v>1517.9794784313583</v>
      </c>
    </row>
    <row r="24" spans="1:44">
      <c r="A24" s="29" t="s">
        <v>137</v>
      </c>
      <c r="B24" s="22"/>
      <c r="C24" s="22"/>
      <c r="D24" s="22"/>
      <c r="E24" s="186">
        <f>E17</f>
        <v>94.92590599793175</v>
      </c>
      <c r="F24" s="186">
        <f>SUM($E$17:F$17)</f>
        <v>111.48166101344364</v>
      </c>
      <c r="G24" s="186">
        <f>SUM($E$17:G$17)</f>
        <v>293.34308810754914</v>
      </c>
      <c r="H24" s="186">
        <f>SUM($E$17:H$17)</f>
        <v>306.82725309689948</v>
      </c>
      <c r="I24" s="186">
        <f>SUM($E$17:I$17)</f>
        <v>320.1765764363563</v>
      </c>
      <c r="J24" s="186">
        <f t="shared" ref="J24:O24" si="12">SUM(F$17:J$17)</f>
        <v>188.92084566857883</v>
      </c>
      <c r="K24" s="186">
        <f t="shared" si="12"/>
        <v>185.44876245806859</v>
      </c>
      <c r="L24" s="186">
        <f t="shared" si="12"/>
        <v>16.540170450914729</v>
      </c>
      <c r="M24" s="186">
        <f t="shared" si="12"/>
        <v>37.63061118692886</v>
      </c>
      <c r="N24" s="186">
        <f t="shared" si="12"/>
        <v>35.633327402478216</v>
      </c>
      <c r="O24" s="186">
        <f t="shared" si="12"/>
        <v>79.450667623498191</v>
      </c>
      <c r="P24" s="186">
        <f t="shared" ref="P24" si="13">SUM(L$17:P$17)</f>
        <v>198.84989757658462</v>
      </c>
      <c r="Q24" s="186">
        <f>SUM(M$17:Q$17)</f>
        <v>214.9290150561487</v>
      </c>
      <c r="R24" s="186">
        <f t="shared" ref="R24" si="14">SUM(N$17:R$17)</f>
        <v>208.87622396743538</v>
      </c>
      <c r="S24" s="186">
        <f t="shared" ref="S24" si="15">SUM(O$17:S$17)</f>
        <v>225.85958965736924</v>
      </c>
      <c r="T24" s="186">
        <f>SUM(P$17:T$17)</f>
        <v>244.39312343639551</v>
      </c>
      <c r="U24" s="186">
        <f t="shared" ref="U24" si="16">SUM(Q$17:U$17)</f>
        <v>137.76120571383225</v>
      </c>
    </row>
    <row r="25" spans="1:44">
      <c r="A25" s="29" t="s">
        <v>182</v>
      </c>
      <c r="B25" s="22"/>
      <c r="C25" s="22"/>
      <c r="D25" s="22"/>
      <c r="E25" s="186"/>
      <c r="F25" s="186"/>
      <c r="G25" s="186"/>
      <c r="H25" s="186"/>
      <c r="I25" s="186"/>
      <c r="J25" s="186"/>
      <c r="K25" s="186"/>
      <c r="L25" s="186"/>
      <c r="M25" s="186">
        <f>SUM($M$18:M18)</f>
        <v>116.82639435026944</v>
      </c>
      <c r="N25" s="186">
        <f>SUM($M$18:N18)</f>
        <v>159.53576452817146</v>
      </c>
      <c r="O25" s="186">
        <f>SUM($M$18:O18)</f>
        <v>99.076554607187035</v>
      </c>
      <c r="P25" s="186">
        <f>SUM($M$18:P18)</f>
        <v>-3.0046131614296456</v>
      </c>
      <c r="Q25" s="186">
        <f>SUM($M$18:Q18)</f>
        <v>-56.311933479569461</v>
      </c>
      <c r="R25" s="186">
        <f>SUM($M$18:R18)</f>
        <v>-124.9415320078227</v>
      </c>
      <c r="S25" s="186">
        <f>SUM($M$18:S18)</f>
        <v>-204.55610323424125</v>
      </c>
      <c r="T25" s="186">
        <f>SUM($M$18:T18)</f>
        <v>-201.17583358808943</v>
      </c>
      <c r="U25" s="186">
        <f>SUM($M$18:U18)</f>
        <v>-65.406842605155191</v>
      </c>
    </row>
    <row r="26" spans="1:44">
      <c r="A26" s="27"/>
      <c r="C26" s="22"/>
      <c r="D26" s="22"/>
      <c r="E26" s="208">
        <f t="shared" ref="E26:U26" si="17">SUM(E21:E25)</f>
        <v>471.03605424636856</v>
      </c>
      <c r="F26" s="208">
        <f t="shared" si="17"/>
        <v>919.58784250743929</v>
      </c>
      <c r="G26" s="208">
        <f t="shared" si="17"/>
        <v>1563.6007498134613</v>
      </c>
      <c r="H26" s="208">
        <f t="shared" si="17"/>
        <v>1969.0960757708622</v>
      </c>
      <c r="I26" s="208">
        <f t="shared" si="17"/>
        <v>2352.1617965224518</v>
      </c>
      <c r="J26" s="208">
        <f t="shared" si="17"/>
        <v>2661.1894639438037</v>
      </c>
      <c r="K26" s="208">
        <f t="shared" si="17"/>
        <v>3155.471612932075</v>
      </c>
      <c r="L26" s="208">
        <f t="shared" si="17"/>
        <v>3353.9803359018979</v>
      </c>
      <c r="M26" s="208">
        <f t="shared" si="17"/>
        <v>3755.3515677249206</v>
      </c>
      <c r="N26" s="208">
        <f t="shared" si="17"/>
        <v>4142.4956821697861</v>
      </c>
      <c r="O26" s="208">
        <f t="shared" si="17"/>
        <v>4527.5841517751633</v>
      </c>
      <c r="P26" s="208">
        <f t="shared" si="17"/>
        <v>5023.7882760613084</v>
      </c>
      <c r="Q26" s="208">
        <f t="shared" si="17"/>
        <v>5513.3044393784621</v>
      </c>
      <c r="R26" s="208">
        <f t="shared" si="17"/>
        <v>5990.8866706120471</v>
      </c>
      <c r="S26" s="208">
        <f t="shared" si="17"/>
        <v>6513.2217643118292</v>
      </c>
      <c r="T26" s="208">
        <f t="shared" si="17"/>
        <v>7117.3360742390705</v>
      </c>
      <c r="U26" s="208">
        <f t="shared" si="17"/>
        <v>7677.1065039426712</v>
      </c>
    </row>
    <row r="27" spans="1:44">
      <c r="A27" s="37"/>
      <c r="C27" s="22"/>
      <c r="D27" s="22"/>
      <c r="E27" s="22"/>
      <c r="F27" s="22"/>
      <c r="G27" s="22"/>
      <c r="H27" s="22"/>
      <c r="I27" s="22"/>
      <c r="J27" s="22"/>
      <c r="K27" s="22"/>
      <c r="L27" s="22"/>
      <c r="M27" s="22"/>
      <c r="N27" s="22"/>
      <c r="O27" s="42"/>
      <c r="P27" s="42"/>
      <c r="Q27" s="42"/>
      <c r="R27" s="42"/>
      <c r="S27" s="42"/>
      <c r="T27" s="42"/>
      <c r="U27" s="42"/>
    </row>
    <row r="28" spans="1:44" s="89" customFormat="1">
      <c r="A28" s="87" t="s">
        <v>5</v>
      </c>
      <c r="B28" s="86"/>
      <c r="C28" s="88"/>
      <c r="D28" s="211">
        <f>+Inputs!E40</f>
        <v>2627.7539999999999</v>
      </c>
      <c r="E28" s="211">
        <f t="shared" ref="E28:U28" si="18">E8+E13-E26</f>
        <v>14122.417595244809</v>
      </c>
      <c r="F28" s="211">
        <f t="shared" si="18"/>
        <v>28834.138056969015</v>
      </c>
      <c r="G28" s="211">
        <f t="shared" si="18"/>
        <v>42996.071402474765</v>
      </c>
      <c r="H28" s="211">
        <f t="shared" si="18"/>
        <v>54897.0869821858</v>
      </c>
      <c r="I28" s="211">
        <f t="shared" si="18"/>
        <v>65383.789902065859</v>
      </c>
      <c r="J28" s="211">
        <f t="shared" si="18"/>
        <v>77535.44288204686</v>
      </c>
      <c r="K28" s="211">
        <f t="shared" si="18"/>
        <v>91512.153402134543</v>
      </c>
      <c r="L28" s="211">
        <f t="shared" si="18"/>
        <v>100511.72570609284</v>
      </c>
      <c r="M28" s="211">
        <f t="shared" si="18"/>
        <v>109256.08586179114</v>
      </c>
      <c r="N28" s="211">
        <f t="shared" si="18"/>
        <v>118520.00621135575</v>
      </c>
      <c r="O28" s="211">
        <f t="shared" si="18"/>
        <v>126071.03163304125</v>
      </c>
      <c r="P28" s="211">
        <f t="shared" si="18"/>
        <v>135073.0640657249</v>
      </c>
      <c r="Q28" s="211">
        <f t="shared" si="18"/>
        <v>146501.50726363555</v>
      </c>
      <c r="R28" s="211">
        <f t="shared" si="18"/>
        <v>157501.19270059562</v>
      </c>
      <c r="S28" s="211">
        <f t="shared" si="18"/>
        <v>168993.72193628378</v>
      </c>
      <c r="T28" s="211">
        <f t="shared" si="18"/>
        <v>184038.47727192746</v>
      </c>
      <c r="U28" s="211">
        <f t="shared" si="18"/>
        <v>202136.81760522426</v>
      </c>
    </row>
    <row r="29" spans="1:44">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row>
    <row r="30" spans="1:44">
      <c r="A30" s="40" t="s">
        <v>340</v>
      </c>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row>
    <row r="31" spans="1:44">
      <c r="B31" s="22"/>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c r="A32" s="27" t="s">
        <v>57</v>
      </c>
      <c r="E32" s="33">
        <f>+D55</f>
        <v>2730.1239539346288</v>
      </c>
      <c r="F32" s="33">
        <f t="shared" ref="F32:U32" si="19">+E55</f>
        <v>14672.587526932022</v>
      </c>
      <c r="G32" s="33">
        <f t="shared" si="19"/>
        <v>29957.435513518092</v>
      </c>
      <c r="H32" s="33">
        <f t="shared" si="19"/>
        <v>44671.078213934816</v>
      </c>
      <c r="I32" s="33">
        <f t="shared" si="19"/>
        <v>57035.724109371877</v>
      </c>
      <c r="J32" s="33">
        <f t="shared" si="19"/>
        <v>67930.959675319347</v>
      </c>
      <c r="K32" s="33">
        <f t="shared" si="19"/>
        <v>80556.007103863754</v>
      </c>
      <c r="L32" s="33">
        <f t="shared" si="19"/>
        <v>95077.211215093921</v>
      </c>
      <c r="M32" s="33">
        <f t="shared" si="19"/>
        <v>104427.38171134402</v>
      </c>
      <c r="N32" s="33">
        <f t="shared" si="19"/>
        <v>113512.39770709687</v>
      </c>
      <c r="O32" s="33">
        <f t="shared" si="19"/>
        <v>123137.2145102256</v>
      </c>
      <c r="P32" s="33">
        <f t="shared" si="19"/>
        <v>130982.40678488789</v>
      </c>
      <c r="Q32" s="33">
        <f t="shared" si="19"/>
        <v>140335.13324960493</v>
      </c>
      <c r="R32" s="33">
        <f t="shared" si="19"/>
        <v>152208.79666360683</v>
      </c>
      <c r="S32" s="33">
        <f t="shared" si="19"/>
        <v>163636.99911223431</v>
      </c>
      <c r="T32" s="33">
        <f t="shared" si="19"/>
        <v>175577.24517699008</v>
      </c>
      <c r="U32" s="33">
        <f t="shared" si="19"/>
        <v>191208.10214568907</v>
      </c>
      <c r="V32" s="21">
        <f>+U55</f>
        <v>210011.50325187892</v>
      </c>
      <c r="W32" s="21">
        <f t="shared" ref="W32:AR32" si="20">+V55</f>
        <v>213630.56313598558</v>
      </c>
      <c r="X32" s="21">
        <f t="shared" si="20"/>
        <v>212963.97813454826</v>
      </c>
      <c r="Y32" s="21">
        <f t="shared" si="20"/>
        <v>211828.0439437771</v>
      </c>
      <c r="Z32" s="21">
        <f t="shared" si="20"/>
        <v>210301.21471220371</v>
      </c>
      <c r="AA32" s="21">
        <f t="shared" si="20"/>
        <v>208678.17279692291</v>
      </c>
      <c r="AB32" s="21">
        <f t="shared" si="20"/>
        <v>206844.38702095111</v>
      </c>
      <c r="AC32" s="21">
        <f t="shared" si="20"/>
        <v>208411.72978632344</v>
      </c>
      <c r="AD32" s="21">
        <f t="shared" si="20"/>
        <v>205195.91181356908</v>
      </c>
      <c r="AE32" s="21">
        <f t="shared" si="20"/>
        <v>201960.5700540934</v>
      </c>
      <c r="AF32" s="21">
        <f t="shared" si="20"/>
        <v>198616.74578328838</v>
      </c>
      <c r="AG32" s="21">
        <f t="shared" si="20"/>
        <v>194955.66406355216</v>
      </c>
      <c r="AH32" s="21">
        <f t="shared" si="20"/>
        <v>191092.40219861199</v>
      </c>
      <c r="AI32" s="21">
        <f t="shared" si="20"/>
        <v>186964.54782435347</v>
      </c>
      <c r="AJ32" s="21">
        <f t="shared" si="20"/>
        <v>182700.88554991735</v>
      </c>
      <c r="AK32" s="21">
        <f t="shared" si="20"/>
        <v>178393.31811624806</v>
      </c>
      <c r="AL32" s="21">
        <f t="shared" si="20"/>
        <v>173942.99161077884</v>
      </c>
      <c r="AM32" s="21">
        <f t="shared" si="20"/>
        <v>169479.7733857538</v>
      </c>
      <c r="AN32" s="21">
        <f t="shared" si="20"/>
        <v>164628.14603448918</v>
      </c>
      <c r="AO32" s="21">
        <f t="shared" si="20"/>
        <v>159609.89707037114</v>
      </c>
      <c r="AP32" s="21">
        <f t="shared" si="20"/>
        <v>154451.56650325126</v>
      </c>
      <c r="AQ32" s="21">
        <f t="shared" si="20"/>
        <v>149117.40753980179</v>
      </c>
      <c r="AR32" s="21">
        <f t="shared" si="20"/>
        <v>143554.82787683769</v>
      </c>
    </row>
    <row r="33" spans="1:44">
      <c r="A33" s="27" t="s">
        <v>56</v>
      </c>
      <c r="E33" s="33">
        <f>+E6*Inputs!$S$32</f>
        <v>0</v>
      </c>
      <c r="F33" s="33">
        <f>+F6*Inputs!$S$32</f>
        <v>0</v>
      </c>
      <c r="G33" s="33">
        <f>+G6*Inputs!$S$32</f>
        <v>0</v>
      </c>
      <c r="H33" s="33">
        <f>+H6*Inputs!$S$32</f>
        <v>0</v>
      </c>
      <c r="I33" s="33">
        <f>+I6*Inputs!$S$32</f>
        <v>0</v>
      </c>
      <c r="J33" s="33">
        <f>+J6*Inputs!$S$32</f>
        <v>0</v>
      </c>
      <c r="K33" s="33">
        <f>+K6*Inputs!$S$32</f>
        <v>0</v>
      </c>
      <c r="L33" s="33">
        <f>+L6*Inputs!$S$32</f>
        <v>0</v>
      </c>
      <c r="M33" s="33">
        <f>+M6*Inputs!$S$32</f>
        <v>4005.4616006775996</v>
      </c>
      <c r="N33" s="33">
        <f>+N6*Inputs!$S$32</f>
        <v>1464.3158610528237</v>
      </c>
      <c r="O33" s="33">
        <f>+O6*Inputs!$S$32</f>
        <v>-663.16981913516418</v>
      </c>
      <c r="P33" s="33">
        <f>+P6*Inputs!$S$32</f>
        <v>-3499.9128401036623</v>
      </c>
      <c r="Q33" s="33">
        <f>+Q6*Inputs!$S$32</f>
        <v>-1827.6728110700046</v>
      </c>
      <c r="R33" s="33">
        <f>+R6*Inputs!$S$32</f>
        <v>-2353.0061259157937</v>
      </c>
      <c r="S33" s="33">
        <f>+S6*Inputs!$S$32</f>
        <v>-2729.6323718227959</v>
      </c>
      <c r="T33" s="33">
        <f>+T6*Inputs!$S$32</f>
        <v>115.89453173572083</v>
      </c>
      <c r="U33" s="33">
        <f>+U6*Inputs!$S$32</f>
        <v>3936.913618773257</v>
      </c>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c r="A34" s="27" t="s">
        <v>56</v>
      </c>
      <c r="E34" s="33">
        <f>+E7*Inputs!$S$32</f>
        <v>0</v>
      </c>
      <c r="F34" s="33">
        <f>+F7*Inputs!$S$32</f>
        <v>0</v>
      </c>
      <c r="G34" s="33">
        <f>+G7*Inputs!$S$32</f>
        <v>0</v>
      </c>
      <c r="H34" s="33">
        <f>+H7*Inputs!$S$32</f>
        <v>0</v>
      </c>
      <c r="I34" s="33">
        <f>+I7*Inputs!$S$32</f>
        <v>0</v>
      </c>
      <c r="J34" s="33">
        <f>+J7*Inputs!$S$32</f>
        <v>0</v>
      </c>
      <c r="K34" s="33">
        <f>+K7*Inputs!$S$32</f>
        <v>0</v>
      </c>
      <c r="L34" s="33">
        <f>+L7*Inputs!$S$32</f>
        <v>0</v>
      </c>
      <c r="M34" s="33">
        <f>+M7*Inputs!$S$32</f>
        <v>0</v>
      </c>
      <c r="N34" s="33">
        <f>+N7*Inputs!$S$32</f>
        <v>0</v>
      </c>
      <c r="O34" s="33">
        <f>+O7*Inputs!$S$32</f>
        <v>-1409.7097308383029</v>
      </c>
      <c r="P34" s="33">
        <f>+P7*Inputs!$S$32</f>
        <v>0</v>
      </c>
      <c r="Q34" s="33">
        <f>+Q7*Inputs!$S$32</f>
        <v>0</v>
      </c>
      <c r="R34" s="33">
        <f>+R7*Inputs!$S$32</f>
        <v>0</v>
      </c>
      <c r="S34" s="33">
        <f>+S7*Inputs!$S$32</f>
        <v>0</v>
      </c>
      <c r="T34" s="33">
        <f>+T7*Inputs!$S$32</f>
        <v>0</v>
      </c>
      <c r="U34" s="33">
        <f>+U7*Inputs!$S$32</f>
        <v>718.0060418850212</v>
      </c>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c r="A35" s="27" t="s">
        <v>17</v>
      </c>
      <c r="E35" s="208">
        <f>SUM(E32:E34)</f>
        <v>2730.1239539346288</v>
      </c>
      <c r="F35" s="208">
        <f t="shared" ref="F35:U35" si="21">SUM(F32:F34)</f>
        <v>14672.587526932022</v>
      </c>
      <c r="G35" s="208">
        <f t="shared" si="21"/>
        <v>29957.435513518092</v>
      </c>
      <c r="H35" s="208">
        <f t="shared" si="21"/>
        <v>44671.078213934816</v>
      </c>
      <c r="I35" s="208">
        <f t="shared" si="21"/>
        <v>57035.724109371877</v>
      </c>
      <c r="J35" s="208">
        <f t="shared" si="21"/>
        <v>67930.959675319347</v>
      </c>
      <c r="K35" s="208">
        <f t="shared" si="21"/>
        <v>80556.007103863754</v>
      </c>
      <c r="L35" s="208">
        <f t="shared" si="21"/>
        <v>95077.211215093921</v>
      </c>
      <c r="M35" s="208">
        <f t="shared" si="21"/>
        <v>108432.84331202162</v>
      </c>
      <c r="N35" s="208">
        <f t="shared" si="21"/>
        <v>114976.71356814969</v>
      </c>
      <c r="O35" s="208">
        <f t="shared" si="21"/>
        <v>121064.33496025213</v>
      </c>
      <c r="P35" s="208">
        <f t="shared" si="21"/>
        <v>127482.49394478423</v>
      </c>
      <c r="Q35" s="208">
        <f t="shared" si="21"/>
        <v>138507.46043853494</v>
      </c>
      <c r="R35" s="208">
        <f t="shared" si="21"/>
        <v>149855.79053769103</v>
      </c>
      <c r="S35" s="208">
        <f t="shared" si="21"/>
        <v>160907.3667404115</v>
      </c>
      <c r="T35" s="208">
        <f t="shared" si="21"/>
        <v>175693.13970872579</v>
      </c>
      <c r="U35" s="208">
        <f t="shared" si="21"/>
        <v>195863.02180634736</v>
      </c>
      <c r="V35" s="208">
        <f t="shared" ref="V35:AR35" si="22">SUM(V32:V34)</f>
        <v>210011.50325187892</v>
      </c>
      <c r="W35" s="208">
        <f t="shared" si="22"/>
        <v>213630.56313598558</v>
      </c>
      <c r="X35" s="208">
        <f t="shared" si="22"/>
        <v>212963.97813454826</v>
      </c>
      <c r="Y35" s="208">
        <f t="shared" si="22"/>
        <v>211828.0439437771</v>
      </c>
      <c r="Z35" s="208">
        <f t="shared" si="22"/>
        <v>210301.21471220371</v>
      </c>
      <c r="AA35" s="208">
        <f t="shared" si="22"/>
        <v>208678.17279692291</v>
      </c>
      <c r="AB35" s="208">
        <f t="shared" si="22"/>
        <v>206844.38702095111</v>
      </c>
      <c r="AC35" s="208">
        <f t="shared" si="22"/>
        <v>208411.72978632344</v>
      </c>
      <c r="AD35" s="208">
        <f t="shared" si="22"/>
        <v>205195.91181356908</v>
      </c>
      <c r="AE35" s="208">
        <f t="shared" si="22"/>
        <v>201960.5700540934</v>
      </c>
      <c r="AF35" s="208">
        <f t="shared" si="22"/>
        <v>198616.74578328838</v>
      </c>
      <c r="AG35" s="208">
        <f t="shared" si="22"/>
        <v>194955.66406355216</v>
      </c>
      <c r="AH35" s="208">
        <f t="shared" si="22"/>
        <v>191092.40219861199</v>
      </c>
      <c r="AI35" s="208">
        <f t="shared" si="22"/>
        <v>186964.54782435347</v>
      </c>
      <c r="AJ35" s="208">
        <f t="shared" si="22"/>
        <v>182700.88554991735</v>
      </c>
      <c r="AK35" s="208">
        <f t="shared" si="22"/>
        <v>178393.31811624806</v>
      </c>
      <c r="AL35" s="208">
        <f t="shared" si="22"/>
        <v>173942.99161077884</v>
      </c>
      <c r="AM35" s="208">
        <f t="shared" si="22"/>
        <v>169479.7733857538</v>
      </c>
      <c r="AN35" s="208">
        <f t="shared" si="22"/>
        <v>164628.14603448918</v>
      </c>
      <c r="AO35" s="208">
        <f t="shared" si="22"/>
        <v>159609.89707037114</v>
      </c>
      <c r="AP35" s="208">
        <f t="shared" si="22"/>
        <v>154451.56650325126</v>
      </c>
      <c r="AQ35" s="208">
        <f t="shared" si="22"/>
        <v>149117.40753980179</v>
      </c>
      <c r="AR35" s="208">
        <f t="shared" si="22"/>
        <v>143554.82787683769</v>
      </c>
    </row>
    <row r="36" spans="1:44">
      <c r="A36" s="37"/>
      <c r="O36" s="33"/>
      <c r="P36" s="33"/>
      <c r="Q36" s="33"/>
      <c r="R36" s="33"/>
      <c r="S36" s="33"/>
      <c r="T36" s="33"/>
      <c r="U36" s="33"/>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c r="A37" s="29" t="s">
        <v>129</v>
      </c>
      <c r="E37" s="33">
        <f>+E10*Inputs!$S$32</f>
        <v>11361.746170453976</v>
      </c>
      <c r="F37" s="33">
        <f>+F10*Inputs!$S$32</f>
        <v>15075.001474553184</v>
      </c>
      <c r="G37" s="33">
        <f>+G10*Inputs!$S$32</f>
        <v>13105.746570141018</v>
      </c>
      <c r="H37" s="33">
        <f>+H10*Inputs!$S$32</f>
        <v>13169.860468624629</v>
      </c>
      <c r="I37" s="33">
        <f>+I10*Inputs!$S$32</f>
        <v>12012.626250663076</v>
      </c>
      <c r="J37" s="33">
        <f>+J10*Inputs!$S$32</f>
        <v>13947.361482094602</v>
      </c>
      <c r="K37" s="33">
        <f>+K10*Inputs!$S$32</f>
        <v>15959.131217338223</v>
      </c>
      <c r="L37" s="33">
        <f>+L10*Inputs!$S$32</f>
        <v>11266.499717053317</v>
      </c>
      <c r="M37" s="33">
        <f>+M10*Inputs!$S$32</f>
        <v>7513.3258071612272</v>
      </c>
      <c r="N37" s="33">
        <f>+N10*Inputs!$S$32</f>
        <v>11210.375178212787</v>
      </c>
      <c r="O37" s="33">
        <f>+O10*Inputs!$S$32</f>
        <v>13315.892001366648</v>
      </c>
      <c r="P37" s="33">
        <f>+P10*Inputs!$S$32</f>
        <v>15873.261011586283</v>
      </c>
      <c r="Q37" s="33">
        <f>+Q10*Inputs!$S$32</f>
        <v>17711.417592833484</v>
      </c>
      <c r="R37" s="33">
        <f>+R10*Inputs!$S$32</f>
        <v>18001.006584433235</v>
      </c>
      <c r="S37" s="33">
        <f>+S10*Inputs!$S$32</f>
        <v>19477.306364239332</v>
      </c>
      <c r="T37" s="33">
        <f>+T10*Inputs!$S$32</f>
        <v>20998.705835570869</v>
      </c>
      <c r="U37" s="33">
        <f>+U10*Inputs!$S$32</f>
        <v>20226.465078862231</v>
      </c>
      <c r="V37" s="33">
        <f>+Inputs!V12</f>
        <v>9717.1066478509329</v>
      </c>
      <c r="W37" s="33">
        <f>+Inputs!W12</f>
        <v>6021.3808423408173</v>
      </c>
      <c r="X37" s="33">
        <f>+Inputs!X12</f>
        <v>5739.6053180973013</v>
      </c>
      <c r="Y37" s="33">
        <f>+Inputs!Y12</f>
        <v>5480.3736854159115</v>
      </c>
      <c r="Z37" s="33">
        <f>+Inputs!Z12</f>
        <v>5367.963061177602</v>
      </c>
      <c r="AA37" s="33">
        <f>+Inputs!AA12</f>
        <v>5080.8585740721246</v>
      </c>
      <c r="AB37" s="33">
        <f>+Inputs!AB12</f>
        <v>8805.0565288856887</v>
      </c>
      <c r="AC37" s="33">
        <f>+Inputs!AC12</f>
        <v>4089.6359678400827</v>
      </c>
      <c r="AD37" s="33">
        <f>+Inputs!AD12</f>
        <v>3996.5289125485456</v>
      </c>
      <c r="AE37" s="33">
        <f>+Inputs!AE12</f>
        <v>3906.3690478577155</v>
      </c>
      <c r="AF37" s="33">
        <f>+Inputs!AF12</f>
        <v>3825.3799624248118</v>
      </c>
      <c r="AG37" s="33">
        <f>+Inputs!AG12</f>
        <v>3745.2348031713555</v>
      </c>
      <c r="AH37" s="33">
        <f>+Inputs!AH12</f>
        <v>3669.73663843953</v>
      </c>
      <c r="AI37" s="33">
        <f>+Inputs!AI12</f>
        <v>3593.8616973222624</v>
      </c>
      <c r="AJ37" s="33">
        <f>+Inputs!AJ12</f>
        <v>3518.1581492624478</v>
      </c>
      <c r="AK37" s="33">
        <f>+Inputs!AK12</f>
        <v>3446.2990212789741</v>
      </c>
      <c r="AL37" s="33">
        <f>+Inputs!AL12</f>
        <v>3374.5362493115581</v>
      </c>
      <c r="AM37" s="33">
        <f>+Inputs!AM12</f>
        <v>3312.2911995517234</v>
      </c>
      <c r="AN37" s="33">
        <f>+Inputs!AN12</f>
        <v>3247.7160481507053</v>
      </c>
      <c r="AO37" s="33">
        <f>+Inputs!AO12</f>
        <v>3185.6795762688066</v>
      </c>
      <c r="AP37" s="33">
        <f>+Inputs!AP12</f>
        <v>3126.3458623364791</v>
      </c>
      <c r="AQ37" s="33">
        <f>+Inputs!AQ12</f>
        <v>3069.6346667535863</v>
      </c>
      <c r="AR37" s="33">
        <f>+Inputs!AR12</f>
        <v>3014.5860777348457</v>
      </c>
    </row>
    <row r="38" spans="1:44">
      <c r="A38" s="29" t="s">
        <v>130</v>
      </c>
      <c r="E38" s="33">
        <f>+E11*Inputs!$S$32</f>
        <v>576.9839350252845</v>
      </c>
      <c r="F38" s="33">
        <f>+F11*Inputs!$S$32</f>
        <v>1079.2553226978148</v>
      </c>
      <c r="G38" s="33">
        <f>+G11*Inputs!$S$32</f>
        <v>2287.6791957468658</v>
      </c>
      <c r="H38" s="33">
        <f>+H11*Inputs!$S$32</f>
        <v>1170.5446321564425</v>
      </c>
      <c r="I38" s="33">
        <f>+I11*Inputs!$S$32</f>
        <v>1257.0578850997301</v>
      </c>
      <c r="J38" s="33">
        <f>+J11*Inputs!$S$32</f>
        <v>1631.2735827747606</v>
      </c>
      <c r="K38" s="33">
        <f>+K11*Inputs!$S$32</f>
        <v>1772.5059890086629</v>
      </c>
      <c r="L38" s="33">
        <f>+L11*Inputs!$S$32</f>
        <v>1501.0256112549675</v>
      </c>
      <c r="M38" s="33">
        <f>+M11*Inputs!$S$32</f>
        <v>1288.2704815039247</v>
      </c>
      <c r="N38" s="33">
        <f>+N11*Inputs!$S$32</f>
        <v>1195.0300872460855</v>
      </c>
      <c r="O38" s="33">
        <f>+O11*Inputs!$S$32</f>
        <v>1267.2499629293013</v>
      </c>
      <c r="P38" s="33">
        <f>+P11*Inputs!$S$32</f>
        <v>1510.6589968650685</v>
      </c>
      <c r="Q38" s="33">
        <f>+Q11*Inputs!$S$32</f>
        <v>1567.1912268665922</v>
      </c>
      <c r="R38" s="33">
        <f>+R11*Inputs!$S$32</f>
        <v>1856.3121427345227</v>
      </c>
      <c r="S38" s="33">
        <f>+S11*Inputs!$S$32</f>
        <v>1812.3343914215695</v>
      </c>
      <c r="T38" s="33">
        <f>+T11*Inputs!$S$32</f>
        <v>1775.6904203243673</v>
      </c>
      <c r="U38" s="33">
        <f>+U11*Inputs!$S$32</f>
        <v>1763.9111595534412</v>
      </c>
      <c r="V38" s="33">
        <f>+Inputs!V13</f>
        <v>1674.1275121722247</v>
      </c>
      <c r="W38" s="33">
        <f>+Inputs!W13</f>
        <v>1530.3436597940361</v>
      </c>
      <c r="X38" s="33">
        <f>+Inputs!X13</f>
        <v>1510.3846643409504</v>
      </c>
      <c r="Y38" s="33">
        <f>+Inputs!Y13</f>
        <v>1611.8791109622121</v>
      </c>
      <c r="Z38" s="33">
        <f>+Inputs!Z13</f>
        <v>1779.6367687953934</v>
      </c>
      <c r="AA38" s="33">
        <f>+Inputs!AA13</f>
        <v>1943.3833400121639</v>
      </c>
      <c r="AB38" s="33">
        <f>+Inputs!AB13</f>
        <v>1787.9636146902646</v>
      </c>
      <c r="AC38" s="33">
        <f>+Inputs!AC13</f>
        <v>1854.4298401362701</v>
      </c>
      <c r="AD38" s="33">
        <f>+Inputs!AD13</f>
        <v>2091.0947717821605</v>
      </c>
      <c r="AE38" s="33">
        <f>+Inputs!AE13</f>
        <v>2231.8745281651591</v>
      </c>
      <c r="AF38" s="33">
        <f>+Inputs!AF13</f>
        <v>2144.7791982944391</v>
      </c>
      <c r="AG38" s="33">
        <f>+Inputs!AG13</f>
        <v>2134.9510066867397</v>
      </c>
      <c r="AH38" s="33">
        <f>+Inputs!AH13</f>
        <v>2053.6904842497333</v>
      </c>
      <c r="AI38" s="33">
        <f>+Inputs!AI13</f>
        <v>2105.5978995723453</v>
      </c>
      <c r="AJ38" s="33">
        <f>+Inputs!AJ13</f>
        <v>2258.310176600321</v>
      </c>
      <c r="AK38" s="33">
        <f>+Inputs!AK13</f>
        <v>2316.3848651832491</v>
      </c>
      <c r="AL38" s="33">
        <f>+Inputs!AL13</f>
        <v>2525.9961569728712</v>
      </c>
      <c r="AM38" s="33">
        <f>+Inputs!AM13</f>
        <v>2337.8004102062755</v>
      </c>
      <c r="AN38" s="33">
        <f>+Inputs!AN13</f>
        <v>2367.3088313144708</v>
      </c>
      <c r="AO38" s="33">
        <f>+Inputs!AO13</f>
        <v>2410.9963268016727</v>
      </c>
      <c r="AP38" s="33">
        <f>+Inputs!AP13</f>
        <v>2403.3229303164203</v>
      </c>
      <c r="AQ38" s="33">
        <f>+Inputs!AQ13</f>
        <v>2345.5250557937534</v>
      </c>
      <c r="AR38" s="33">
        <f>+Inputs!AR13</f>
        <v>2284.8790288857736</v>
      </c>
    </row>
    <row r="39" spans="1:44">
      <c r="A39" s="29" t="s">
        <v>131</v>
      </c>
      <c r="E39" s="33">
        <f>+E12*Inputs!$S$32</f>
        <v>493.11977037024843</v>
      </c>
      <c r="F39" s="33">
        <f>+F12*Inputs!$S$32</f>
        <v>86.00360487192178</v>
      </c>
      <c r="G39" s="33">
        <f>+G12*Inputs!$S$32</f>
        <v>944.73120087792381</v>
      </c>
      <c r="H39" s="33">
        <f>+H12*Inputs!$S$32</f>
        <v>70.047351913900656</v>
      </c>
      <c r="I39" s="33">
        <f>+I12*Inputs!$S$32</f>
        <v>69.346878394761646</v>
      </c>
      <c r="J39" s="33">
        <f>+J12*Inputs!$S$32</f>
        <v>-188.72566618945939</v>
      </c>
      <c r="K39" s="33">
        <f>+K12*Inputs!$S$32</f>
        <v>67.96687551470589</v>
      </c>
      <c r="L39" s="33">
        <f>+L12*Inputs!$S$32</f>
        <v>67.287206759558828</v>
      </c>
      <c r="M39" s="33">
        <f>+M12*Inputs!$S$32</f>
        <v>179.6076788174671</v>
      </c>
      <c r="N39" s="33">
        <f>+N12*Inputs!$S$32</f>
        <v>58.971416493202526</v>
      </c>
      <c r="O39" s="33">
        <f>+O12*Inputs!$S$32</f>
        <v>38.89604066572933</v>
      </c>
      <c r="P39" s="33">
        <f>+P12*Inputs!$S$32</f>
        <v>688.22032727668659</v>
      </c>
      <c r="Q39" s="33">
        <f>+Q12*Inputs!$S$32</f>
        <v>150.81478161832962</v>
      </c>
      <c r="R39" s="33">
        <f>+R12*Inputs!$S$32</f>
        <v>148.16472422685806</v>
      </c>
      <c r="S39" s="33">
        <f>+S12*Inputs!$S$32</f>
        <v>147.19636732292236</v>
      </c>
      <c r="T39" s="33">
        <f>+T12*Inputs!$S$32</f>
        <v>135.17378302893417</v>
      </c>
      <c r="U39" s="33">
        <f>+U12*Inputs!$S$32</f>
        <v>134.29033073143074</v>
      </c>
      <c r="V39" s="33">
        <f>+Inputs!V14</f>
        <v>469.84014000000002</v>
      </c>
      <c r="W39" s="33">
        <f>+Inputs!W14</f>
        <v>210.74136299999998</v>
      </c>
      <c r="X39" s="33">
        <f>+Inputs!X14</f>
        <v>217.582506</v>
      </c>
      <c r="Y39" s="33">
        <f>+Inputs!Y14</f>
        <v>116.38284</v>
      </c>
      <c r="Z39" s="33">
        <f>+Inputs!Z14</f>
        <v>90.799397999999997</v>
      </c>
      <c r="AA39" s="33">
        <f>+Inputs!AA14</f>
        <v>82.446755999999993</v>
      </c>
      <c r="AB39" s="33">
        <f>+Inputs!AB14</f>
        <v>157.61010502546188</v>
      </c>
      <c r="AC39" s="33">
        <f>+Inputs!AC14</f>
        <v>157.61010502546188</v>
      </c>
      <c r="AD39" s="33">
        <f>+Inputs!AD14</f>
        <v>157.61010502546188</v>
      </c>
      <c r="AE39" s="33">
        <f>+Inputs!AE14</f>
        <v>157.61010502546188</v>
      </c>
      <c r="AF39" s="33">
        <f>+Inputs!AF14</f>
        <v>157.61010502546188</v>
      </c>
      <c r="AG39" s="33">
        <f>+Inputs!AG14</f>
        <v>157.61010502546188</v>
      </c>
      <c r="AH39" s="33">
        <f>+Inputs!AH14</f>
        <v>157.61010502546188</v>
      </c>
      <c r="AI39" s="33">
        <f>+Inputs!AI14</f>
        <v>157.61010502546188</v>
      </c>
      <c r="AJ39" s="33">
        <f>+Inputs!AJ14</f>
        <v>157.61010502546188</v>
      </c>
      <c r="AK39" s="33">
        <f>+Inputs!AK14</f>
        <v>157.61010502546188</v>
      </c>
      <c r="AL39" s="33">
        <f>+Inputs!AL14</f>
        <v>157.61010502546188</v>
      </c>
      <c r="AM39" s="33">
        <f>+Inputs!AM14</f>
        <v>157.61010502546188</v>
      </c>
      <c r="AN39" s="33">
        <f>+Inputs!AN14</f>
        <v>157.61010502546188</v>
      </c>
      <c r="AO39" s="33">
        <f>+Inputs!AO14</f>
        <v>157.61010502546188</v>
      </c>
      <c r="AP39" s="33">
        <f>+Inputs!AP14</f>
        <v>157.61010502546188</v>
      </c>
      <c r="AQ39" s="33">
        <f>+Inputs!AQ14</f>
        <v>157.61010502546188</v>
      </c>
      <c r="AR39" s="33">
        <f>+Inputs!AR14</f>
        <v>157.61010502546188</v>
      </c>
    </row>
    <row r="40" spans="1:44">
      <c r="A40" s="27"/>
      <c r="E40" s="208">
        <f t="shared" ref="E40:U40" si="23">SUM(E37:E39)</f>
        <v>12431.84987584951</v>
      </c>
      <c r="F40" s="208">
        <f t="shared" si="23"/>
        <v>16240.26040212292</v>
      </c>
      <c r="G40" s="208">
        <f t="shared" si="23"/>
        <v>16338.15696676581</v>
      </c>
      <c r="H40" s="208">
        <f t="shared" si="23"/>
        <v>14410.452452694974</v>
      </c>
      <c r="I40" s="208">
        <f t="shared" si="23"/>
        <v>13339.031014157566</v>
      </c>
      <c r="J40" s="208">
        <f t="shared" si="23"/>
        <v>15389.909398679903</v>
      </c>
      <c r="K40" s="208">
        <f t="shared" si="23"/>
        <v>17799.604081861591</v>
      </c>
      <c r="L40" s="208">
        <f t="shared" si="23"/>
        <v>12834.812535067842</v>
      </c>
      <c r="M40" s="208">
        <f t="shared" si="23"/>
        <v>8981.2039674826192</v>
      </c>
      <c r="N40" s="208">
        <f t="shared" si="23"/>
        <v>12464.376681952075</v>
      </c>
      <c r="O40" s="208">
        <f t="shared" si="23"/>
        <v>14622.03800496168</v>
      </c>
      <c r="P40" s="208">
        <f t="shared" si="23"/>
        <v>18072.140335728036</v>
      </c>
      <c r="Q40" s="208">
        <f t="shared" si="23"/>
        <v>19429.423601318405</v>
      </c>
      <c r="R40" s="208">
        <f t="shared" si="23"/>
        <v>20005.483451394615</v>
      </c>
      <c r="S40" s="208">
        <f t="shared" si="23"/>
        <v>21436.837122983823</v>
      </c>
      <c r="T40" s="208">
        <f t="shared" si="23"/>
        <v>22909.570038924172</v>
      </c>
      <c r="U40" s="208">
        <f t="shared" si="23"/>
        <v>22124.666569147103</v>
      </c>
      <c r="V40" s="208">
        <f t="shared" ref="V40:AR40" si="24">SUM(V37:V39)</f>
        <v>11861.074300023158</v>
      </c>
      <c r="W40" s="208">
        <f t="shared" si="24"/>
        <v>7762.4658651348536</v>
      </c>
      <c r="X40" s="208">
        <f t="shared" si="24"/>
        <v>7467.5724884382516</v>
      </c>
      <c r="Y40" s="208">
        <f t="shared" si="24"/>
        <v>7208.6356363781233</v>
      </c>
      <c r="Z40" s="208">
        <f t="shared" si="24"/>
        <v>7238.3992279729955</v>
      </c>
      <c r="AA40" s="208">
        <f t="shared" si="24"/>
        <v>7106.6886700842888</v>
      </c>
      <c r="AB40" s="208">
        <f t="shared" si="24"/>
        <v>10750.630248601416</v>
      </c>
      <c r="AC40" s="208">
        <f t="shared" si="24"/>
        <v>6101.6759130018145</v>
      </c>
      <c r="AD40" s="208">
        <f t="shared" si="24"/>
        <v>6245.233789356168</v>
      </c>
      <c r="AE40" s="208">
        <f t="shared" si="24"/>
        <v>6295.8536810483365</v>
      </c>
      <c r="AF40" s="208">
        <f t="shared" si="24"/>
        <v>6127.7692657447133</v>
      </c>
      <c r="AG40" s="208">
        <f t="shared" si="24"/>
        <v>6037.7959148835571</v>
      </c>
      <c r="AH40" s="208">
        <f t="shared" si="24"/>
        <v>5881.0372277147253</v>
      </c>
      <c r="AI40" s="208">
        <f t="shared" si="24"/>
        <v>5857.0697019200697</v>
      </c>
      <c r="AJ40" s="208">
        <f t="shared" si="24"/>
        <v>5934.0784308882303</v>
      </c>
      <c r="AK40" s="208">
        <f t="shared" si="24"/>
        <v>5920.2939914876852</v>
      </c>
      <c r="AL40" s="208">
        <f t="shared" si="24"/>
        <v>6058.1425113098912</v>
      </c>
      <c r="AM40" s="208">
        <f t="shared" si="24"/>
        <v>5807.7017147834613</v>
      </c>
      <c r="AN40" s="208">
        <f t="shared" si="24"/>
        <v>5772.6349844906381</v>
      </c>
      <c r="AO40" s="208">
        <f t="shared" si="24"/>
        <v>5754.2860080959417</v>
      </c>
      <c r="AP40" s="208">
        <f t="shared" si="24"/>
        <v>5687.2788976783613</v>
      </c>
      <c r="AQ40" s="208">
        <f t="shared" si="24"/>
        <v>5572.7698275728017</v>
      </c>
      <c r="AR40" s="208">
        <f t="shared" si="24"/>
        <v>5457.0752116460808</v>
      </c>
    </row>
    <row r="41" spans="1:44">
      <c r="A41" s="29"/>
      <c r="O41" s="33"/>
      <c r="P41" s="33"/>
      <c r="Q41" s="33"/>
      <c r="R41" s="33"/>
      <c r="S41" s="33"/>
      <c r="T41" s="33"/>
      <c r="U41" s="3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c r="A42" s="29" t="s">
        <v>132</v>
      </c>
      <c r="C42" s="33">
        <f>+C15</f>
        <v>40</v>
      </c>
      <c r="E42" s="43">
        <f>E37/$C42</f>
        <v>284.04365426134939</v>
      </c>
      <c r="F42" s="43">
        <f t="shared" ref="F42:U42" si="25">F37/$C42</f>
        <v>376.87503686382962</v>
      </c>
      <c r="G42" s="43">
        <f t="shared" si="25"/>
        <v>327.64366425352546</v>
      </c>
      <c r="H42" s="43">
        <f t="shared" si="25"/>
        <v>329.24651171561572</v>
      </c>
      <c r="I42" s="43">
        <f t="shared" si="25"/>
        <v>300.31565626657687</v>
      </c>
      <c r="J42" s="43">
        <f t="shared" si="25"/>
        <v>348.68403705236506</v>
      </c>
      <c r="K42" s="43">
        <f t="shared" si="25"/>
        <v>398.97828043345555</v>
      </c>
      <c r="L42" s="43">
        <f t="shared" si="25"/>
        <v>281.6624929263329</v>
      </c>
      <c r="M42" s="43">
        <f t="shared" si="25"/>
        <v>187.83314517903068</v>
      </c>
      <c r="N42" s="43">
        <f t="shared" si="25"/>
        <v>280.25937945531967</v>
      </c>
      <c r="O42" s="43">
        <f t="shared" si="25"/>
        <v>332.89730003416622</v>
      </c>
      <c r="P42" s="43">
        <f t="shared" si="25"/>
        <v>396.83152528965707</v>
      </c>
      <c r="Q42" s="43">
        <f t="shared" si="25"/>
        <v>442.7854398208371</v>
      </c>
      <c r="R42" s="43">
        <f t="shared" si="25"/>
        <v>450.02516461083087</v>
      </c>
      <c r="S42" s="43">
        <f t="shared" si="25"/>
        <v>486.9326591059833</v>
      </c>
      <c r="T42" s="43">
        <f t="shared" si="25"/>
        <v>524.96764588927169</v>
      </c>
      <c r="U42" s="43">
        <f t="shared" si="25"/>
        <v>505.66162697155579</v>
      </c>
      <c r="V42" s="43">
        <f t="shared" ref="V42:AR42" si="26">V37/$C42</f>
        <v>242.92766619627332</v>
      </c>
      <c r="W42" s="43">
        <f t="shared" si="26"/>
        <v>150.53452105852043</v>
      </c>
      <c r="X42" s="43">
        <f t="shared" si="26"/>
        <v>143.49013295243253</v>
      </c>
      <c r="Y42" s="43">
        <f t="shared" si="26"/>
        <v>137.00934213539779</v>
      </c>
      <c r="Z42" s="43">
        <f t="shared" si="26"/>
        <v>134.19907652944005</v>
      </c>
      <c r="AA42" s="43">
        <f t="shared" si="26"/>
        <v>127.02146435180312</v>
      </c>
      <c r="AB42" s="43">
        <f t="shared" si="26"/>
        <v>220.12641322214222</v>
      </c>
      <c r="AC42" s="43">
        <f t="shared" si="26"/>
        <v>102.24089919600206</v>
      </c>
      <c r="AD42" s="43">
        <f t="shared" si="26"/>
        <v>99.913222813713645</v>
      </c>
      <c r="AE42" s="43">
        <f t="shared" si="26"/>
        <v>97.659226196442887</v>
      </c>
      <c r="AF42" s="43">
        <f t="shared" si="26"/>
        <v>95.6344990606203</v>
      </c>
      <c r="AG42" s="43">
        <f t="shared" si="26"/>
        <v>93.630870079283881</v>
      </c>
      <c r="AH42" s="43">
        <f t="shared" si="26"/>
        <v>91.743415960988244</v>
      </c>
      <c r="AI42" s="43">
        <f t="shared" si="26"/>
        <v>89.846542433056555</v>
      </c>
      <c r="AJ42" s="43">
        <f t="shared" si="26"/>
        <v>87.953953731561199</v>
      </c>
      <c r="AK42" s="43">
        <f t="shared" si="26"/>
        <v>86.157475531974356</v>
      </c>
      <c r="AL42" s="43">
        <f t="shared" si="26"/>
        <v>84.363406232788947</v>
      </c>
      <c r="AM42" s="43">
        <f t="shared" si="26"/>
        <v>82.807279988793084</v>
      </c>
      <c r="AN42" s="43">
        <f t="shared" si="26"/>
        <v>81.192901203767633</v>
      </c>
      <c r="AO42" s="43">
        <f t="shared" si="26"/>
        <v>79.641989406720171</v>
      </c>
      <c r="AP42" s="43">
        <f t="shared" si="26"/>
        <v>78.158646558411974</v>
      </c>
      <c r="AQ42" s="43">
        <f t="shared" si="26"/>
        <v>76.740866668839658</v>
      </c>
      <c r="AR42" s="43">
        <f t="shared" si="26"/>
        <v>75.364651943371143</v>
      </c>
    </row>
    <row r="43" spans="1:44">
      <c r="A43" s="29" t="s">
        <v>133</v>
      </c>
      <c r="C43" s="33">
        <f t="shared" ref="C43:C45" si="27">+C16</f>
        <v>15</v>
      </c>
      <c r="E43" s="43">
        <f t="shared" ref="E43:U43" si="28">E38/$C43</f>
        <v>38.4655956683523</v>
      </c>
      <c r="F43" s="43">
        <f t="shared" si="28"/>
        <v>71.95035484652098</v>
      </c>
      <c r="G43" s="43">
        <f t="shared" si="28"/>
        <v>152.51194638312438</v>
      </c>
      <c r="H43" s="43">
        <f t="shared" si="28"/>
        <v>78.036308810429503</v>
      </c>
      <c r="I43" s="43">
        <f t="shared" si="28"/>
        <v>83.803859006648679</v>
      </c>
      <c r="J43" s="43">
        <f t="shared" si="28"/>
        <v>108.75157218498404</v>
      </c>
      <c r="K43" s="43">
        <f t="shared" si="28"/>
        <v>118.16706593391086</v>
      </c>
      <c r="L43" s="43">
        <f t="shared" si="28"/>
        <v>100.06837408366451</v>
      </c>
      <c r="M43" s="43">
        <f t="shared" si="28"/>
        <v>85.88469876692831</v>
      </c>
      <c r="N43" s="43">
        <f t="shared" si="28"/>
        <v>79.66867248307237</v>
      </c>
      <c r="O43" s="43">
        <f t="shared" si="28"/>
        <v>84.483330861953419</v>
      </c>
      <c r="P43" s="43">
        <f t="shared" si="28"/>
        <v>100.71059979100457</v>
      </c>
      <c r="Q43" s="43">
        <f t="shared" si="28"/>
        <v>104.47941512443948</v>
      </c>
      <c r="R43" s="43">
        <f t="shared" si="28"/>
        <v>123.75414284896819</v>
      </c>
      <c r="S43" s="43">
        <f t="shared" si="28"/>
        <v>120.82229276143796</v>
      </c>
      <c r="T43" s="43">
        <f t="shared" si="28"/>
        <v>118.37936135495782</v>
      </c>
      <c r="U43" s="43">
        <f t="shared" si="28"/>
        <v>117.59407730356274</v>
      </c>
      <c r="V43" s="43">
        <f t="shared" ref="V43:AR43" si="29">V38/$C43</f>
        <v>111.60850081148165</v>
      </c>
      <c r="W43" s="43">
        <f t="shared" si="29"/>
        <v>102.02291065293574</v>
      </c>
      <c r="X43" s="43">
        <f t="shared" si="29"/>
        <v>100.69231095606337</v>
      </c>
      <c r="Y43" s="43">
        <f t="shared" si="29"/>
        <v>107.4586073974808</v>
      </c>
      <c r="Z43" s="43">
        <f t="shared" si="29"/>
        <v>118.64245125302622</v>
      </c>
      <c r="AA43" s="43">
        <f t="shared" si="29"/>
        <v>129.55888933414425</v>
      </c>
      <c r="AB43" s="43">
        <f t="shared" si="29"/>
        <v>119.19757431268431</v>
      </c>
      <c r="AC43" s="43">
        <f t="shared" si="29"/>
        <v>123.62865600908466</v>
      </c>
      <c r="AD43" s="43">
        <f t="shared" si="29"/>
        <v>139.4063181188107</v>
      </c>
      <c r="AE43" s="43">
        <f t="shared" si="29"/>
        <v>148.7916352110106</v>
      </c>
      <c r="AF43" s="43">
        <f t="shared" si="29"/>
        <v>142.98527988629593</v>
      </c>
      <c r="AG43" s="43">
        <f t="shared" si="29"/>
        <v>142.33006711244931</v>
      </c>
      <c r="AH43" s="43">
        <f t="shared" si="29"/>
        <v>136.91269894998223</v>
      </c>
      <c r="AI43" s="43">
        <f t="shared" si="29"/>
        <v>140.37319330482302</v>
      </c>
      <c r="AJ43" s="43">
        <f t="shared" si="29"/>
        <v>150.55401177335474</v>
      </c>
      <c r="AK43" s="43">
        <f t="shared" si="29"/>
        <v>154.42565767888328</v>
      </c>
      <c r="AL43" s="43">
        <f t="shared" si="29"/>
        <v>168.39974379819142</v>
      </c>
      <c r="AM43" s="43">
        <f t="shared" si="29"/>
        <v>155.85336068041838</v>
      </c>
      <c r="AN43" s="43">
        <f t="shared" si="29"/>
        <v>157.82058875429806</v>
      </c>
      <c r="AO43" s="43">
        <f t="shared" si="29"/>
        <v>160.73308845344485</v>
      </c>
      <c r="AP43" s="43">
        <f t="shared" si="29"/>
        <v>160.22152868776135</v>
      </c>
      <c r="AQ43" s="43">
        <f t="shared" si="29"/>
        <v>156.3683370529169</v>
      </c>
      <c r="AR43" s="43">
        <f t="shared" si="29"/>
        <v>152.3252685923849</v>
      </c>
    </row>
    <row r="44" spans="1:44">
      <c r="A44" s="29" t="s">
        <v>134</v>
      </c>
      <c r="C44" s="33">
        <f t="shared" si="27"/>
        <v>5</v>
      </c>
      <c r="E44" s="43">
        <f>E39/$C44</f>
        <v>98.623954074049692</v>
      </c>
      <c r="F44" s="43">
        <f>F39/$C44</f>
        <v>17.200720974384357</v>
      </c>
      <c r="G44" s="43">
        <f>G39/$C44</f>
        <v>188.94624017558476</v>
      </c>
      <c r="H44" s="43">
        <f>H39/$C44</f>
        <v>14.009470382780131</v>
      </c>
      <c r="I44" s="43">
        <f>I39/$C44</f>
        <v>13.869375678952329</v>
      </c>
      <c r="J44" s="43">
        <f t="shared" ref="J44:U44" si="30">J39/$C44</f>
        <v>-37.745133237891878</v>
      </c>
      <c r="K44" s="43">
        <f t="shared" si="30"/>
        <v>13.593375102941177</v>
      </c>
      <c r="L44" s="43">
        <f t="shared" si="30"/>
        <v>13.457441351911765</v>
      </c>
      <c r="M44" s="43">
        <f t="shared" si="30"/>
        <v>35.921535763493424</v>
      </c>
      <c r="N44" s="43">
        <f t="shared" si="30"/>
        <v>11.794283298640504</v>
      </c>
      <c r="O44" s="43">
        <f t="shared" si="30"/>
        <v>7.7792081331458665</v>
      </c>
      <c r="P44" s="43">
        <f t="shared" si="30"/>
        <v>137.64406545533731</v>
      </c>
      <c r="Q44" s="43">
        <f t="shared" si="30"/>
        <v>30.162956323665924</v>
      </c>
      <c r="R44" s="43">
        <f t="shared" si="30"/>
        <v>29.632944845371611</v>
      </c>
      <c r="S44" s="43">
        <f t="shared" si="30"/>
        <v>29.43927346458447</v>
      </c>
      <c r="T44" s="43">
        <f t="shared" si="30"/>
        <v>27.034756605786832</v>
      </c>
      <c r="U44" s="43">
        <f t="shared" si="30"/>
        <v>26.858066146286149</v>
      </c>
      <c r="V44" s="43">
        <f t="shared" ref="V44:AR44" si="31">V39/$C44</f>
        <v>93.968028000000004</v>
      </c>
      <c r="W44" s="43">
        <f t="shared" si="31"/>
        <v>42.148272599999999</v>
      </c>
      <c r="X44" s="43">
        <f t="shared" si="31"/>
        <v>43.5165012</v>
      </c>
      <c r="Y44" s="43">
        <f t="shared" si="31"/>
        <v>23.276568000000001</v>
      </c>
      <c r="Z44" s="43">
        <f t="shared" si="31"/>
        <v>18.1598796</v>
      </c>
      <c r="AA44" s="43">
        <f t="shared" si="31"/>
        <v>16.489351199999998</v>
      </c>
      <c r="AB44" s="43">
        <f t="shared" si="31"/>
        <v>31.522021005092377</v>
      </c>
      <c r="AC44" s="43">
        <f t="shared" si="31"/>
        <v>31.522021005092377</v>
      </c>
      <c r="AD44" s="43">
        <f t="shared" si="31"/>
        <v>31.522021005092377</v>
      </c>
      <c r="AE44" s="43">
        <f t="shared" si="31"/>
        <v>31.522021005092377</v>
      </c>
      <c r="AF44" s="43">
        <f t="shared" si="31"/>
        <v>31.522021005092377</v>
      </c>
      <c r="AG44" s="43">
        <f t="shared" si="31"/>
        <v>31.522021005092377</v>
      </c>
      <c r="AH44" s="43">
        <f t="shared" si="31"/>
        <v>31.522021005092377</v>
      </c>
      <c r="AI44" s="43">
        <f t="shared" si="31"/>
        <v>31.522021005092377</v>
      </c>
      <c r="AJ44" s="43">
        <f t="shared" si="31"/>
        <v>31.522021005092377</v>
      </c>
      <c r="AK44" s="43">
        <f t="shared" si="31"/>
        <v>31.522021005092377</v>
      </c>
      <c r="AL44" s="43">
        <f t="shared" si="31"/>
        <v>31.522021005092377</v>
      </c>
      <c r="AM44" s="43">
        <f t="shared" si="31"/>
        <v>31.522021005092377</v>
      </c>
      <c r="AN44" s="43">
        <f t="shared" si="31"/>
        <v>31.522021005092377</v>
      </c>
      <c r="AO44" s="43">
        <f t="shared" si="31"/>
        <v>31.522021005092377</v>
      </c>
      <c r="AP44" s="43">
        <f t="shared" si="31"/>
        <v>31.522021005092377</v>
      </c>
      <c r="AQ44" s="43">
        <f t="shared" si="31"/>
        <v>31.522021005092377</v>
      </c>
      <c r="AR44" s="43">
        <f t="shared" si="31"/>
        <v>31.522021005092377</v>
      </c>
    </row>
    <row r="45" spans="1:44">
      <c r="A45" s="29" t="s">
        <v>182</v>
      </c>
      <c r="C45" s="33">
        <f t="shared" si="27"/>
        <v>33</v>
      </c>
      <c r="E45" s="43">
        <f t="shared" ref="E45:U45" si="32">(E33+E34)/$C$45</f>
        <v>0</v>
      </c>
      <c r="F45" s="43">
        <f t="shared" si="32"/>
        <v>0</v>
      </c>
      <c r="G45" s="43">
        <f t="shared" si="32"/>
        <v>0</v>
      </c>
      <c r="H45" s="43">
        <f t="shared" si="32"/>
        <v>0</v>
      </c>
      <c r="I45" s="43">
        <f t="shared" si="32"/>
        <v>0</v>
      </c>
      <c r="J45" s="43">
        <f t="shared" si="32"/>
        <v>0</v>
      </c>
      <c r="K45" s="43">
        <f t="shared" si="32"/>
        <v>0</v>
      </c>
      <c r="L45" s="43">
        <f t="shared" si="32"/>
        <v>0</v>
      </c>
      <c r="M45" s="43">
        <f t="shared" si="32"/>
        <v>121.37762426295757</v>
      </c>
      <c r="N45" s="43">
        <f t="shared" si="32"/>
        <v>44.373207910691626</v>
      </c>
      <c r="O45" s="43">
        <f t="shared" si="32"/>
        <v>-62.814531817377784</v>
      </c>
      <c r="P45" s="43">
        <f t="shared" si="32"/>
        <v>-106.05796485162614</v>
      </c>
      <c r="Q45" s="43">
        <f t="shared" si="32"/>
        <v>-55.384024577878925</v>
      </c>
      <c r="R45" s="43">
        <f t="shared" si="32"/>
        <v>-71.303215936842236</v>
      </c>
      <c r="S45" s="43">
        <f t="shared" si="32"/>
        <v>-82.716132479478659</v>
      </c>
      <c r="T45" s="43">
        <f t="shared" si="32"/>
        <v>3.5119555071430555</v>
      </c>
      <c r="U45" s="43">
        <f t="shared" si="32"/>
        <v>141.05817153509935</v>
      </c>
      <c r="V45" s="43">
        <f t="shared" ref="V45:AR45" si="33">(V33+V34)/$C$45</f>
        <v>0</v>
      </c>
      <c r="W45" s="43">
        <f t="shared" si="33"/>
        <v>0</v>
      </c>
      <c r="X45" s="43">
        <f t="shared" si="33"/>
        <v>0</v>
      </c>
      <c r="Y45" s="43">
        <f t="shared" si="33"/>
        <v>0</v>
      </c>
      <c r="Z45" s="43">
        <f t="shared" si="33"/>
        <v>0</v>
      </c>
      <c r="AA45" s="43">
        <f t="shared" si="33"/>
        <v>0</v>
      </c>
      <c r="AB45" s="43">
        <f t="shared" si="33"/>
        <v>0</v>
      </c>
      <c r="AC45" s="43">
        <f t="shared" si="33"/>
        <v>0</v>
      </c>
      <c r="AD45" s="43">
        <f t="shared" si="33"/>
        <v>0</v>
      </c>
      <c r="AE45" s="43">
        <f t="shared" si="33"/>
        <v>0</v>
      </c>
      <c r="AF45" s="43">
        <f t="shared" si="33"/>
        <v>0</v>
      </c>
      <c r="AG45" s="43">
        <f t="shared" si="33"/>
        <v>0</v>
      </c>
      <c r="AH45" s="43">
        <f t="shared" si="33"/>
        <v>0</v>
      </c>
      <c r="AI45" s="43">
        <f t="shared" si="33"/>
        <v>0</v>
      </c>
      <c r="AJ45" s="43">
        <f t="shared" si="33"/>
        <v>0</v>
      </c>
      <c r="AK45" s="43">
        <f t="shared" si="33"/>
        <v>0</v>
      </c>
      <c r="AL45" s="43">
        <f t="shared" si="33"/>
        <v>0</v>
      </c>
      <c r="AM45" s="43">
        <f t="shared" si="33"/>
        <v>0</v>
      </c>
      <c r="AN45" s="43">
        <f t="shared" si="33"/>
        <v>0</v>
      </c>
      <c r="AO45" s="43">
        <f t="shared" si="33"/>
        <v>0</v>
      </c>
      <c r="AP45" s="43">
        <f t="shared" si="33"/>
        <v>0</v>
      </c>
      <c r="AQ45" s="43">
        <f t="shared" si="33"/>
        <v>0</v>
      </c>
      <c r="AR45" s="43">
        <f t="shared" si="33"/>
        <v>0</v>
      </c>
    </row>
    <row r="46" spans="1:44">
      <c r="A46" s="27"/>
      <c r="E46" s="208">
        <f>+E19*Inputs!$S$32</f>
        <v>421.13320400375142</v>
      </c>
      <c r="F46" s="208">
        <f>+F19*Inputs!$S$32</f>
        <v>466.02611268473498</v>
      </c>
      <c r="G46" s="208">
        <f>+G19*Inputs!$S$32</f>
        <v>669.1018508122346</v>
      </c>
      <c r="H46" s="208">
        <f>+H19*Inputs!$S$32</f>
        <v>421.29229090882535</v>
      </c>
      <c r="I46" s="208">
        <f>+I19*Inputs!$S$32</f>
        <v>397.98889095217788</v>
      </c>
      <c r="J46" s="208">
        <f>+J19*Inputs!$S$32</f>
        <v>419.69047599945719</v>
      </c>
      <c r="K46" s="208">
        <f>+K19*Inputs!$S$32</f>
        <v>530.73872147030761</v>
      </c>
      <c r="L46" s="208">
        <f>+L19*Inputs!$S$32</f>
        <v>395.18830836190921</v>
      </c>
      <c r="M46" s="208">
        <f>+M19*Inputs!$S$32</f>
        <v>431.01700397240995</v>
      </c>
      <c r="N46" s="208">
        <f>+N19*Inputs!$S$32</f>
        <v>416.09554314772419</v>
      </c>
      <c r="O46" s="208">
        <f>+O19*Inputs!$S$32</f>
        <v>362.3453072118877</v>
      </c>
      <c r="P46" s="208">
        <f>+P19*Inputs!$S$32</f>
        <v>529.12822568437286</v>
      </c>
      <c r="Q46" s="208">
        <f>+Q19*Inputs!$S$32</f>
        <v>522.04378669106359</v>
      </c>
      <c r="R46" s="208">
        <f>+R19*Inputs!$S$32</f>
        <v>532.10903636832825</v>
      </c>
      <c r="S46" s="208">
        <f>+S19*Inputs!$S$32</f>
        <v>554.47809285252708</v>
      </c>
      <c r="T46" s="208">
        <f>+T19*Inputs!$S$32</f>
        <v>673.8937193571594</v>
      </c>
      <c r="U46" s="208">
        <f>+U19*Inputs!$S$32</f>
        <v>791.17194195650404</v>
      </c>
      <c r="V46" s="208">
        <f t="shared" ref="V46:AR46" si="34">SUM(V42:V45)</f>
        <v>448.50419500775496</v>
      </c>
      <c r="W46" s="208">
        <f t="shared" si="34"/>
        <v>294.70570431145615</v>
      </c>
      <c r="X46" s="208">
        <f t="shared" si="34"/>
        <v>287.69894510849588</v>
      </c>
      <c r="Y46" s="208">
        <f t="shared" si="34"/>
        <v>267.7445175328786</v>
      </c>
      <c r="Z46" s="208">
        <f t="shared" si="34"/>
        <v>271.00140738246625</v>
      </c>
      <c r="AA46" s="208">
        <f t="shared" si="34"/>
        <v>273.06970488594737</v>
      </c>
      <c r="AB46" s="208">
        <f t="shared" si="34"/>
        <v>370.8460085399189</v>
      </c>
      <c r="AC46" s="208">
        <f t="shared" si="34"/>
        <v>257.3915762101791</v>
      </c>
      <c r="AD46" s="208">
        <f t="shared" si="34"/>
        <v>270.84156193761675</v>
      </c>
      <c r="AE46" s="208">
        <f t="shared" si="34"/>
        <v>277.97288241254586</v>
      </c>
      <c r="AF46" s="208">
        <f t="shared" si="34"/>
        <v>270.14179995200863</v>
      </c>
      <c r="AG46" s="208">
        <f t="shared" si="34"/>
        <v>267.48295819682556</v>
      </c>
      <c r="AH46" s="208">
        <f t="shared" si="34"/>
        <v>260.17813591606284</v>
      </c>
      <c r="AI46" s="208">
        <f t="shared" si="34"/>
        <v>261.74175674297197</v>
      </c>
      <c r="AJ46" s="208">
        <f t="shared" si="34"/>
        <v>270.02998651000831</v>
      </c>
      <c r="AK46" s="208">
        <f t="shared" si="34"/>
        <v>272.10515421594999</v>
      </c>
      <c r="AL46" s="208">
        <f t="shared" si="34"/>
        <v>284.28517103607277</v>
      </c>
      <c r="AM46" s="208">
        <f t="shared" si="34"/>
        <v>270.18266167430386</v>
      </c>
      <c r="AN46" s="208">
        <f t="shared" si="34"/>
        <v>270.53551096315806</v>
      </c>
      <c r="AO46" s="208">
        <f t="shared" si="34"/>
        <v>271.89709886525742</v>
      </c>
      <c r="AP46" s="208">
        <f t="shared" si="34"/>
        <v>269.90219625126571</v>
      </c>
      <c r="AQ46" s="208">
        <f t="shared" si="34"/>
        <v>264.63122472684893</v>
      </c>
      <c r="AR46" s="208">
        <f t="shared" si="34"/>
        <v>259.21194154084844</v>
      </c>
    </row>
    <row r="47" spans="1:44">
      <c r="A47" s="37"/>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row>
    <row r="48" spans="1:44">
      <c r="A48" s="27" t="s">
        <v>138</v>
      </c>
      <c r="C48" s="33">
        <f t="shared" ref="C48" si="35">+C21</f>
        <v>40</v>
      </c>
      <c r="E48" s="43">
        <f>$E$32/$C$21</f>
        <v>68.253098848365724</v>
      </c>
      <c r="F48" s="43">
        <f t="shared" ref="F48:AR48" si="36">$E$32/$C$21</f>
        <v>68.253098848365724</v>
      </c>
      <c r="G48" s="43">
        <f t="shared" si="36"/>
        <v>68.253098848365724</v>
      </c>
      <c r="H48" s="43">
        <f t="shared" si="36"/>
        <v>68.253098848365724</v>
      </c>
      <c r="I48" s="43">
        <f t="shared" si="36"/>
        <v>68.253098848365724</v>
      </c>
      <c r="J48" s="43">
        <f t="shared" si="36"/>
        <v>68.253098848365724</v>
      </c>
      <c r="K48" s="43">
        <f t="shared" si="36"/>
        <v>68.253098848365724</v>
      </c>
      <c r="L48" s="43">
        <f t="shared" si="36"/>
        <v>68.253098848365724</v>
      </c>
      <c r="M48" s="43">
        <f t="shared" si="36"/>
        <v>68.253098848365724</v>
      </c>
      <c r="N48" s="43">
        <f t="shared" si="36"/>
        <v>68.253098848365724</v>
      </c>
      <c r="O48" s="43">
        <f t="shared" si="36"/>
        <v>68.253098848365724</v>
      </c>
      <c r="P48" s="43">
        <f t="shared" si="36"/>
        <v>68.253098848365724</v>
      </c>
      <c r="Q48" s="43">
        <f t="shared" si="36"/>
        <v>68.253098848365724</v>
      </c>
      <c r="R48" s="43">
        <f t="shared" si="36"/>
        <v>68.253098848365724</v>
      </c>
      <c r="S48" s="43">
        <f t="shared" si="36"/>
        <v>68.253098848365724</v>
      </c>
      <c r="T48" s="43">
        <f t="shared" si="36"/>
        <v>68.253098848365724</v>
      </c>
      <c r="U48" s="43">
        <f t="shared" si="36"/>
        <v>68.253098848365724</v>
      </c>
      <c r="V48" s="43">
        <f t="shared" si="36"/>
        <v>68.253098848365724</v>
      </c>
      <c r="W48" s="43">
        <f t="shared" si="36"/>
        <v>68.253098848365724</v>
      </c>
      <c r="X48" s="43">
        <f t="shared" si="36"/>
        <v>68.253098848365724</v>
      </c>
      <c r="Y48" s="43">
        <f t="shared" si="36"/>
        <v>68.253098848365724</v>
      </c>
      <c r="Z48" s="43">
        <f t="shared" si="36"/>
        <v>68.253098848365724</v>
      </c>
      <c r="AA48" s="43">
        <f t="shared" si="36"/>
        <v>68.253098848365724</v>
      </c>
      <c r="AB48" s="43">
        <f t="shared" si="36"/>
        <v>68.253098848365724</v>
      </c>
      <c r="AC48" s="43">
        <f t="shared" si="36"/>
        <v>68.253098848365724</v>
      </c>
      <c r="AD48" s="43">
        <f t="shared" si="36"/>
        <v>68.253098848365724</v>
      </c>
      <c r="AE48" s="43">
        <f t="shared" si="36"/>
        <v>68.253098848365724</v>
      </c>
      <c r="AF48" s="43">
        <f t="shared" si="36"/>
        <v>68.253098848365724</v>
      </c>
      <c r="AG48" s="43">
        <f t="shared" si="36"/>
        <v>68.253098848365724</v>
      </c>
      <c r="AH48" s="43">
        <f t="shared" si="36"/>
        <v>68.253098848365724</v>
      </c>
      <c r="AI48" s="43">
        <f t="shared" si="36"/>
        <v>68.253098848365724</v>
      </c>
      <c r="AJ48" s="43">
        <f t="shared" si="36"/>
        <v>68.253098848365724</v>
      </c>
      <c r="AK48" s="43">
        <f t="shared" si="36"/>
        <v>68.253098848365724</v>
      </c>
      <c r="AL48" s="43">
        <f t="shared" si="36"/>
        <v>68.253098848365724</v>
      </c>
      <c r="AM48" s="43">
        <f t="shared" si="36"/>
        <v>68.253098848365724</v>
      </c>
      <c r="AN48" s="43">
        <f t="shared" si="36"/>
        <v>68.253098848365724</v>
      </c>
      <c r="AO48" s="43">
        <f t="shared" si="36"/>
        <v>68.253098848365724</v>
      </c>
      <c r="AP48" s="43">
        <f t="shared" si="36"/>
        <v>68.253098848365724</v>
      </c>
      <c r="AQ48" s="43">
        <f t="shared" si="36"/>
        <v>68.253098848365724</v>
      </c>
      <c r="AR48" s="43">
        <f t="shared" si="36"/>
        <v>68.253098848365724</v>
      </c>
    </row>
    <row r="49" spans="1:44">
      <c r="A49" s="29" t="s">
        <v>135</v>
      </c>
      <c r="E49" s="186">
        <f>E42</f>
        <v>284.04365426134939</v>
      </c>
      <c r="F49" s="186">
        <f>SUM($E$42:F$42)</f>
        <v>660.91869112517907</v>
      </c>
      <c r="G49" s="186">
        <f>SUM($E$42:G$42)</f>
        <v>988.56235537870452</v>
      </c>
      <c r="H49" s="186">
        <f>SUM($E$42:H$42)</f>
        <v>1317.8088670943202</v>
      </c>
      <c r="I49" s="186">
        <f>SUM($E$42:I$42)</f>
        <v>1618.124523360897</v>
      </c>
      <c r="J49" s="186">
        <f>SUM($E$42:J$42)</f>
        <v>1966.8085604132621</v>
      </c>
      <c r="K49" s="186">
        <f>SUM($E$42:K$42)</f>
        <v>2365.7868408467175</v>
      </c>
      <c r="L49" s="186">
        <f>SUM($E$42:L$42)</f>
        <v>2647.4493337730505</v>
      </c>
      <c r="M49" s="186">
        <f>SUM($E$42:M$42)</f>
        <v>2835.282478952081</v>
      </c>
      <c r="N49" s="186">
        <f>SUM($E$42:N$42)</f>
        <v>3115.5418584074005</v>
      </c>
      <c r="O49" s="186">
        <f>SUM($E$42:O$42)</f>
        <v>3448.4391584415666</v>
      </c>
      <c r="P49" s="186">
        <f>SUM($E$42:P$42)</f>
        <v>3845.2706837312235</v>
      </c>
      <c r="Q49" s="186">
        <f>SUM($E$42:Q$42)</f>
        <v>4288.0561235520609</v>
      </c>
      <c r="R49" s="186">
        <f>SUM($E$42:R$42)</f>
        <v>4738.0812881628917</v>
      </c>
      <c r="S49" s="186">
        <f>SUM($E$42:S$42)</f>
        <v>5225.0139472688752</v>
      </c>
      <c r="T49" s="186">
        <f>SUM($E$42:T$42)</f>
        <v>5749.981593158147</v>
      </c>
      <c r="U49" s="186">
        <f>SUM($E$42:U$42)</f>
        <v>6255.643220129703</v>
      </c>
      <c r="V49" s="186">
        <f>SUM($E$42:V$42)</f>
        <v>6498.5708863259761</v>
      </c>
      <c r="W49" s="186">
        <f>SUM($E$42:W$42)</f>
        <v>6649.1054073844962</v>
      </c>
      <c r="X49" s="186">
        <f>SUM($E$42:X$42)</f>
        <v>6792.5955403369289</v>
      </c>
      <c r="Y49" s="186">
        <f>SUM($E$42:Y$42)</f>
        <v>6929.6048824723266</v>
      </c>
      <c r="Z49" s="186">
        <f>SUM($E$42:Z$42)</f>
        <v>7063.803959001767</v>
      </c>
      <c r="AA49" s="186">
        <f>SUM($E$42:AA$42)</f>
        <v>7190.8254233535699</v>
      </c>
      <c r="AB49" s="186">
        <f>SUM($E$42:AB$42)</f>
        <v>7410.9518365757122</v>
      </c>
      <c r="AC49" s="186">
        <f>SUM($E$42:AC$42)</f>
        <v>7513.1927357717141</v>
      </c>
      <c r="AD49" s="186">
        <f>SUM($E$42:AD$42)</f>
        <v>7613.1059585854273</v>
      </c>
      <c r="AE49" s="186">
        <f>SUM($E$42:AE$42)</f>
        <v>7710.7651847818706</v>
      </c>
      <c r="AF49" s="186">
        <f>SUM($E$42:AF$42)</f>
        <v>7806.399683842491</v>
      </c>
      <c r="AG49" s="186">
        <f>SUM($E$42:AG$42)</f>
        <v>7900.0305539217752</v>
      </c>
      <c r="AH49" s="186">
        <f>SUM($E$42:AH$42)</f>
        <v>7991.7739698827636</v>
      </c>
      <c r="AI49" s="186">
        <f>SUM($E$42:AI$42)</f>
        <v>8081.6205123158197</v>
      </c>
      <c r="AJ49" s="186">
        <f>SUM($E$42:AJ$42)</f>
        <v>8169.5744660473811</v>
      </c>
      <c r="AK49" s="186">
        <f>SUM($E$42:AK$42)</f>
        <v>8255.7319415793554</v>
      </c>
      <c r="AL49" s="186">
        <f>SUM($E$42:AL$42)</f>
        <v>8340.0953478121446</v>
      </c>
      <c r="AM49" s="186">
        <f>SUM($E$42:AM$42)</f>
        <v>8422.9026278009369</v>
      </c>
      <c r="AN49" s="186">
        <f>SUM($E$42:AN$42)</f>
        <v>8504.0955290047041</v>
      </c>
      <c r="AO49" s="186">
        <f>SUM($E$42:AO$42)</f>
        <v>8583.7375184114244</v>
      </c>
      <c r="AP49" s="186">
        <f>SUM($E$42:AP$42)</f>
        <v>8661.8961649698358</v>
      </c>
      <c r="AQ49" s="186">
        <f>SUM($E$42:AQ$42)</f>
        <v>8738.6370316386747</v>
      </c>
      <c r="AR49" s="186">
        <f>SUM($E$42:AR$42)</f>
        <v>8814.0016835820461</v>
      </c>
    </row>
    <row r="50" spans="1:44">
      <c r="A50" s="29" t="s">
        <v>136</v>
      </c>
      <c r="E50" s="186">
        <f>E43</f>
        <v>38.4655956683523</v>
      </c>
      <c r="F50" s="186">
        <f>SUM($E$43:F$43)</f>
        <v>110.41595051487329</v>
      </c>
      <c r="G50" s="186">
        <f>SUM($E$43:G$43)</f>
        <v>262.9278968979977</v>
      </c>
      <c r="H50" s="186">
        <f>SUM($E$43:H$43)</f>
        <v>340.96420570842719</v>
      </c>
      <c r="I50" s="186">
        <f>SUM($E$43:I$43)</f>
        <v>424.76806471507587</v>
      </c>
      <c r="J50" s="186">
        <f>SUM($E$43:J$43)</f>
        <v>533.51963690005994</v>
      </c>
      <c r="K50" s="186">
        <f>SUM($E$43:K$43)</f>
        <v>651.6867028339708</v>
      </c>
      <c r="L50" s="186">
        <f>SUM($E$43:L$43)</f>
        <v>751.75507691763528</v>
      </c>
      <c r="M50" s="186">
        <f>SUM($E$43:M$43)</f>
        <v>837.63977568456357</v>
      </c>
      <c r="N50" s="186">
        <f>SUM($E$43:N$43)</f>
        <v>917.3084481676359</v>
      </c>
      <c r="O50" s="186">
        <f>SUM($E$43:O$43)</f>
        <v>1001.7917790295893</v>
      </c>
      <c r="P50" s="186">
        <f>SUM($E$43:P$43)</f>
        <v>1102.5023788205938</v>
      </c>
      <c r="Q50" s="186">
        <f>SUM($E$43:Q$43)</f>
        <v>1206.9817939450334</v>
      </c>
      <c r="R50" s="186">
        <f>SUM($E$43:R$43)</f>
        <v>1330.7359367940016</v>
      </c>
      <c r="S50" s="186">
        <f>SUM($E$43:S$43)</f>
        <v>1451.5582295554395</v>
      </c>
      <c r="T50" s="186">
        <f t="shared" ref="T50:AR50" si="37">SUM(F$43:T$43)</f>
        <v>1531.4719952420451</v>
      </c>
      <c r="U50" s="186">
        <f t="shared" si="37"/>
        <v>1577.1157176990869</v>
      </c>
      <c r="V50" s="186">
        <f t="shared" si="37"/>
        <v>1536.2122721274441</v>
      </c>
      <c r="W50" s="186">
        <f t="shared" si="37"/>
        <v>1560.1988739699502</v>
      </c>
      <c r="X50" s="186">
        <f t="shared" si="37"/>
        <v>1577.0873259193652</v>
      </c>
      <c r="Y50" s="186">
        <f t="shared" si="37"/>
        <v>1575.7943611318619</v>
      </c>
      <c r="Z50" s="186">
        <f t="shared" si="37"/>
        <v>1576.2697464509772</v>
      </c>
      <c r="AA50" s="186">
        <f t="shared" si="37"/>
        <v>1605.7602617014568</v>
      </c>
      <c r="AB50" s="186">
        <f t="shared" si="37"/>
        <v>1639.0731372472128</v>
      </c>
      <c r="AC50" s="186">
        <f t="shared" si="37"/>
        <v>1683.0331207732249</v>
      </c>
      <c r="AD50" s="186">
        <f t="shared" si="37"/>
        <v>1737.9561080300821</v>
      </c>
      <c r="AE50" s="186">
        <f t="shared" si="37"/>
        <v>1786.0371434500883</v>
      </c>
      <c r="AF50" s="186">
        <f t="shared" si="37"/>
        <v>1824.5430082119449</v>
      </c>
      <c r="AG50" s="186">
        <f t="shared" si="37"/>
        <v>1843.1189324754262</v>
      </c>
      <c r="AH50" s="186">
        <f t="shared" si="37"/>
        <v>1859.2093386639704</v>
      </c>
      <c r="AI50" s="186">
        <f t="shared" si="37"/>
        <v>1881.2031706138357</v>
      </c>
      <c r="AJ50" s="186">
        <f t="shared" si="37"/>
        <v>1914.1631050836277</v>
      </c>
      <c r="AK50" s="186">
        <f t="shared" si="37"/>
        <v>1956.9802619510292</v>
      </c>
      <c r="AL50" s="186">
        <f t="shared" si="37"/>
        <v>2023.3570950962849</v>
      </c>
      <c r="AM50" s="186">
        <f t="shared" si="37"/>
        <v>2078.5181448206399</v>
      </c>
      <c r="AN50" s="186">
        <f t="shared" si="37"/>
        <v>2128.880126177457</v>
      </c>
      <c r="AO50" s="186">
        <f t="shared" si="37"/>
        <v>2170.9707633778758</v>
      </c>
      <c r="AP50" s="186">
        <f t="shared" si="37"/>
        <v>2201.6334027314929</v>
      </c>
      <c r="AQ50" s="186">
        <f t="shared" si="37"/>
        <v>2238.8041654717254</v>
      </c>
      <c r="AR50" s="186">
        <f t="shared" si="37"/>
        <v>2267.5007780550254</v>
      </c>
    </row>
    <row r="51" spans="1:44">
      <c r="A51" s="29" t="s">
        <v>137</v>
      </c>
      <c r="E51" s="186">
        <f>E44</f>
        <v>98.623954074049692</v>
      </c>
      <c r="F51" s="186">
        <f>SUM($E$44:F$44)</f>
        <v>115.82467504843405</v>
      </c>
      <c r="G51" s="186">
        <f>SUM($E$44:G$44)</f>
        <v>304.77091522401884</v>
      </c>
      <c r="H51" s="186">
        <f>SUM($E$44:H$44)</f>
        <v>318.78038560679897</v>
      </c>
      <c r="I51" s="186">
        <f>SUM($E$44:I$44)</f>
        <v>332.64976128575131</v>
      </c>
      <c r="J51" s="186">
        <f>SUM(F$44:J$44)</f>
        <v>196.28067397380971</v>
      </c>
      <c r="K51" s="186">
        <f t="shared" ref="K51:AR51" si="38">SUM(G$44:K$44)</f>
        <v>192.67332810236653</v>
      </c>
      <c r="L51" s="186">
        <f t="shared" si="38"/>
        <v>17.184529278693525</v>
      </c>
      <c r="M51" s="186">
        <f t="shared" si="38"/>
        <v>39.096594659406819</v>
      </c>
      <c r="N51" s="186">
        <f t="shared" si="38"/>
        <v>37.021502279094989</v>
      </c>
      <c r="O51" s="186">
        <f t="shared" si="38"/>
        <v>82.545843650132738</v>
      </c>
      <c r="P51" s="186">
        <f t="shared" si="38"/>
        <v>206.59653400252887</v>
      </c>
      <c r="Q51" s="186">
        <f t="shared" si="38"/>
        <v>223.30204897428303</v>
      </c>
      <c r="R51" s="186">
        <f t="shared" si="38"/>
        <v>217.01345805616123</v>
      </c>
      <c r="S51" s="186">
        <f t="shared" si="38"/>
        <v>234.65844822210516</v>
      </c>
      <c r="T51" s="186">
        <f t="shared" si="38"/>
        <v>253.91399669474615</v>
      </c>
      <c r="U51" s="186">
        <f t="shared" si="38"/>
        <v>143.12799738569498</v>
      </c>
      <c r="V51" s="186">
        <f t="shared" si="38"/>
        <v>206.93306906202906</v>
      </c>
      <c r="W51" s="186">
        <f t="shared" si="38"/>
        <v>219.44839681665746</v>
      </c>
      <c r="X51" s="186">
        <f t="shared" si="38"/>
        <v>233.525624552073</v>
      </c>
      <c r="Y51" s="186">
        <f t="shared" si="38"/>
        <v>229.76743594628613</v>
      </c>
      <c r="Z51" s="186">
        <f t="shared" si="38"/>
        <v>221.06924939999999</v>
      </c>
      <c r="AA51" s="186">
        <f t="shared" si="38"/>
        <v>143.5905726</v>
      </c>
      <c r="AB51" s="186">
        <f t="shared" si="38"/>
        <v>132.96432100509239</v>
      </c>
      <c r="AC51" s="186">
        <f t="shared" si="38"/>
        <v>120.96984081018473</v>
      </c>
      <c r="AD51" s="186">
        <f t="shared" si="38"/>
        <v>129.21529381527711</v>
      </c>
      <c r="AE51" s="186">
        <f t="shared" si="38"/>
        <v>142.57743522036949</v>
      </c>
      <c r="AF51" s="186">
        <f t="shared" si="38"/>
        <v>157.61010502546188</v>
      </c>
      <c r="AG51" s="186">
        <f t="shared" si="38"/>
        <v>157.61010502546188</v>
      </c>
      <c r="AH51" s="186">
        <f t="shared" si="38"/>
        <v>157.61010502546188</v>
      </c>
      <c r="AI51" s="186">
        <f t="shared" si="38"/>
        <v>157.61010502546188</v>
      </c>
      <c r="AJ51" s="186">
        <f t="shared" si="38"/>
        <v>157.61010502546188</v>
      </c>
      <c r="AK51" s="186">
        <f t="shared" si="38"/>
        <v>157.61010502546188</v>
      </c>
      <c r="AL51" s="186">
        <f t="shared" si="38"/>
        <v>157.61010502546188</v>
      </c>
      <c r="AM51" s="186">
        <f t="shared" si="38"/>
        <v>157.61010502546188</v>
      </c>
      <c r="AN51" s="186">
        <f t="shared" si="38"/>
        <v>157.61010502546188</v>
      </c>
      <c r="AO51" s="186">
        <f t="shared" si="38"/>
        <v>157.61010502546188</v>
      </c>
      <c r="AP51" s="186">
        <f t="shared" si="38"/>
        <v>157.61010502546188</v>
      </c>
      <c r="AQ51" s="186">
        <f t="shared" si="38"/>
        <v>157.61010502546188</v>
      </c>
      <c r="AR51" s="186">
        <f t="shared" si="38"/>
        <v>157.61010502546188</v>
      </c>
    </row>
    <row r="52" spans="1:44">
      <c r="A52" s="29" t="s">
        <v>182</v>
      </c>
      <c r="E52" s="186"/>
      <c r="F52" s="186"/>
      <c r="G52" s="186"/>
      <c r="H52" s="186"/>
      <c r="I52" s="186"/>
      <c r="J52" s="186"/>
      <c r="K52" s="186"/>
      <c r="L52" s="186"/>
      <c r="M52" s="186">
        <f>SUM($M$45:M45)</f>
        <v>121.37762426295757</v>
      </c>
      <c r="N52" s="186">
        <f>SUM($M$45:N45)</f>
        <v>165.7508321736492</v>
      </c>
      <c r="O52" s="186">
        <f>SUM($M$45:O45)</f>
        <v>102.93630035627142</v>
      </c>
      <c r="P52" s="186">
        <f>SUM($M$45:P45)</f>
        <v>-3.1216644953547217</v>
      </c>
      <c r="Q52" s="186">
        <f>SUM($M$45:Q45)</f>
        <v>-58.505689073233647</v>
      </c>
      <c r="R52" s="186">
        <f>SUM($M$45:R45)</f>
        <v>-129.80890501007588</v>
      </c>
      <c r="S52" s="186">
        <f>SUM($M$45:S45)</f>
        <v>-212.52503748955453</v>
      </c>
      <c r="T52" s="186">
        <f>SUM($M$45:T45)</f>
        <v>-209.01308198241148</v>
      </c>
      <c r="U52" s="186">
        <f>SUM($M$45:U45)</f>
        <v>-67.95491044731213</v>
      </c>
      <c r="V52" s="186">
        <f>SUM($M$45:V45)</f>
        <v>-67.95491044731213</v>
      </c>
      <c r="W52" s="186">
        <f>SUM($M$45:W45)</f>
        <v>-67.95491044731213</v>
      </c>
      <c r="X52" s="186">
        <f>SUM($M$45:X45)</f>
        <v>-67.95491044731213</v>
      </c>
      <c r="Y52" s="186">
        <f>SUM($M$45:Y45)</f>
        <v>-67.95491044731213</v>
      </c>
      <c r="Z52" s="186">
        <f>SUM($M$45:Z45)</f>
        <v>-67.95491044731213</v>
      </c>
      <c r="AA52" s="186">
        <f>SUM($M$45:AA45)</f>
        <v>-67.95491044731213</v>
      </c>
      <c r="AB52" s="186">
        <f>SUM($M$45:AB45)</f>
        <v>-67.95491044731213</v>
      </c>
      <c r="AC52" s="186">
        <f>SUM($M$45:AC45)</f>
        <v>-67.95491044731213</v>
      </c>
      <c r="AD52" s="186">
        <f>SUM($M$45:AD45)</f>
        <v>-67.95491044731213</v>
      </c>
      <c r="AE52" s="186">
        <f>SUM($M$45:AE45)</f>
        <v>-67.95491044731213</v>
      </c>
      <c r="AF52" s="186">
        <f>SUM($M$45:AF45)</f>
        <v>-67.95491044731213</v>
      </c>
      <c r="AG52" s="186">
        <f>SUM($M$45:AG45)</f>
        <v>-67.95491044731213</v>
      </c>
      <c r="AH52" s="186">
        <f>SUM($M$45:AH45)</f>
        <v>-67.95491044731213</v>
      </c>
      <c r="AI52" s="186">
        <f>SUM($M$45:AI45)</f>
        <v>-67.95491044731213</v>
      </c>
      <c r="AJ52" s="186">
        <f>SUM($M$45:AJ45)</f>
        <v>-67.95491044731213</v>
      </c>
      <c r="AK52" s="186">
        <f>SUM($M$45:AK45)</f>
        <v>-67.95491044731213</v>
      </c>
      <c r="AL52" s="186">
        <f>SUM($M$45:AL45)</f>
        <v>-67.95491044731213</v>
      </c>
      <c r="AM52" s="186">
        <f>SUM($M$45:AM45)</f>
        <v>-67.95491044731213</v>
      </c>
      <c r="AN52" s="186">
        <f>SUM($M$45:AN45)</f>
        <v>-67.95491044731213</v>
      </c>
      <c r="AO52" s="186">
        <f>SUM($M$45:AO45)</f>
        <v>-67.95491044731213</v>
      </c>
      <c r="AP52" s="186">
        <f>SUM($M$45:AP45)</f>
        <v>-67.95491044731213</v>
      </c>
      <c r="AQ52" s="186">
        <f>SUM($M$45:AQ45)</f>
        <v>-67.95491044731213</v>
      </c>
      <c r="AR52" s="186">
        <f>SUM($M$45:AR45)</f>
        <v>-67.95491044731213</v>
      </c>
    </row>
    <row r="53" spans="1:44">
      <c r="A53" s="27"/>
      <c r="E53" s="208">
        <f t="shared" ref="E53:U53" si="39">SUM(E48:E52)</f>
        <v>489.38630285211707</v>
      </c>
      <c r="F53" s="208">
        <f t="shared" si="39"/>
        <v>955.41241553685222</v>
      </c>
      <c r="G53" s="208">
        <f t="shared" si="39"/>
        <v>1624.5142663490867</v>
      </c>
      <c r="H53" s="208">
        <f t="shared" si="39"/>
        <v>2045.8065572579121</v>
      </c>
      <c r="I53" s="208">
        <f t="shared" si="39"/>
        <v>2443.7954482100895</v>
      </c>
      <c r="J53" s="208">
        <f t="shared" si="39"/>
        <v>2764.8619701354974</v>
      </c>
      <c r="K53" s="208">
        <f t="shared" si="39"/>
        <v>3278.3999706314207</v>
      </c>
      <c r="L53" s="208">
        <f t="shared" si="39"/>
        <v>3484.6420388177453</v>
      </c>
      <c r="M53" s="208">
        <f t="shared" si="39"/>
        <v>3901.6495724073748</v>
      </c>
      <c r="N53" s="208">
        <f t="shared" si="39"/>
        <v>4303.8757398761472</v>
      </c>
      <c r="O53" s="208">
        <f t="shared" si="39"/>
        <v>4703.966180325926</v>
      </c>
      <c r="P53" s="208">
        <f t="shared" si="39"/>
        <v>5219.5010309073568</v>
      </c>
      <c r="Q53" s="208">
        <f t="shared" si="39"/>
        <v>5728.0873762465089</v>
      </c>
      <c r="R53" s="208">
        <f t="shared" si="39"/>
        <v>6224.2748768513447</v>
      </c>
      <c r="S53" s="208">
        <f t="shared" si="39"/>
        <v>6766.9586864052308</v>
      </c>
      <c r="T53" s="208">
        <f t="shared" si="39"/>
        <v>7394.6076019608918</v>
      </c>
      <c r="U53" s="208">
        <f t="shared" si="39"/>
        <v>7976.1851236155389</v>
      </c>
      <c r="V53" s="208">
        <f t="shared" ref="V53:AR53" si="40">SUM(V48:V52)</f>
        <v>8242.0144159165029</v>
      </c>
      <c r="W53" s="208">
        <f t="shared" si="40"/>
        <v>8429.0508665721572</v>
      </c>
      <c r="X53" s="208">
        <f t="shared" si="40"/>
        <v>8603.5066792094203</v>
      </c>
      <c r="Y53" s="208">
        <f t="shared" si="40"/>
        <v>8735.4648679515285</v>
      </c>
      <c r="Z53" s="208">
        <f t="shared" si="40"/>
        <v>8861.4411432537981</v>
      </c>
      <c r="AA53" s="208">
        <f t="shared" si="40"/>
        <v>8940.4744460560814</v>
      </c>
      <c r="AB53" s="208">
        <f t="shared" si="40"/>
        <v>9183.2874832290727</v>
      </c>
      <c r="AC53" s="208">
        <f t="shared" si="40"/>
        <v>9317.4938857561774</v>
      </c>
      <c r="AD53" s="208">
        <f t="shared" si="40"/>
        <v>9480.5755488318409</v>
      </c>
      <c r="AE53" s="208">
        <f t="shared" si="40"/>
        <v>9639.6779518533822</v>
      </c>
      <c r="AF53" s="208">
        <f t="shared" si="40"/>
        <v>9788.8509854809527</v>
      </c>
      <c r="AG53" s="208">
        <f t="shared" si="40"/>
        <v>9901.0577798237173</v>
      </c>
      <c r="AH53" s="208">
        <f t="shared" si="40"/>
        <v>10008.89160197325</v>
      </c>
      <c r="AI53" s="208">
        <f t="shared" si="40"/>
        <v>10120.731976356172</v>
      </c>
      <c r="AJ53" s="208">
        <f t="shared" si="40"/>
        <v>10241.645864557524</v>
      </c>
      <c r="AK53" s="208">
        <f t="shared" si="40"/>
        <v>10370.620496956901</v>
      </c>
      <c r="AL53" s="208">
        <f t="shared" si="40"/>
        <v>10521.360736334944</v>
      </c>
      <c r="AM53" s="208">
        <f t="shared" si="40"/>
        <v>10659.329066048092</v>
      </c>
      <c r="AN53" s="208">
        <f t="shared" si="40"/>
        <v>10790.883948608676</v>
      </c>
      <c r="AO53" s="208">
        <f t="shared" si="40"/>
        <v>10912.616575215816</v>
      </c>
      <c r="AP53" s="208">
        <f t="shared" si="40"/>
        <v>11021.437861127844</v>
      </c>
      <c r="AQ53" s="208">
        <f t="shared" si="40"/>
        <v>11135.349490536915</v>
      </c>
      <c r="AR53" s="208">
        <f t="shared" si="40"/>
        <v>11239.410755063587</v>
      </c>
    </row>
    <row r="54" spans="1:44">
      <c r="A54" s="37"/>
      <c r="O54" s="33"/>
      <c r="P54" s="33"/>
      <c r="Q54" s="33"/>
      <c r="R54" s="33"/>
      <c r="S54" s="43"/>
      <c r="T54" s="33"/>
      <c r="U54" s="33"/>
      <c r="V54" s="42"/>
      <c r="W54" s="42"/>
      <c r="X54" s="42"/>
      <c r="Y54" s="42"/>
      <c r="Z54" s="42"/>
      <c r="AA54" s="42"/>
      <c r="AB54" s="42"/>
      <c r="AC54" s="42"/>
      <c r="AD54" s="42"/>
      <c r="AE54" s="42"/>
      <c r="AF54" s="42"/>
      <c r="AG54" s="42"/>
      <c r="AH54" s="42"/>
      <c r="AI54" s="42"/>
      <c r="AJ54" s="42"/>
      <c r="AK54" s="42"/>
      <c r="AL54" s="42"/>
      <c r="AM54" s="42"/>
      <c r="AN54" s="42"/>
      <c r="AO54" s="42"/>
      <c r="AP54" s="42"/>
      <c r="AQ54" s="42"/>
      <c r="AR54" s="42"/>
    </row>
    <row r="55" spans="1:44">
      <c r="A55" s="87" t="s">
        <v>5</v>
      </c>
      <c r="D55" s="33">
        <f>+D28*Inputs!$S$32</f>
        <v>2730.1239539346288</v>
      </c>
      <c r="E55" s="211">
        <f t="shared" ref="E55:U55" si="41">E35+E40-E53</f>
        <v>14672.587526932022</v>
      </c>
      <c r="F55" s="211">
        <f t="shared" si="41"/>
        <v>29957.435513518092</v>
      </c>
      <c r="G55" s="211">
        <f t="shared" si="41"/>
        <v>44671.078213934816</v>
      </c>
      <c r="H55" s="211">
        <f t="shared" si="41"/>
        <v>57035.724109371877</v>
      </c>
      <c r="I55" s="211">
        <f t="shared" si="41"/>
        <v>67930.959675319347</v>
      </c>
      <c r="J55" s="211">
        <f t="shared" si="41"/>
        <v>80556.007103863754</v>
      </c>
      <c r="K55" s="211">
        <f t="shared" si="41"/>
        <v>95077.211215093921</v>
      </c>
      <c r="L55" s="211">
        <f t="shared" si="41"/>
        <v>104427.38171134402</v>
      </c>
      <c r="M55" s="211">
        <f t="shared" si="41"/>
        <v>113512.39770709687</v>
      </c>
      <c r="N55" s="211">
        <f t="shared" si="41"/>
        <v>123137.2145102256</v>
      </c>
      <c r="O55" s="211">
        <f t="shared" si="41"/>
        <v>130982.40678488789</v>
      </c>
      <c r="P55" s="211">
        <f t="shared" si="41"/>
        <v>140335.13324960493</v>
      </c>
      <c r="Q55" s="211">
        <f t="shared" si="41"/>
        <v>152208.79666360683</v>
      </c>
      <c r="R55" s="211">
        <f t="shared" si="41"/>
        <v>163636.99911223431</v>
      </c>
      <c r="S55" s="211">
        <f t="shared" si="41"/>
        <v>175577.24517699008</v>
      </c>
      <c r="T55" s="211">
        <f t="shared" si="41"/>
        <v>191208.10214568907</v>
      </c>
      <c r="U55" s="211">
        <f t="shared" si="41"/>
        <v>210011.50325187892</v>
      </c>
      <c r="V55" s="211">
        <f t="shared" ref="V55:AR55" si="42">V35+V40-V53</f>
        <v>213630.56313598558</v>
      </c>
      <c r="W55" s="211">
        <f t="shared" si="42"/>
        <v>212963.97813454826</v>
      </c>
      <c r="X55" s="211">
        <f t="shared" si="42"/>
        <v>211828.0439437771</v>
      </c>
      <c r="Y55" s="211">
        <f t="shared" si="42"/>
        <v>210301.21471220371</v>
      </c>
      <c r="Z55" s="211">
        <f t="shared" si="42"/>
        <v>208678.17279692291</v>
      </c>
      <c r="AA55" s="211">
        <f t="shared" si="42"/>
        <v>206844.38702095111</v>
      </c>
      <c r="AB55" s="211">
        <f t="shared" si="42"/>
        <v>208411.72978632344</v>
      </c>
      <c r="AC55" s="211">
        <f t="shared" si="42"/>
        <v>205195.91181356908</v>
      </c>
      <c r="AD55" s="211">
        <f t="shared" si="42"/>
        <v>201960.5700540934</v>
      </c>
      <c r="AE55" s="211">
        <f t="shared" si="42"/>
        <v>198616.74578328838</v>
      </c>
      <c r="AF55" s="211">
        <f t="shared" si="42"/>
        <v>194955.66406355216</v>
      </c>
      <c r="AG55" s="211">
        <f t="shared" si="42"/>
        <v>191092.40219861199</v>
      </c>
      <c r="AH55" s="211">
        <f t="shared" si="42"/>
        <v>186964.54782435347</v>
      </c>
      <c r="AI55" s="211">
        <f t="shared" si="42"/>
        <v>182700.88554991735</v>
      </c>
      <c r="AJ55" s="211">
        <f t="shared" si="42"/>
        <v>178393.31811624806</v>
      </c>
      <c r="AK55" s="211">
        <f t="shared" si="42"/>
        <v>173942.99161077884</v>
      </c>
      <c r="AL55" s="211">
        <f t="shared" si="42"/>
        <v>169479.7733857538</v>
      </c>
      <c r="AM55" s="211">
        <f t="shared" si="42"/>
        <v>164628.14603448918</v>
      </c>
      <c r="AN55" s="211">
        <f t="shared" si="42"/>
        <v>159609.89707037114</v>
      </c>
      <c r="AO55" s="211">
        <f t="shared" si="42"/>
        <v>154451.56650325126</v>
      </c>
      <c r="AP55" s="211">
        <f t="shared" si="42"/>
        <v>149117.40753980179</v>
      </c>
      <c r="AQ55" s="211">
        <f t="shared" si="42"/>
        <v>143554.82787683769</v>
      </c>
      <c r="AR55" s="211">
        <f t="shared" si="42"/>
        <v>137772.4923334202</v>
      </c>
    </row>
  </sheetData>
  <phoneticPr fontId="0" type="noConversion"/>
  <pageMargins left="0.74803149606299213" right="0.74803149606299213" top="0.98425196850393704" bottom="0.98425196850393704" header="0.51181102362204722" footer="0.51181102362204722"/>
  <pageSetup paperSize="8" scale="77" fitToWidth="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fitToPage="1"/>
  </sheetPr>
  <dimension ref="A1:AR67"/>
  <sheetViews>
    <sheetView zoomScaleNormal="100" workbookViewId="0">
      <pane xSplit="20" ySplit="5" topLeftCell="U52" activePane="bottomRight" state="frozen"/>
      <selection pane="topRight" activeCell="O1" sqref="O1"/>
      <selection pane="bottomLeft" activeCell="A6" sqref="A6"/>
      <selection pane="bottomRight" activeCell="U37" sqref="U37"/>
    </sheetView>
  </sheetViews>
  <sheetFormatPr defaultColWidth="9.25" defaultRowHeight="14.95"/>
  <cols>
    <col min="1" max="1" width="39.75" style="11" bestFit="1" customWidth="1"/>
    <col min="2" max="20" width="0.5" style="33" hidden="1" customWidth="1"/>
    <col min="21" max="44" width="6.625" style="33" bestFit="1" customWidth="1"/>
    <col min="45" max="16384" width="9.25" style="11"/>
  </cols>
  <sheetData>
    <row r="1" spans="1:44" s="62" customFormat="1">
      <c r="A1" s="62" t="s">
        <v>53</v>
      </c>
      <c r="B1" s="38"/>
      <c r="C1" s="38"/>
      <c r="D1" s="38"/>
      <c r="E1" s="38"/>
      <c r="F1" s="38"/>
      <c r="G1" s="38"/>
      <c r="H1" s="38"/>
      <c r="I1" s="38"/>
      <c r="J1" s="38"/>
      <c r="K1" s="38"/>
      <c r="L1" s="38"/>
      <c r="M1" s="38"/>
      <c r="N1" s="38"/>
      <c r="O1" s="38"/>
      <c r="P1" s="38"/>
      <c r="Q1" s="38"/>
      <c r="R1" s="38"/>
      <c r="S1" s="38"/>
      <c r="T1" s="38"/>
      <c r="U1" s="38">
        <f>+Inputs!U1</f>
        <v>2022</v>
      </c>
      <c r="V1" s="38">
        <f>+Inputs!V1</f>
        <v>2023</v>
      </c>
      <c r="W1" s="38">
        <f>+Inputs!W1</f>
        <v>2024</v>
      </c>
      <c r="X1" s="38">
        <f>+Inputs!X1</f>
        <v>2025</v>
      </c>
      <c r="Y1" s="38">
        <f>+Inputs!Y1</f>
        <v>2026</v>
      </c>
      <c r="Z1" s="38">
        <f>+Inputs!Z1</f>
        <v>2027</v>
      </c>
      <c r="AA1" s="38">
        <f>+Inputs!AA1</f>
        <v>2028</v>
      </c>
      <c r="AB1" s="38">
        <f>+Inputs!AB1</f>
        <v>2029</v>
      </c>
      <c r="AC1" s="38">
        <f>+Inputs!AC1</f>
        <v>2030</v>
      </c>
      <c r="AD1" s="38">
        <f>+Inputs!AD1</f>
        <v>2031</v>
      </c>
      <c r="AE1" s="38">
        <f>+Inputs!AE1</f>
        <v>2032</v>
      </c>
      <c r="AF1" s="38">
        <f>+Inputs!AF1</f>
        <v>2033</v>
      </c>
      <c r="AG1" s="38">
        <f>+Inputs!AG1</f>
        <v>2034</v>
      </c>
      <c r="AH1" s="38">
        <f>+Inputs!AH1</f>
        <v>2035</v>
      </c>
      <c r="AI1" s="38">
        <f>+Inputs!AI1</f>
        <v>2036</v>
      </c>
      <c r="AJ1" s="38">
        <f>+Inputs!AJ1</f>
        <v>2037</v>
      </c>
      <c r="AK1" s="38">
        <f>+Inputs!AK1</f>
        <v>2038</v>
      </c>
      <c r="AL1" s="38">
        <f>+Inputs!AL1</f>
        <v>2039</v>
      </c>
      <c r="AM1" s="38">
        <f>+Inputs!AM1</f>
        <v>2040</v>
      </c>
      <c r="AN1" s="38">
        <f>+Inputs!AN1</f>
        <v>2041</v>
      </c>
      <c r="AO1" s="38">
        <f>+Inputs!AO1</f>
        <v>2042</v>
      </c>
      <c r="AP1" s="38">
        <f>+Inputs!AP1</f>
        <v>2043</v>
      </c>
      <c r="AQ1" s="38">
        <f>+Inputs!AQ1</f>
        <v>2044</v>
      </c>
      <c r="AR1" s="38">
        <f>+Inputs!AR1</f>
        <v>2045</v>
      </c>
    </row>
    <row r="3" spans="1:44">
      <c r="A3" s="12" t="s">
        <v>6</v>
      </c>
      <c r="B3" s="13"/>
      <c r="C3" s="13"/>
      <c r="D3" s="82"/>
      <c r="E3" s="82"/>
      <c r="F3" s="82"/>
      <c r="G3" s="82"/>
      <c r="H3" s="82"/>
      <c r="I3" s="82"/>
      <c r="J3" s="82"/>
      <c r="K3" s="82"/>
      <c r="L3" s="82"/>
      <c r="M3" s="82"/>
      <c r="N3" s="82"/>
      <c r="O3" s="82"/>
      <c r="P3" s="82"/>
      <c r="Q3" s="82"/>
      <c r="R3" s="82"/>
      <c r="S3" s="82"/>
      <c r="T3" s="69"/>
      <c r="U3" s="83"/>
      <c r="V3" s="83">
        <f>+Inputs!V5</f>
        <v>2.81E-2</v>
      </c>
      <c r="W3" s="83">
        <f>V3</f>
        <v>2.81E-2</v>
      </c>
      <c r="X3" s="83">
        <f t="shared" ref="X3:AR3" si="0">W3</f>
        <v>2.81E-2</v>
      </c>
      <c r="Y3" s="83">
        <f t="shared" si="0"/>
        <v>2.81E-2</v>
      </c>
      <c r="Z3" s="83">
        <f t="shared" si="0"/>
        <v>2.81E-2</v>
      </c>
      <c r="AA3" s="83">
        <f t="shared" si="0"/>
        <v>2.81E-2</v>
      </c>
      <c r="AB3" s="83">
        <f t="shared" si="0"/>
        <v>2.81E-2</v>
      </c>
      <c r="AC3" s="83">
        <f t="shared" si="0"/>
        <v>2.81E-2</v>
      </c>
      <c r="AD3" s="83">
        <f t="shared" si="0"/>
        <v>2.81E-2</v>
      </c>
      <c r="AE3" s="83">
        <f t="shared" si="0"/>
        <v>2.81E-2</v>
      </c>
      <c r="AF3" s="83">
        <f t="shared" si="0"/>
        <v>2.81E-2</v>
      </c>
      <c r="AG3" s="83">
        <f t="shared" si="0"/>
        <v>2.81E-2</v>
      </c>
      <c r="AH3" s="83">
        <f t="shared" si="0"/>
        <v>2.81E-2</v>
      </c>
      <c r="AI3" s="83">
        <f t="shared" si="0"/>
        <v>2.81E-2</v>
      </c>
      <c r="AJ3" s="83">
        <f t="shared" si="0"/>
        <v>2.81E-2</v>
      </c>
      <c r="AK3" s="83">
        <f t="shared" si="0"/>
        <v>2.81E-2</v>
      </c>
      <c r="AL3" s="83">
        <f t="shared" si="0"/>
        <v>2.81E-2</v>
      </c>
      <c r="AM3" s="83">
        <f t="shared" si="0"/>
        <v>2.81E-2</v>
      </c>
      <c r="AN3" s="83">
        <f t="shared" si="0"/>
        <v>2.81E-2</v>
      </c>
      <c r="AO3" s="83">
        <f t="shared" si="0"/>
        <v>2.81E-2</v>
      </c>
      <c r="AP3" s="83">
        <f t="shared" si="0"/>
        <v>2.81E-2</v>
      </c>
      <c r="AQ3" s="83">
        <f t="shared" si="0"/>
        <v>2.81E-2</v>
      </c>
      <c r="AR3" s="83">
        <f t="shared" si="0"/>
        <v>2.81E-2</v>
      </c>
    </row>
    <row r="4" spans="1:44">
      <c r="A4" s="12" t="s">
        <v>183</v>
      </c>
      <c r="B4" s="13"/>
      <c r="C4" s="13"/>
      <c r="D4" s="82"/>
      <c r="E4" s="82"/>
      <c r="F4" s="82"/>
      <c r="G4" s="82"/>
      <c r="H4" s="82"/>
      <c r="I4" s="82"/>
      <c r="J4" s="82"/>
      <c r="K4" s="82"/>
      <c r="L4" s="82"/>
      <c r="M4" s="82"/>
      <c r="N4" s="82"/>
      <c r="O4" s="82"/>
      <c r="P4" s="82"/>
      <c r="Q4" s="82"/>
      <c r="S4" s="82"/>
      <c r="T4" s="69"/>
      <c r="U4" s="212">
        <f>+Inputs!U104</f>
        <v>0.5</v>
      </c>
      <c r="V4" s="83">
        <f t="shared" ref="V4:AR4" si="1">V5*(1+V3*$U$4)</f>
        <v>0.98633401420095312</v>
      </c>
      <c r="W4" s="83">
        <f t="shared" si="1"/>
        <v>0.95937556093857912</v>
      </c>
      <c r="X4" s="83">
        <f t="shared" si="1"/>
        <v>0.93315393535510072</v>
      </c>
      <c r="Y4" s="83">
        <f t="shared" si="1"/>
        <v>0.90764899849732583</v>
      </c>
      <c r="Z4" s="83">
        <f t="shared" si="1"/>
        <v>0.8828411618493589</v>
      </c>
      <c r="AA4" s="83">
        <f t="shared" si="1"/>
        <v>0.85871137228806427</v>
      </c>
      <c r="AB4" s="83">
        <f t="shared" si="1"/>
        <v>0.83524109744972697</v>
      </c>
      <c r="AC4" s="83">
        <f t="shared" si="1"/>
        <v>0.81241231149667059</v>
      </c>
      <c r="AD4" s="83">
        <f t="shared" si="1"/>
        <v>0.79020748127290197</v>
      </c>
      <c r="AE4" s="83">
        <f t="shared" si="1"/>
        <v>0.76860955283814991</v>
      </c>
      <c r="AF4" s="83">
        <f t="shared" si="1"/>
        <v>0.74760193836995414</v>
      </c>
      <c r="AG4" s="83">
        <f t="shared" si="1"/>
        <v>0.72716850342374684</v>
      </c>
      <c r="AH4" s="83">
        <f t="shared" si="1"/>
        <v>0.70729355454114085</v>
      </c>
      <c r="AI4" s="83">
        <f t="shared" si="1"/>
        <v>0.68796182719690768</v>
      </c>
      <c r="AJ4" s="83">
        <f t="shared" si="1"/>
        <v>0.66915847407538931</v>
      </c>
      <c r="AK4" s="83">
        <f t="shared" si="1"/>
        <v>0.65086905366733716</v>
      </c>
      <c r="AL4" s="83">
        <f t="shared" si="1"/>
        <v>0.63307951917842342</v>
      </c>
      <c r="AM4" s="83">
        <f t="shared" si="1"/>
        <v>0.61577620774090402</v>
      </c>
      <c r="AN4" s="83">
        <f t="shared" si="1"/>
        <v>0.598945829920148</v>
      </c>
      <c r="AO4" s="83">
        <f t="shared" si="1"/>
        <v>0.58257545950797396</v>
      </c>
      <c r="AP4" s="83">
        <f t="shared" si="1"/>
        <v>0.56665252359495566</v>
      </c>
      <c r="AQ4" s="83">
        <f t="shared" si="1"/>
        <v>0.55116479291407028</v>
      </c>
      <c r="AR4" s="83">
        <f t="shared" si="1"/>
        <v>0.5361003724482738</v>
      </c>
    </row>
    <row r="5" spans="1:44">
      <c r="A5" s="12" t="s">
        <v>7</v>
      </c>
      <c r="B5" s="13"/>
      <c r="C5" s="13"/>
      <c r="D5" s="13"/>
      <c r="E5" s="13"/>
      <c r="F5" s="13"/>
      <c r="G5" s="13"/>
      <c r="H5" s="13"/>
      <c r="I5" s="13"/>
      <c r="J5" s="13"/>
      <c r="K5" s="13"/>
      <c r="L5" s="13"/>
      <c r="M5" s="13"/>
      <c r="N5" s="13"/>
      <c r="O5" s="13"/>
      <c r="P5" s="13"/>
      <c r="Q5" s="13"/>
      <c r="R5" s="13"/>
      <c r="S5" s="13"/>
      <c r="T5" s="13"/>
      <c r="U5" s="213">
        <f>+Inputs!U105</f>
        <v>1</v>
      </c>
      <c r="V5" s="83">
        <f t="shared" ref="V5:AR5" si="2">U5/(1+V3)</f>
        <v>0.97266802840190647</v>
      </c>
      <c r="W5" s="83">
        <f t="shared" si="2"/>
        <v>0.94608309347525188</v>
      </c>
      <c r="X5" s="83">
        <f t="shared" si="2"/>
        <v>0.92022477723494978</v>
      </c>
      <c r="Y5" s="83">
        <f t="shared" si="2"/>
        <v>0.89507321975970211</v>
      </c>
      <c r="Z5" s="83">
        <f t="shared" si="2"/>
        <v>0.8706091039390158</v>
      </c>
      <c r="AA5" s="83">
        <f t="shared" si="2"/>
        <v>0.84681364063711295</v>
      </c>
      <c r="AB5" s="83">
        <f t="shared" si="2"/>
        <v>0.8236685542623412</v>
      </c>
      <c r="AC5" s="83">
        <f t="shared" si="2"/>
        <v>0.80115606873100009</v>
      </c>
      <c r="AD5" s="83">
        <f t="shared" si="2"/>
        <v>0.77925889381480407</v>
      </c>
      <c r="AE5" s="83">
        <f t="shared" si="2"/>
        <v>0.75796021186149598</v>
      </c>
      <c r="AF5" s="83">
        <f t="shared" si="2"/>
        <v>0.73724366487841253</v>
      </c>
      <c r="AG5" s="83">
        <f t="shared" si="2"/>
        <v>0.71709334196908137</v>
      </c>
      <c r="AH5" s="83">
        <f t="shared" si="2"/>
        <v>0.69749376711320044</v>
      </c>
      <c r="AI5" s="83">
        <f t="shared" si="2"/>
        <v>0.67842988728061515</v>
      </c>
      <c r="AJ5" s="83">
        <f t="shared" si="2"/>
        <v>0.65988706087016358</v>
      </c>
      <c r="AK5" s="83">
        <f t="shared" si="2"/>
        <v>0.64185104646451085</v>
      </c>
      <c r="AL5" s="83">
        <f t="shared" si="2"/>
        <v>0.62430799189233621</v>
      </c>
      <c r="AM5" s="83">
        <f t="shared" si="2"/>
        <v>0.60724442358947206</v>
      </c>
      <c r="AN5" s="83">
        <f t="shared" si="2"/>
        <v>0.59064723625082394</v>
      </c>
      <c r="AO5" s="83">
        <f t="shared" si="2"/>
        <v>0.57450368276512398</v>
      </c>
      <c r="AP5" s="83">
        <f t="shared" si="2"/>
        <v>0.55880136442478745</v>
      </c>
      <c r="AQ5" s="83">
        <f t="shared" si="2"/>
        <v>0.54352822140335322</v>
      </c>
      <c r="AR5" s="83">
        <f t="shared" si="2"/>
        <v>0.52867252349319449</v>
      </c>
    </row>
    <row r="7" spans="1:44">
      <c r="A7" s="12" t="s">
        <v>3</v>
      </c>
      <c r="B7" s="13"/>
      <c r="C7" s="13"/>
      <c r="D7" s="13"/>
      <c r="E7" s="13"/>
      <c r="F7" s="13"/>
      <c r="G7" s="13"/>
      <c r="H7" s="13"/>
      <c r="I7" s="13"/>
      <c r="J7" s="13"/>
      <c r="K7" s="13"/>
      <c r="L7" s="13"/>
      <c r="M7" s="13"/>
      <c r="N7" s="13"/>
      <c r="O7" s="13"/>
      <c r="P7" s="13"/>
      <c r="Q7" s="13"/>
      <c r="R7" s="13"/>
      <c r="S7" s="13"/>
      <c r="U7" s="13"/>
      <c r="V7" s="13">
        <f>+Inputs!V15</f>
        <v>11861.074300023158</v>
      </c>
      <c r="W7" s="13">
        <f>+Inputs!W15</f>
        <v>7762.4658651348536</v>
      </c>
      <c r="X7" s="13">
        <f>+Inputs!X15</f>
        <v>7467.5724884382516</v>
      </c>
      <c r="Y7" s="13">
        <f>+Inputs!Y15</f>
        <v>7208.6356363781233</v>
      </c>
      <c r="Z7" s="13">
        <f>+Inputs!Z15</f>
        <v>7238.3992279729955</v>
      </c>
      <c r="AA7" s="13">
        <f>+Inputs!AA15</f>
        <v>7106.6886700842888</v>
      </c>
      <c r="AB7" s="13">
        <f>+Inputs!AB15</f>
        <v>10750.630248601416</v>
      </c>
      <c r="AC7" s="13">
        <f>+Inputs!AC15</f>
        <v>6101.6759130018145</v>
      </c>
      <c r="AD7" s="13">
        <f>+Inputs!AD15</f>
        <v>6245.233789356168</v>
      </c>
      <c r="AE7" s="13">
        <f>+Inputs!AE15</f>
        <v>6295.8536810483365</v>
      </c>
      <c r="AF7" s="13">
        <f>+Inputs!AF15</f>
        <v>6127.7692657447133</v>
      </c>
      <c r="AG7" s="13">
        <f>+Inputs!AG15</f>
        <v>6037.7959148835571</v>
      </c>
      <c r="AH7" s="13">
        <f>+Inputs!AH15</f>
        <v>5881.0372277147253</v>
      </c>
      <c r="AI7" s="13">
        <f>+Inputs!AI15</f>
        <v>5857.0697019200697</v>
      </c>
      <c r="AJ7" s="13">
        <f>+Inputs!AJ15</f>
        <v>5934.0784308882303</v>
      </c>
      <c r="AK7" s="13">
        <f>+Inputs!AK15</f>
        <v>5920.2939914876852</v>
      </c>
      <c r="AL7" s="13">
        <f>+Inputs!AL15</f>
        <v>6058.1425113098912</v>
      </c>
      <c r="AM7" s="13">
        <f>+Inputs!AM15</f>
        <v>5807.7017147834613</v>
      </c>
      <c r="AN7" s="13">
        <f>+Inputs!AN15</f>
        <v>5772.6349844906381</v>
      </c>
      <c r="AO7" s="13">
        <f>+Inputs!AO15</f>
        <v>5754.2860080959417</v>
      </c>
      <c r="AP7" s="13">
        <f>+Inputs!AP15</f>
        <v>5687.2788976783613</v>
      </c>
      <c r="AQ7" s="13">
        <f>+Inputs!AQ15</f>
        <v>5572.7698275728017</v>
      </c>
      <c r="AR7" s="13">
        <f>+Inputs!AR15</f>
        <v>5457.0752116460808</v>
      </c>
    </row>
    <row r="8" spans="1:44">
      <c r="A8" s="12" t="s">
        <v>8</v>
      </c>
      <c r="B8" s="13"/>
      <c r="C8" s="13"/>
      <c r="D8" s="13"/>
      <c r="E8" s="13"/>
      <c r="F8" s="13"/>
      <c r="G8" s="13"/>
      <c r="H8" s="13"/>
      <c r="I8" s="13"/>
      <c r="J8" s="13"/>
      <c r="K8" s="13"/>
      <c r="L8" s="13"/>
      <c r="M8" s="13"/>
      <c r="N8" s="13"/>
      <c r="O8" s="13"/>
      <c r="P8" s="13"/>
      <c r="Q8" s="13"/>
      <c r="R8" s="13"/>
      <c r="S8" s="13"/>
      <c r="U8" s="13"/>
      <c r="V8" s="13">
        <f>+Inputs!V9</f>
        <v>7875.1721053171241</v>
      </c>
      <c r="W8" s="13">
        <f>+Inputs!W9</f>
        <v>7831.3096241695312</v>
      </c>
      <c r="X8" s="13">
        <f>+Inputs!X9</f>
        <v>7761.5951797968764</v>
      </c>
      <c r="Y8" s="13">
        <f>+Inputs!Y9</f>
        <v>7845.6225755015967</v>
      </c>
      <c r="Z8" s="13">
        <f>+Inputs!Z9</f>
        <v>8158.8947846704868</v>
      </c>
      <c r="AA8" s="13">
        <f>+Inputs!AA9</f>
        <v>8178.0772477010569</v>
      </c>
      <c r="AB8" s="13">
        <f>+Inputs!AB9</f>
        <v>8349.1399474762202</v>
      </c>
      <c r="AC8" s="13">
        <f>+Inputs!AC9</f>
        <v>8515.8280827432045</v>
      </c>
      <c r="AD8" s="13">
        <f>+Inputs!AD9</f>
        <v>8678.3308743980906</v>
      </c>
      <c r="AE8" s="13">
        <f>+Inputs!AE9</f>
        <v>8836.8370082801939</v>
      </c>
      <c r="AF8" s="13">
        <f>+Inputs!AF9</f>
        <v>8991.5191442425894</v>
      </c>
      <c r="AG8" s="13">
        <f>+Inputs!AG9</f>
        <v>9142.5503466753453</v>
      </c>
      <c r="AH8" s="13">
        <f>+Inputs!AH9</f>
        <v>9290.0885945935825</v>
      </c>
      <c r="AI8" s="13">
        <f>+Inputs!AI9</f>
        <v>9434.2644422936664</v>
      </c>
      <c r="AJ8" s="13">
        <f>+Inputs!AJ9</f>
        <v>9575.2022780724474</v>
      </c>
      <c r="AK8" s="13">
        <f>+Inputs!AK9</f>
        <v>9713.049206021542</v>
      </c>
      <c r="AL8" s="13">
        <f>+Inputs!AL9</f>
        <v>9847.9387626800726</v>
      </c>
      <c r="AM8" s="13">
        <f>+Inputs!AM9</f>
        <v>9979.9785577545499</v>
      </c>
      <c r="AN8" s="13">
        <f>+Inputs!AN9</f>
        <v>10109.299689213954</v>
      </c>
      <c r="AO8" s="13">
        <f>+Inputs!AO9</f>
        <v>10236.020595737325</v>
      </c>
      <c r="AP8" s="13">
        <f>+Inputs!AP9</f>
        <v>10360.234692597251</v>
      </c>
      <c r="AQ8" s="13">
        <f>+Inputs!AQ9</f>
        <v>10482.031225352466</v>
      </c>
      <c r="AR8" s="13">
        <f>+Inputs!AR9</f>
        <v>10602.915669689495</v>
      </c>
    </row>
    <row r="9" spans="1:44">
      <c r="A9" s="12"/>
      <c r="B9" s="13"/>
      <c r="C9" s="13"/>
      <c r="D9" s="13"/>
      <c r="E9" s="13"/>
      <c r="F9" s="13"/>
      <c r="G9" s="13"/>
      <c r="H9" s="13"/>
      <c r="I9" s="13"/>
      <c r="J9" s="13"/>
      <c r="K9" s="13"/>
      <c r="L9" s="13"/>
      <c r="M9" s="13"/>
      <c r="N9" s="13"/>
      <c r="O9" s="13"/>
      <c r="P9" s="13"/>
      <c r="Q9" s="13"/>
      <c r="R9" s="13"/>
      <c r="S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1:44">
      <c r="A10" s="15" t="s">
        <v>40</v>
      </c>
      <c r="B10" s="14"/>
      <c r="C10" s="14"/>
      <c r="D10" s="14"/>
      <c r="E10" s="14"/>
      <c r="F10" s="14"/>
      <c r="G10" s="14"/>
      <c r="H10" s="14"/>
      <c r="I10" s="14"/>
      <c r="J10" s="14"/>
      <c r="K10" s="14"/>
      <c r="L10" s="14"/>
      <c r="M10" s="14"/>
      <c r="N10" s="14"/>
      <c r="O10" s="14"/>
      <c r="P10" s="14"/>
      <c r="Q10" s="14"/>
      <c r="R10" s="14"/>
      <c r="S10" s="14"/>
      <c r="U10" s="13"/>
      <c r="V10" s="13">
        <f>+Inputs!V18</f>
        <v>25759.337089992485</v>
      </c>
      <c r="W10" s="13">
        <f>+Inputs!W18</f>
        <v>28092.348807592116</v>
      </c>
      <c r="X10" s="13">
        <f>+Inputs!X18</f>
        <v>30314.61557722748</v>
      </c>
      <c r="Y10" s="13">
        <f>+Inputs!Y18</f>
        <v>32424.300296932513</v>
      </c>
      <c r="Z10" s="13">
        <f>+Inputs!Z18</f>
        <v>34421.402966707217</v>
      </c>
      <c r="AA10" s="13">
        <f>+Inputs!AA18</f>
        <v>36305.923586551588</v>
      </c>
      <c r="AB10" s="13">
        <f>+Inputs!AB18</f>
        <v>37427.273847156503</v>
      </c>
      <c r="AC10" s="13">
        <f>+Inputs!AC18</f>
        <v>38337.494027725144</v>
      </c>
      <c r="AD10" s="13">
        <f>+Inputs!AD18</f>
        <v>39169.196245117419</v>
      </c>
      <c r="AE10" s="13">
        <f>+Inputs!AE18</f>
        <v>39924.775205599086</v>
      </c>
      <c r="AF10" s="13">
        <f>+Inputs!AF18</f>
        <v>40606.823108345961</v>
      </c>
      <c r="AG10" s="13">
        <f>+Inputs!AG18</f>
        <v>41218.11088749169</v>
      </c>
      <c r="AH10" s="13">
        <f>+Inputs!AH18</f>
        <v>41761.026667535145</v>
      </c>
      <c r="AI10" s="13">
        <f>+Inputs!AI18</f>
        <v>42237.868109797506</v>
      </c>
      <c r="AJ10" s="13">
        <f>+Inputs!AJ18</f>
        <v>42650.709460970516</v>
      </c>
      <c r="AK10" s="13">
        <f>+Inputs!AK18</f>
        <v>43001.549823182977</v>
      </c>
      <c r="AL10" s="13">
        <f>+Inputs!AL18</f>
        <v>43292.447475672212</v>
      </c>
      <c r="AM10" s="13">
        <f>+Inputs!AM18</f>
        <v>43525.381974766518</v>
      </c>
      <c r="AN10" s="13">
        <f>+Inputs!AN18</f>
        <v>43702.129986185922</v>
      </c>
      <c r="AO10" s="13">
        <f>+Inputs!AO18</f>
        <v>43824.528433366599</v>
      </c>
      <c r="AP10" s="13">
        <f>+Inputs!AP18</f>
        <v>43894.343215062625</v>
      </c>
      <c r="AQ10" s="13">
        <f>+Inputs!AQ18</f>
        <v>43913.151666382655</v>
      </c>
      <c r="AR10" s="13">
        <f>+Inputs!AR18</f>
        <v>43882.473983649164</v>
      </c>
    </row>
    <row r="11" spans="1:44">
      <c r="A11" s="15" t="s">
        <v>41</v>
      </c>
      <c r="B11" s="14"/>
      <c r="C11" s="14"/>
      <c r="D11" s="14"/>
      <c r="E11" s="14"/>
      <c r="F11" s="14"/>
      <c r="G11" s="14"/>
      <c r="H11" s="14"/>
      <c r="I11" s="14"/>
      <c r="J11" s="14"/>
      <c r="K11" s="14"/>
      <c r="L11" s="14"/>
      <c r="M11" s="14"/>
      <c r="N11" s="14"/>
      <c r="O11" s="14"/>
      <c r="P11" s="14"/>
      <c r="Q11" s="14"/>
      <c r="R11" s="14"/>
      <c r="S11" s="14"/>
      <c r="U11" s="13"/>
      <c r="V11" s="13">
        <f>+Inputs!V19</f>
        <v>8303.1363689600603</v>
      </c>
      <c r="W11" s="13">
        <f>+Inputs!W19</f>
        <v>8303.1363689600603</v>
      </c>
      <c r="X11" s="13">
        <f>+Inputs!X19</f>
        <v>8303.1363689600603</v>
      </c>
      <c r="Y11" s="13">
        <f>+Inputs!Y19</f>
        <v>8303.1363689600603</v>
      </c>
      <c r="Z11" s="13">
        <f>+Inputs!Z19</f>
        <v>8303.1363689600603</v>
      </c>
      <c r="AA11" s="13">
        <f>+Inputs!AA19</f>
        <v>8303.1363689600603</v>
      </c>
      <c r="AB11" s="13">
        <f>+Inputs!AB19</f>
        <v>8181.0314223577061</v>
      </c>
      <c r="AC11" s="13">
        <f>+Inputs!AC19</f>
        <v>8058.9264757553537</v>
      </c>
      <c r="AD11" s="13">
        <f>+Inputs!AD19</f>
        <v>7936.8215291529996</v>
      </c>
      <c r="AE11" s="13">
        <f>+Inputs!AE19</f>
        <v>7814.7165825506463</v>
      </c>
      <c r="AF11" s="13">
        <f>+Inputs!AF19</f>
        <v>7692.611635948293</v>
      </c>
      <c r="AG11" s="13">
        <f>+Inputs!AG19</f>
        <v>7570.5066893459398</v>
      </c>
      <c r="AH11" s="13">
        <f>+Inputs!AH19</f>
        <v>7448.4017427435865</v>
      </c>
      <c r="AI11" s="13">
        <f>+Inputs!AI19</f>
        <v>7326.2967961412332</v>
      </c>
      <c r="AJ11" s="13">
        <f>+Inputs!AJ19</f>
        <v>7204.1918495388791</v>
      </c>
      <c r="AK11" s="13">
        <f>+Inputs!AK19</f>
        <v>7082.0869029365267</v>
      </c>
      <c r="AL11" s="13">
        <f>+Inputs!AL19</f>
        <v>6959.9819563341725</v>
      </c>
      <c r="AM11" s="13">
        <f>+Inputs!AM19</f>
        <v>6837.8770097318202</v>
      </c>
      <c r="AN11" s="13">
        <f>+Inputs!AN19</f>
        <v>6715.772063129466</v>
      </c>
      <c r="AO11" s="13">
        <f>+Inputs!AO19</f>
        <v>6593.6671165271127</v>
      </c>
      <c r="AP11" s="13">
        <f>+Inputs!AP19</f>
        <v>6471.5621699247595</v>
      </c>
      <c r="AQ11" s="13">
        <f>+Inputs!AQ19</f>
        <v>6349.4572233224053</v>
      </c>
      <c r="AR11" s="13">
        <f>+Inputs!AR19</f>
        <v>6227.3522767200529</v>
      </c>
    </row>
    <row r="12" spans="1:44">
      <c r="A12" s="15" t="s">
        <v>43</v>
      </c>
      <c r="B12" s="14"/>
      <c r="C12" s="14"/>
      <c r="D12" s="14"/>
      <c r="E12" s="14"/>
      <c r="F12" s="14"/>
      <c r="G12" s="14"/>
      <c r="H12" s="14"/>
      <c r="I12" s="14"/>
      <c r="J12" s="14"/>
      <c r="K12" s="14"/>
      <c r="L12" s="14"/>
      <c r="M12" s="14"/>
      <c r="N12" s="14"/>
      <c r="O12" s="14"/>
      <c r="P12" s="14"/>
      <c r="Q12" s="14"/>
      <c r="R12" s="14"/>
      <c r="S12" s="14"/>
      <c r="U12" s="13"/>
      <c r="V12" s="13">
        <f>+Inputs!V20</f>
        <v>6573.7829058487532</v>
      </c>
      <c r="W12" s="13">
        <f>+Inputs!W20</f>
        <v>6573.7829058487532</v>
      </c>
      <c r="X12" s="13">
        <f>+Inputs!X20</f>
        <v>6573.7829058487532</v>
      </c>
      <c r="Y12" s="13">
        <f>+Inputs!Y20</f>
        <v>6573.7829058487532</v>
      </c>
      <c r="Z12" s="13">
        <f>+Inputs!Z20</f>
        <v>6573.7829058487532</v>
      </c>
      <c r="AA12" s="13">
        <f>+Inputs!AA20</f>
        <v>6573.7829058487532</v>
      </c>
      <c r="AB12" s="13">
        <f>+Inputs!AB20</f>
        <v>6477.1096278215664</v>
      </c>
      <c r="AC12" s="13">
        <f>+Inputs!AC20</f>
        <v>6380.4363497943796</v>
      </c>
      <c r="AD12" s="13">
        <f>+Inputs!AD20</f>
        <v>6283.7630717671927</v>
      </c>
      <c r="AE12" s="13">
        <f>+Inputs!AE20</f>
        <v>6187.089793740005</v>
      </c>
      <c r="AF12" s="13">
        <f>+Inputs!AF20</f>
        <v>6090.4165157128173</v>
      </c>
      <c r="AG12" s="13">
        <f>+Inputs!AG20</f>
        <v>5993.7432376856304</v>
      </c>
      <c r="AH12" s="13">
        <f>+Inputs!AH20</f>
        <v>5897.0699596584427</v>
      </c>
      <c r="AI12" s="13">
        <f>+Inputs!AI20</f>
        <v>5800.3966816312559</v>
      </c>
      <c r="AJ12" s="13">
        <f>+Inputs!AJ20</f>
        <v>5703.7234036040691</v>
      </c>
      <c r="AK12" s="13">
        <f>+Inputs!AK20</f>
        <v>5607.0501255768813</v>
      </c>
      <c r="AL12" s="13">
        <f>+Inputs!AL20</f>
        <v>5510.3768475496945</v>
      </c>
      <c r="AM12" s="13">
        <f>+Inputs!AM20</f>
        <v>5413.7035695225077</v>
      </c>
      <c r="AN12" s="13">
        <f>+Inputs!AN20</f>
        <v>5317.030291495319</v>
      </c>
      <c r="AO12" s="13">
        <f>+Inputs!AO20</f>
        <v>5220.3570134681322</v>
      </c>
      <c r="AP12" s="13">
        <f>+Inputs!AP20</f>
        <v>5123.6837354409454</v>
      </c>
      <c r="AQ12" s="13">
        <f>+Inputs!AQ20</f>
        <v>5027.0104574137586</v>
      </c>
      <c r="AR12" s="13">
        <f>+Inputs!AR20</f>
        <v>4930.3371793865708</v>
      </c>
    </row>
    <row r="13" spans="1:44">
      <c r="A13" s="15" t="s">
        <v>44</v>
      </c>
      <c r="B13" s="14"/>
      <c r="C13" s="14"/>
      <c r="D13" s="14"/>
      <c r="E13" s="14"/>
      <c r="F13" s="14"/>
      <c r="G13" s="14"/>
      <c r="H13" s="14"/>
      <c r="I13" s="14"/>
      <c r="J13" s="14"/>
      <c r="K13" s="14"/>
      <c r="L13" s="14"/>
      <c r="M13" s="14"/>
      <c r="N13" s="14"/>
      <c r="O13" s="14"/>
      <c r="P13" s="14"/>
      <c r="Q13" s="14"/>
      <c r="R13" s="14"/>
      <c r="S13" s="14"/>
      <c r="U13" s="13"/>
      <c r="V13" s="13">
        <f>+Inputs!V21</f>
        <v>1664.3275861480668</v>
      </c>
      <c r="W13" s="13">
        <f>+Inputs!W21</f>
        <v>1664.3275861480668</v>
      </c>
      <c r="X13" s="13">
        <f>+Inputs!X21</f>
        <v>1664.3275861480668</v>
      </c>
      <c r="Y13" s="13">
        <f>+Inputs!Y21</f>
        <v>1664.3275861480668</v>
      </c>
      <c r="Z13" s="13">
        <f>+Inputs!Z21</f>
        <v>1664.3275861480668</v>
      </c>
      <c r="AA13" s="13">
        <f>+Inputs!AA21</f>
        <v>1664.3275861480668</v>
      </c>
      <c r="AB13" s="13">
        <f>+Inputs!AB21</f>
        <v>1639.8521804694187</v>
      </c>
      <c r="AC13" s="13">
        <f>+Inputs!AC21</f>
        <v>1615.3767747907709</v>
      </c>
      <c r="AD13" s="13">
        <f>+Inputs!AD21</f>
        <v>1590.9013691121229</v>
      </c>
      <c r="AE13" s="13">
        <f>+Inputs!AE21</f>
        <v>1566.4259634334749</v>
      </c>
      <c r="AF13" s="13">
        <f>+Inputs!AF21</f>
        <v>1541.9505577548271</v>
      </c>
      <c r="AG13" s="13">
        <f>+Inputs!AG21</f>
        <v>1517.475152076179</v>
      </c>
      <c r="AH13" s="13">
        <f>+Inputs!AH21</f>
        <v>1492.9997463975312</v>
      </c>
      <c r="AI13" s="13">
        <f>+Inputs!AI21</f>
        <v>1468.5243407188832</v>
      </c>
      <c r="AJ13" s="13">
        <f>+Inputs!AJ21</f>
        <v>1444.0489350402352</v>
      </c>
      <c r="AK13" s="13">
        <f>+Inputs!AK21</f>
        <v>1419.5735293615874</v>
      </c>
      <c r="AL13" s="13">
        <f>+Inputs!AL21</f>
        <v>1395.0981236829391</v>
      </c>
      <c r="AM13" s="13">
        <f>+Inputs!AM21</f>
        <v>1370.6227180042911</v>
      </c>
      <c r="AN13" s="13">
        <f>+Inputs!AN21</f>
        <v>1346.1473123256433</v>
      </c>
      <c r="AO13" s="13">
        <f>+Inputs!AO21</f>
        <v>1321.6719066469952</v>
      </c>
      <c r="AP13" s="13">
        <f>+Inputs!AP21</f>
        <v>1297.1965009683472</v>
      </c>
      <c r="AQ13" s="13">
        <f>+Inputs!AQ21</f>
        <v>1272.7210952896994</v>
      </c>
      <c r="AR13" s="13">
        <f>+Inputs!AR21</f>
        <v>1248.2456896110514</v>
      </c>
    </row>
    <row r="14" spans="1:44">
      <c r="A14" s="15" t="s">
        <v>184</v>
      </c>
      <c r="B14" s="14"/>
      <c r="C14" s="14"/>
      <c r="D14" s="14"/>
      <c r="E14" s="14"/>
      <c r="F14" s="14"/>
      <c r="G14" s="14"/>
      <c r="H14" s="14"/>
      <c r="I14" s="14"/>
      <c r="J14" s="14"/>
      <c r="K14" s="14"/>
      <c r="L14" s="14"/>
      <c r="M14" s="14"/>
      <c r="N14" s="14"/>
      <c r="O14" s="14"/>
      <c r="P14" s="14"/>
      <c r="Q14" s="14"/>
      <c r="R14" s="14"/>
      <c r="S14" s="14"/>
      <c r="U14" s="13"/>
      <c r="V14" s="13">
        <f>+Inputs!V22</f>
        <v>13981.753977705061</v>
      </c>
      <c r="W14" s="13">
        <f>+Inputs!W22</f>
        <v>13981.753977705061</v>
      </c>
      <c r="X14" s="13">
        <f>+Inputs!X22</f>
        <v>13981.753977705061</v>
      </c>
      <c r="Y14" s="13">
        <f>+Inputs!Y22</f>
        <v>13981.753977705061</v>
      </c>
      <c r="Z14" s="13">
        <f>+Inputs!Z22</f>
        <v>13981.753977705061</v>
      </c>
      <c r="AA14" s="13">
        <f>+Inputs!AA22</f>
        <v>13981.753977705061</v>
      </c>
      <c r="AB14" s="13">
        <f>+Inputs!AB22</f>
        <v>13776.139948621165</v>
      </c>
      <c r="AC14" s="13">
        <f>+Inputs!AC22</f>
        <v>13570.525919537267</v>
      </c>
      <c r="AD14" s="13">
        <f>+Inputs!AD22</f>
        <v>13364.91189045337</v>
      </c>
      <c r="AE14" s="13">
        <f>+Inputs!AE22</f>
        <v>13159.297861369472</v>
      </c>
      <c r="AF14" s="13">
        <f>+Inputs!AF22</f>
        <v>12953.683832285575</v>
      </c>
      <c r="AG14" s="13">
        <f>+Inputs!AG22</f>
        <v>12748.069803201677</v>
      </c>
      <c r="AH14" s="13">
        <f>+Inputs!AH22</f>
        <v>12542.455774117781</v>
      </c>
      <c r="AI14" s="13">
        <f>+Inputs!AI22</f>
        <v>12336.841745033884</v>
      </c>
      <c r="AJ14" s="13">
        <f>+Inputs!AJ22</f>
        <v>12131.227715949986</v>
      </c>
      <c r="AK14" s="13">
        <f>+Inputs!AK22</f>
        <v>11925.613686866091</v>
      </c>
      <c r="AL14" s="13">
        <f>+Inputs!AL22</f>
        <v>11719.999657782191</v>
      </c>
      <c r="AM14" s="13">
        <f>+Inputs!AM22</f>
        <v>11514.385628698295</v>
      </c>
      <c r="AN14" s="13">
        <f>+Inputs!AN22</f>
        <v>11308.771599614396</v>
      </c>
      <c r="AO14" s="13">
        <f>+Inputs!AO22</f>
        <v>11103.1575705305</v>
      </c>
      <c r="AP14" s="13">
        <f>+Inputs!AP22</f>
        <v>10897.543541446605</v>
      </c>
      <c r="AQ14" s="13">
        <f>+Inputs!AQ22</f>
        <v>10691.929512362705</v>
      </c>
      <c r="AR14" s="13">
        <f>+Inputs!AR22</f>
        <v>10486.31548327881</v>
      </c>
    </row>
    <row r="15" spans="1:44">
      <c r="A15" s="15" t="s">
        <v>185</v>
      </c>
      <c r="B15" s="14"/>
      <c r="C15" s="14"/>
      <c r="D15" s="14"/>
      <c r="E15" s="14"/>
      <c r="F15" s="14"/>
      <c r="G15" s="14"/>
      <c r="H15" s="14"/>
      <c r="I15" s="14"/>
      <c r="J15" s="14"/>
      <c r="K15" s="14"/>
      <c r="L15" s="14"/>
      <c r="M15" s="14"/>
      <c r="N15" s="14"/>
      <c r="O15" s="14"/>
      <c r="P15" s="14"/>
      <c r="Q15" s="14"/>
      <c r="R15" s="14"/>
      <c r="S15" s="14"/>
      <c r="U15" s="13"/>
      <c r="V15" s="13">
        <f>+Inputs!V23</f>
        <v>17698.631235761779</v>
      </c>
      <c r="W15" s="13">
        <f>+Inputs!W23</f>
        <v>18054.482481070547</v>
      </c>
      <c r="X15" s="13">
        <f>+Inputs!X23</f>
        <v>18524.288008194399</v>
      </c>
      <c r="Y15" s="13">
        <f>+Inputs!Y23</f>
        <v>18995.117076771672</v>
      </c>
      <c r="Z15" s="13">
        <f>+Inputs!Z23</f>
        <v>19075.751126584022</v>
      </c>
      <c r="AA15" s="13">
        <f>+Inputs!AA23</f>
        <v>19075.751126584022</v>
      </c>
      <c r="AB15" s="13">
        <f>+Inputs!AB23</f>
        <v>18795.225374722497</v>
      </c>
      <c r="AC15" s="13">
        <f>+Inputs!AC23</f>
        <v>18514.699622860964</v>
      </c>
      <c r="AD15" s="13">
        <f>+Inputs!AD23</f>
        <v>18234.173870999435</v>
      </c>
      <c r="AE15" s="13">
        <f>+Inputs!AE23</f>
        <v>17953.64811913791</v>
      </c>
      <c r="AF15" s="13">
        <f>+Inputs!AF23</f>
        <v>17673.122367276377</v>
      </c>
      <c r="AG15" s="13">
        <f>+Inputs!AG23</f>
        <v>17392.596615414852</v>
      </c>
      <c r="AH15" s="13">
        <f>+Inputs!AH23</f>
        <v>17112.070863553323</v>
      </c>
      <c r="AI15" s="13">
        <f>+Inputs!AI23</f>
        <v>16831.54511169179</v>
      </c>
      <c r="AJ15" s="13">
        <f>+Inputs!AJ23</f>
        <v>16551.019359830265</v>
      </c>
      <c r="AK15" s="13">
        <f>+Inputs!AK23</f>
        <v>16270.493607968736</v>
      </c>
      <c r="AL15" s="13">
        <f>+Inputs!AL23</f>
        <v>15989.967856107207</v>
      </c>
      <c r="AM15" s="13">
        <f>+Inputs!AM23</f>
        <v>15709.442104245678</v>
      </c>
      <c r="AN15" s="13">
        <f>+Inputs!AN23</f>
        <v>15428.916352384151</v>
      </c>
      <c r="AO15" s="13">
        <f>+Inputs!AO23</f>
        <v>15148.39060052262</v>
      </c>
      <c r="AP15" s="13">
        <f>+Inputs!AP23</f>
        <v>14867.864848661091</v>
      </c>
      <c r="AQ15" s="13">
        <f>+Inputs!AQ23</f>
        <v>14587.339096799564</v>
      </c>
      <c r="AR15" s="13">
        <f>+Inputs!AR23</f>
        <v>14306.813344938035</v>
      </c>
    </row>
    <row r="16" spans="1:44">
      <c r="A16" s="12" t="s">
        <v>15</v>
      </c>
      <c r="B16" s="13"/>
      <c r="C16" s="13"/>
      <c r="D16" s="13"/>
      <c r="E16" s="13"/>
      <c r="F16" s="13"/>
      <c r="G16" s="13"/>
      <c r="H16" s="13"/>
      <c r="I16" s="13"/>
      <c r="J16" s="13"/>
      <c r="K16" s="13"/>
      <c r="L16" s="13"/>
      <c r="M16" s="13"/>
      <c r="N16" s="13"/>
      <c r="O16" s="13"/>
      <c r="P16" s="13"/>
      <c r="Q16" s="13"/>
      <c r="R16" s="13"/>
      <c r="S16" s="13"/>
      <c r="U16" s="59"/>
      <c r="V16" s="59">
        <f>+Inputs!V24</f>
        <v>73980.969164416209</v>
      </c>
      <c r="W16" s="59">
        <f>+Inputs!W24</f>
        <v>76669.832127324597</v>
      </c>
      <c r="X16" s="59">
        <f>+Inputs!X24</f>
        <v>79361.904424083827</v>
      </c>
      <c r="Y16" s="59">
        <f>+Inputs!Y24</f>
        <v>81942.41821236613</v>
      </c>
      <c r="Z16" s="59">
        <f>+Inputs!Z24</f>
        <v>84020.154931953177</v>
      </c>
      <c r="AA16" s="59">
        <f>+Inputs!AA24</f>
        <v>85904.675551797554</v>
      </c>
      <c r="AB16" s="59">
        <f>+Inputs!AB24</f>
        <v>86296.632401148847</v>
      </c>
      <c r="AC16" s="59">
        <f>+Inputs!AC24</f>
        <v>86477.459170463873</v>
      </c>
      <c r="AD16" s="59">
        <f>+Inputs!AD24</f>
        <v>86579.767976602539</v>
      </c>
      <c r="AE16" s="59">
        <f>+Inputs!AE24</f>
        <v>86605.953525830599</v>
      </c>
      <c r="AF16" s="59">
        <f>+Inputs!AF24</f>
        <v>86558.608017323844</v>
      </c>
      <c r="AG16" s="59">
        <f>+Inputs!AG24</f>
        <v>86440.502385215965</v>
      </c>
      <c r="AH16" s="59">
        <f>+Inputs!AH24</f>
        <v>86254.024754005819</v>
      </c>
      <c r="AI16" s="59">
        <f>+Inputs!AI24</f>
        <v>86001.472785014543</v>
      </c>
      <c r="AJ16" s="59">
        <f>+Inputs!AJ24</f>
        <v>85684.920724933967</v>
      </c>
      <c r="AK16" s="59">
        <f>+Inputs!AK24</f>
        <v>85306.367675892805</v>
      </c>
      <c r="AL16" s="59">
        <f>+Inputs!AL24</f>
        <v>84867.871917128417</v>
      </c>
      <c r="AM16" s="59">
        <f>+Inputs!AM24</f>
        <v>84371.413004969116</v>
      </c>
      <c r="AN16" s="59">
        <f>+Inputs!AN24</f>
        <v>83818.767605134912</v>
      </c>
      <c r="AO16" s="59">
        <f>+Inputs!AO24</f>
        <v>83211.772641061951</v>
      </c>
      <c r="AP16" s="59">
        <f>+Inputs!AP24</f>
        <v>82552.194011504369</v>
      </c>
      <c r="AQ16" s="59">
        <f>+Inputs!AQ24</f>
        <v>81841.609051570791</v>
      </c>
      <c r="AR16" s="59">
        <f>+Inputs!AR24</f>
        <v>81081.5379575837</v>
      </c>
    </row>
    <row r="17" spans="1:44">
      <c r="A17" s="12"/>
      <c r="B17" s="13"/>
      <c r="C17" s="13"/>
      <c r="D17" s="13"/>
      <c r="E17" s="13"/>
      <c r="F17" s="13"/>
      <c r="G17" s="13"/>
      <c r="H17" s="13"/>
      <c r="I17" s="13"/>
      <c r="J17" s="13"/>
      <c r="K17" s="13"/>
      <c r="L17" s="13"/>
      <c r="M17" s="13"/>
      <c r="N17" s="13"/>
      <c r="O17" s="13"/>
      <c r="P17" s="13"/>
      <c r="Q17" s="13"/>
      <c r="R17" s="13"/>
      <c r="S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ht="15.65" thickBot="1">
      <c r="A18" s="12" t="s">
        <v>16</v>
      </c>
      <c r="B18" s="13"/>
      <c r="C18" s="13"/>
      <c r="D18" s="13"/>
      <c r="E18" s="13"/>
      <c r="F18" s="13"/>
      <c r="G18" s="13"/>
      <c r="H18" s="13"/>
      <c r="I18" s="13"/>
      <c r="J18" s="13"/>
      <c r="K18" s="13"/>
      <c r="L18" s="13"/>
      <c r="M18" s="13"/>
      <c r="N18" s="13"/>
      <c r="O18" s="13"/>
      <c r="P18" s="13"/>
      <c r="Q18" s="13"/>
      <c r="R18" s="13"/>
      <c r="S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1:44" ht="15.65" thickBot="1">
      <c r="A19" s="15" t="s">
        <v>45</v>
      </c>
      <c r="B19" s="14"/>
      <c r="C19" s="14"/>
      <c r="D19" s="14"/>
      <c r="E19" s="14"/>
      <c r="F19" s="14"/>
      <c r="G19" s="14"/>
      <c r="H19" s="14"/>
      <c r="I19" s="14"/>
      <c r="J19" s="14"/>
      <c r="K19" s="14"/>
      <c r="L19" s="14"/>
      <c r="M19" s="14"/>
      <c r="N19" s="14"/>
      <c r="O19" s="14"/>
      <c r="P19" s="14"/>
      <c r="Q19" s="14"/>
      <c r="R19" s="14"/>
      <c r="S19" s="14"/>
      <c r="U19" s="16"/>
      <c r="V19" s="141">
        <v>0.40335851638060471</v>
      </c>
      <c r="W19" s="16">
        <f>V19</f>
        <v>0.40335851638060471</v>
      </c>
      <c r="X19" s="16">
        <f t="shared" ref="X19:AR24" si="3">W19</f>
        <v>0.40335851638060471</v>
      </c>
      <c r="Y19" s="16">
        <f t="shared" si="3"/>
        <v>0.40335851638060471</v>
      </c>
      <c r="Z19" s="16">
        <f t="shared" si="3"/>
        <v>0.40335851638060471</v>
      </c>
      <c r="AA19" s="16">
        <f t="shared" si="3"/>
        <v>0.40335851638060471</v>
      </c>
      <c r="AB19" s="16">
        <f t="shared" si="3"/>
        <v>0.40335851638060471</v>
      </c>
      <c r="AC19" s="16">
        <f t="shared" si="3"/>
        <v>0.40335851638060471</v>
      </c>
      <c r="AD19" s="16">
        <f t="shared" si="3"/>
        <v>0.40335851638060471</v>
      </c>
      <c r="AE19" s="16">
        <f t="shared" si="3"/>
        <v>0.40335851638060471</v>
      </c>
      <c r="AF19" s="16">
        <f t="shared" si="3"/>
        <v>0.40335851638060471</v>
      </c>
      <c r="AG19" s="16">
        <f t="shared" si="3"/>
        <v>0.40335851638060471</v>
      </c>
      <c r="AH19" s="16">
        <f t="shared" si="3"/>
        <v>0.40335851638060471</v>
      </c>
      <c r="AI19" s="16">
        <f t="shared" si="3"/>
        <v>0.40335851638060471</v>
      </c>
      <c r="AJ19" s="16">
        <f t="shared" si="3"/>
        <v>0.40335851638060471</v>
      </c>
      <c r="AK19" s="16">
        <f t="shared" si="3"/>
        <v>0.40335851638060471</v>
      </c>
      <c r="AL19" s="16">
        <f t="shared" si="3"/>
        <v>0.40335851638060471</v>
      </c>
      <c r="AM19" s="16">
        <f t="shared" si="3"/>
        <v>0.40335851638060471</v>
      </c>
      <c r="AN19" s="16">
        <f t="shared" si="3"/>
        <v>0.40335851638060471</v>
      </c>
      <c r="AO19" s="16">
        <f t="shared" si="3"/>
        <v>0.40335851638060471</v>
      </c>
      <c r="AP19" s="16">
        <f t="shared" si="3"/>
        <v>0.40335851638060471</v>
      </c>
      <c r="AQ19" s="16">
        <f t="shared" si="3"/>
        <v>0.40335851638060471</v>
      </c>
      <c r="AR19" s="16">
        <f t="shared" si="3"/>
        <v>0.40335851638060471</v>
      </c>
    </row>
    <row r="20" spans="1:44">
      <c r="A20" s="15" t="s">
        <v>46</v>
      </c>
      <c r="B20" s="14"/>
      <c r="C20" s="14"/>
      <c r="D20" s="14"/>
      <c r="E20" s="14"/>
      <c r="F20" s="14"/>
      <c r="G20" s="14"/>
      <c r="H20" s="14"/>
      <c r="I20" s="14"/>
      <c r="J20" s="14"/>
      <c r="K20" s="14"/>
      <c r="L20" s="14"/>
      <c r="M20" s="14"/>
      <c r="N20" s="14"/>
      <c r="O20" s="14"/>
      <c r="P20" s="14"/>
      <c r="Q20" s="14"/>
      <c r="R20" s="14"/>
      <c r="S20" s="14"/>
      <c r="T20" s="13"/>
      <c r="U20" s="16">
        <f>+Inputs!U109</f>
        <v>0.70249326086221142</v>
      </c>
      <c r="V20" s="16">
        <f>+V$19*U20</f>
        <v>0.28335663946875472</v>
      </c>
      <c r="W20" s="16">
        <f>V20</f>
        <v>0.28335663946875472</v>
      </c>
      <c r="X20" s="16">
        <f t="shared" si="3"/>
        <v>0.28335663946875472</v>
      </c>
      <c r="Y20" s="16">
        <f t="shared" si="3"/>
        <v>0.28335663946875472</v>
      </c>
      <c r="Z20" s="16">
        <f t="shared" si="3"/>
        <v>0.28335663946875472</v>
      </c>
      <c r="AA20" s="16">
        <f t="shared" si="3"/>
        <v>0.28335663946875472</v>
      </c>
      <c r="AB20" s="16">
        <f t="shared" si="3"/>
        <v>0.28335663946875472</v>
      </c>
      <c r="AC20" s="16">
        <f t="shared" si="3"/>
        <v>0.28335663946875472</v>
      </c>
      <c r="AD20" s="16">
        <f t="shared" si="3"/>
        <v>0.28335663946875472</v>
      </c>
      <c r="AE20" s="16">
        <f t="shared" si="3"/>
        <v>0.28335663946875472</v>
      </c>
      <c r="AF20" s="16">
        <f t="shared" si="3"/>
        <v>0.28335663946875472</v>
      </c>
      <c r="AG20" s="16">
        <f t="shared" si="3"/>
        <v>0.28335663946875472</v>
      </c>
      <c r="AH20" s="16">
        <f t="shared" si="3"/>
        <v>0.28335663946875472</v>
      </c>
      <c r="AI20" s="16">
        <f t="shared" si="3"/>
        <v>0.28335663946875472</v>
      </c>
      <c r="AJ20" s="16">
        <f t="shared" si="3"/>
        <v>0.28335663946875472</v>
      </c>
      <c r="AK20" s="16">
        <f t="shared" si="3"/>
        <v>0.28335663946875472</v>
      </c>
      <c r="AL20" s="16">
        <f t="shared" si="3"/>
        <v>0.28335663946875472</v>
      </c>
      <c r="AM20" s="16">
        <f t="shared" si="3"/>
        <v>0.28335663946875472</v>
      </c>
      <c r="AN20" s="16">
        <f t="shared" si="3"/>
        <v>0.28335663946875472</v>
      </c>
      <c r="AO20" s="16">
        <f t="shared" si="3"/>
        <v>0.28335663946875472</v>
      </c>
      <c r="AP20" s="16">
        <f t="shared" si="3"/>
        <v>0.28335663946875472</v>
      </c>
      <c r="AQ20" s="16">
        <f t="shared" si="3"/>
        <v>0.28335663946875472</v>
      </c>
      <c r="AR20" s="16">
        <f t="shared" si="3"/>
        <v>0.28335663946875472</v>
      </c>
    </row>
    <row r="21" spans="1:44">
      <c r="A21" s="15" t="s">
        <v>47</v>
      </c>
      <c r="B21" s="14"/>
      <c r="C21" s="14"/>
      <c r="D21" s="14"/>
      <c r="E21" s="14"/>
      <c r="F21" s="14"/>
      <c r="G21" s="14"/>
      <c r="H21" s="14"/>
      <c r="I21" s="14"/>
      <c r="J21" s="14"/>
      <c r="K21" s="14"/>
      <c r="L21" s="14"/>
      <c r="M21" s="14"/>
      <c r="N21" s="14"/>
      <c r="O21" s="14"/>
      <c r="P21" s="14"/>
      <c r="Q21" s="14"/>
      <c r="R21" s="14"/>
      <c r="S21" s="14"/>
      <c r="T21" s="13"/>
      <c r="U21" s="16">
        <f>+Inputs!U110</f>
        <v>0.62966323886435094</v>
      </c>
      <c r="V21" s="16">
        <f t="shared" ref="V21:V24" si="4">+V$19*U21</f>
        <v>0.25398002984773094</v>
      </c>
      <c r="W21" s="16">
        <f>V21</f>
        <v>0.25398002984773094</v>
      </c>
      <c r="X21" s="16">
        <f t="shared" si="3"/>
        <v>0.25398002984773094</v>
      </c>
      <c r="Y21" s="16">
        <f t="shared" si="3"/>
        <v>0.25398002984773094</v>
      </c>
      <c r="Z21" s="16">
        <f t="shared" si="3"/>
        <v>0.25398002984773094</v>
      </c>
      <c r="AA21" s="16">
        <f t="shared" si="3"/>
        <v>0.25398002984773094</v>
      </c>
      <c r="AB21" s="16">
        <f t="shared" si="3"/>
        <v>0.25398002984773094</v>
      </c>
      <c r="AC21" s="16">
        <f t="shared" si="3"/>
        <v>0.25398002984773094</v>
      </c>
      <c r="AD21" s="16">
        <f t="shared" si="3"/>
        <v>0.25398002984773094</v>
      </c>
      <c r="AE21" s="16">
        <f t="shared" si="3"/>
        <v>0.25398002984773094</v>
      </c>
      <c r="AF21" s="16">
        <f t="shared" si="3"/>
        <v>0.25398002984773094</v>
      </c>
      <c r="AG21" s="16">
        <f t="shared" si="3"/>
        <v>0.25398002984773094</v>
      </c>
      <c r="AH21" s="16">
        <f t="shared" si="3"/>
        <v>0.25398002984773094</v>
      </c>
      <c r="AI21" s="16">
        <f t="shared" si="3"/>
        <v>0.25398002984773094</v>
      </c>
      <c r="AJ21" s="16">
        <f t="shared" si="3"/>
        <v>0.25398002984773094</v>
      </c>
      <c r="AK21" s="16">
        <f t="shared" si="3"/>
        <v>0.25398002984773094</v>
      </c>
      <c r="AL21" s="16">
        <f t="shared" si="3"/>
        <v>0.25398002984773094</v>
      </c>
      <c r="AM21" s="16">
        <f t="shared" si="3"/>
        <v>0.25398002984773094</v>
      </c>
      <c r="AN21" s="16">
        <f t="shared" si="3"/>
        <v>0.25398002984773094</v>
      </c>
      <c r="AO21" s="16">
        <f t="shared" si="3"/>
        <v>0.25398002984773094</v>
      </c>
      <c r="AP21" s="16">
        <f t="shared" si="3"/>
        <v>0.25398002984773094</v>
      </c>
      <c r="AQ21" s="16">
        <f t="shared" si="3"/>
        <v>0.25398002984773094</v>
      </c>
      <c r="AR21" s="16">
        <f t="shared" si="3"/>
        <v>0.25398002984773094</v>
      </c>
    </row>
    <row r="22" spans="1:44">
      <c r="A22" s="15" t="s">
        <v>48</v>
      </c>
      <c r="B22" s="14"/>
      <c r="C22" s="14"/>
      <c r="D22" s="14"/>
      <c r="E22" s="14"/>
      <c r="F22" s="14"/>
      <c r="G22" s="14"/>
      <c r="H22" s="14"/>
      <c r="I22" s="14"/>
      <c r="J22" s="14"/>
      <c r="K22" s="14"/>
      <c r="L22" s="14"/>
      <c r="M22" s="14"/>
      <c r="N22" s="14"/>
      <c r="O22" s="14"/>
      <c r="P22" s="14"/>
      <c r="Q22" s="14"/>
      <c r="R22" s="14"/>
      <c r="S22" s="14"/>
      <c r="T22" s="13"/>
      <c r="U22" s="16">
        <f>+Inputs!U111</f>
        <v>0.5</v>
      </c>
      <c r="V22" s="16">
        <f t="shared" si="4"/>
        <v>0.20167925819030236</v>
      </c>
      <c r="W22" s="16">
        <f>V22</f>
        <v>0.20167925819030236</v>
      </c>
      <c r="X22" s="16">
        <f t="shared" si="3"/>
        <v>0.20167925819030236</v>
      </c>
      <c r="Y22" s="16">
        <f t="shared" si="3"/>
        <v>0.20167925819030236</v>
      </c>
      <c r="Z22" s="16">
        <f t="shared" si="3"/>
        <v>0.20167925819030236</v>
      </c>
      <c r="AA22" s="16">
        <f t="shared" si="3"/>
        <v>0.20167925819030236</v>
      </c>
      <c r="AB22" s="16">
        <f t="shared" si="3"/>
        <v>0.20167925819030236</v>
      </c>
      <c r="AC22" s="16">
        <f t="shared" si="3"/>
        <v>0.20167925819030236</v>
      </c>
      <c r="AD22" s="16">
        <f t="shared" si="3"/>
        <v>0.20167925819030236</v>
      </c>
      <c r="AE22" s="16">
        <f t="shared" si="3"/>
        <v>0.20167925819030236</v>
      </c>
      <c r="AF22" s="16">
        <f t="shared" si="3"/>
        <v>0.20167925819030236</v>
      </c>
      <c r="AG22" s="16">
        <f t="shared" si="3"/>
        <v>0.20167925819030236</v>
      </c>
      <c r="AH22" s="16">
        <f t="shared" si="3"/>
        <v>0.20167925819030236</v>
      </c>
      <c r="AI22" s="16">
        <f t="shared" si="3"/>
        <v>0.20167925819030236</v>
      </c>
      <c r="AJ22" s="16">
        <f t="shared" si="3"/>
        <v>0.20167925819030236</v>
      </c>
      <c r="AK22" s="16">
        <f t="shared" si="3"/>
        <v>0.20167925819030236</v>
      </c>
      <c r="AL22" s="16">
        <f t="shared" si="3"/>
        <v>0.20167925819030236</v>
      </c>
      <c r="AM22" s="16">
        <f t="shared" si="3"/>
        <v>0.20167925819030236</v>
      </c>
      <c r="AN22" s="16">
        <f t="shared" si="3"/>
        <v>0.20167925819030236</v>
      </c>
      <c r="AO22" s="16">
        <f t="shared" si="3"/>
        <v>0.20167925819030236</v>
      </c>
      <c r="AP22" s="16">
        <f t="shared" si="3"/>
        <v>0.20167925819030236</v>
      </c>
      <c r="AQ22" s="16">
        <f t="shared" si="3"/>
        <v>0.20167925819030236</v>
      </c>
      <c r="AR22" s="16">
        <f t="shared" si="3"/>
        <v>0.20167925819030236</v>
      </c>
    </row>
    <row r="23" spans="1:44">
      <c r="A23" s="15" t="s">
        <v>184</v>
      </c>
      <c r="B23" s="14"/>
      <c r="C23" s="14"/>
      <c r="D23" s="14"/>
      <c r="E23" s="14"/>
      <c r="F23" s="14"/>
      <c r="G23" s="14"/>
      <c r="H23" s="14"/>
      <c r="I23" s="14"/>
      <c r="J23" s="14"/>
      <c r="K23" s="14"/>
      <c r="L23" s="14"/>
      <c r="M23" s="14"/>
      <c r="N23" s="14"/>
      <c r="O23" s="14"/>
      <c r="P23" s="14"/>
      <c r="Q23" s="14"/>
      <c r="R23" s="14"/>
      <c r="S23" s="14"/>
      <c r="T23" s="13"/>
      <c r="U23" s="16">
        <f>+Inputs!U112</f>
        <v>0.59008170977553098</v>
      </c>
      <c r="V23" s="16">
        <f t="shared" si="4"/>
        <v>0.23801448299838876</v>
      </c>
      <c r="W23" s="16">
        <f>V23</f>
        <v>0.23801448299838876</v>
      </c>
      <c r="X23" s="16">
        <f t="shared" si="3"/>
        <v>0.23801448299838876</v>
      </c>
      <c r="Y23" s="16">
        <f t="shared" si="3"/>
        <v>0.23801448299838876</v>
      </c>
      <c r="Z23" s="16">
        <f t="shared" si="3"/>
        <v>0.23801448299838876</v>
      </c>
      <c r="AA23" s="16">
        <f t="shared" si="3"/>
        <v>0.23801448299838876</v>
      </c>
      <c r="AB23" s="16">
        <f t="shared" si="3"/>
        <v>0.23801448299838876</v>
      </c>
      <c r="AC23" s="16">
        <f t="shared" si="3"/>
        <v>0.23801448299838876</v>
      </c>
      <c r="AD23" s="16">
        <f t="shared" si="3"/>
        <v>0.23801448299838876</v>
      </c>
      <c r="AE23" s="16">
        <f t="shared" si="3"/>
        <v>0.23801448299838876</v>
      </c>
      <c r="AF23" s="16">
        <f t="shared" si="3"/>
        <v>0.23801448299838876</v>
      </c>
      <c r="AG23" s="16">
        <f t="shared" si="3"/>
        <v>0.23801448299838876</v>
      </c>
      <c r="AH23" s="16">
        <f t="shared" si="3"/>
        <v>0.23801448299838876</v>
      </c>
      <c r="AI23" s="16">
        <f t="shared" si="3"/>
        <v>0.23801448299838876</v>
      </c>
      <c r="AJ23" s="16">
        <f t="shared" si="3"/>
        <v>0.23801448299838876</v>
      </c>
      <c r="AK23" s="16">
        <f t="shared" si="3"/>
        <v>0.23801448299838876</v>
      </c>
      <c r="AL23" s="16">
        <f t="shared" si="3"/>
        <v>0.23801448299838876</v>
      </c>
      <c r="AM23" s="16">
        <f t="shared" si="3"/>
        <v>0.23801448299838876</v>
      </c>
      <c r="AN23" s="16">
        <f t="shared" si="3"/>
        <v>0.23801448299838876</v>
      </c>
      <c r="AO23" s="16">
        <f t="shared" si="3"/>
        <v>0.23801448299838876</v>
      </c>
      <c r="AP23" s="16">
        <f t="shared" si="3"/>
        <v>0.23801448299838876</v>
      </c>
      <c r="AQ23" s="16">
        <f t="shared" si="3"/>
        <v>0.23801448299838876</v>
      </c>
      <c r="AR23" s="16">
        <f t="shared" si="3"/>
        <v>0.23801448299838876</v>
      </c>
    </row>
    <row r="24" spans="1:44">
      <c r="A24" s="15" t="s">
        <v>185</v>
      </c>
      <c r="B24" s="14"/>
      <c r="C24" s="14"/>
      <c r="D24" s="14"/>
      <c r="E24" s="14"/>
      <c r="F24" s="14"/>
      <c r="G24" s="14"/>
      <c r="H24" s="14"/>
      <c r="I24" s="14"/>
      <c r="J24" s="14"/>
      <c r="K24" s="14"/>
      <c r="L24" s="14"/>
      <c r="M24" s="14"/>
      <c r="N24" s="14"/>
      <c r="O24" s="14"/>
      <c r="P24" s="14"/>
      <c r="Q24" s="14"/>
      <c r="R24" s="14"/>
      <c r="S24" s="14"/>
      <c r="T24" s="13"/>
      <c r="U24" s="16">
        <f>+Inputs!U113</f>
        <v>0.53600000000000003</v>
      </c>
      <c r="V24" s="16">
        <f t="shared" si="4"/>
        <v>0.21620016478000414</v>
      </c>
      <c r="W24" s="16">
        <f t="shared" ref="W24:AL24" si="5">V24</f>
        <v>0.21620016478000414</v>
      </c>
      <c r="X24" s="16">
        <f t="shared" si="5"/>
        <v>0.21620016478000414</v>
      </c>
      <c r="Y24" s="16">
        <f t="shared" si="5"/>
        <v>0.21620016478000414</v>
      </c>
      <c r="Z24" s="16">
        <f t="shared" si="5"/>
        <v>0.21620016478000414</v>
      </c>
      <c r="AA24" s="16">
        <f t="shared" si="5"/>
        <v>0.21620016478000414</v>
      </c>
      <c r="AB24" s="16">
        <f t="shared" si="5"/>
        <v>0.21620016478000414</v>
      </c>
      <c r="AC24" s="16">
        <f t="shared" si="5"/>
        <v>0.21620016478000414</v>
      </c>
      <c r="AD24" s="16">
        <f t="shared" si="5"/>
        <v>0.21620016478000414</v>
      </c>
      <c r="AE24" s="16">
        <f t="shared" si="5"/>
        <v>0.21620016478000414</v>
      </c>
      <c r="AF24" s="16">
        <f t="shared" si="5"/>
        <v>0.21620016478000414</v>
      </c>
      <c r="AG24" s="16">
        <f t="shared" si="5"/>
        <v>0.21620016478000414</v>
      </c>
      <c r="AH24" s="16">
        <f t="shared" si="5"/>
        <v>0.21620016478000414</v>
      </c>
      <c r="AI24" s="16">
        <f t="shared" si="5"/>
        <v>0.21620016478000414</v>
      </c>
      <c r="AJ24" s="16">
        <f t="shared" si="5"/>
        <v>0.21620016478000414</v>
      </c>
      <c r="AK24" s="16">
        <f t="shared" si="5"/>
        <v>0.21620016478000414</v>
      </c>
      <c r="AL24" s="16">
        <f t="shared" si="5"/>
        <v>0.21620016478000414</v>
      </c>
      <c r="AM24" s="16">
        <f t="shared" si="3"/>
        <v>0.21620016478000414</v>
      </c>
      <c r="AN24" s="16">
        <f t="shared" si="3"/>
        <v>0.21620016478000414</v>
      </c>
      <c r="AO24" s="16">
        <f t="shared" si="3"/>
        <v>0.21620016478000414</v>
      </c>
      <c r="AP24" s="16">
        <f t="shared" si="3"/>
        <v>0.21620016478000414</v>
      </c>
      <c r="AQ24" s="16">
        <f t="shared" si="3"/>
        <v>0.21620016478000414</v>
      </c>
      <c r="AR24" s="16">
        <f t="shared" si="3"/>
        <v>0.21620016478000414</v>
      </c>
    </row>
    <row r="25" spans="1:4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c r="A26" s="12" t="s">
        <v>9</v>
      </c>
      <c r="B26" s="14"/>
      <c r="C26" s="14"/>
      <c r="D26" s="14"/>
      <c r="E26" s="14"/>
      <c r="F26" s="14"/>
      <c r="G26" s="14"/>
      <c r="H26" s="14"/>
      <c r="I26" s="14"/>
      <c r="J26" s="14"/>
      <c r="K26" s="14"/>
      <c r="L26" s="14"/>
      <c r="M26" s="14"/>
      <c r="N26" s="14"/>
      <c r="O26" s="14"/>
      <c r="P26" s="14"/>
      <c r="Q26" s="14"/>
      <c r="R26" s="14"/>
      <c r="S26" s="14"/>
      <c r="U26" s="14"/>
      <c r="V26" s="14">
        <f>SUMPRODUCT(V10:V15,V19:V24)</f>
        <v>21902.573675692904</v>
      </c>
      <c r="W26" s="14">
        <f t="shared" ref="W26:AR26" si="6">SUMPRODUCT(W10:W15,W19:W24)</f>
        <v>22920.54891867538</v>
      </c>
      <c r="X26" s="14">
        <f t="shared" si="6"/>
        <v>23918.491178256154</v>
      </c>
      <c r="Y26" s="14">
        <f t="shared" si="6"/>
        <v>24871.243799036834</v>
      </c>
      <c r="Z26" s="14">
        <f t="shared" si="6"/>
        <v>25694.22526383321</v>
      </c>
      <c r="AA26" s="14">
        <f t="shared" si="6"/>
        <v>26454.362705142295</v>
      </c>
      <c r="AB26" s="14">
        <f t="shared" si="6"/>
        <v>26732.991540964023</v>
      </c>
      <c r="AC26" s="14">
        <f t="shared" si="6"/>
        <v>26926.459260939013</v>
      </c>
      <c r="AD26" s="14">
        <f t="shared" si="6"/>
        <v>27088.256091777948</v>
      </c>
      <c r="AE26" s="14">
        <f t="shared" si="6"/>
        <v>27219.347958647362</v>
      </c>
      <c r="AF26" s="14">
        <f t="shared" si="6"/>
        <v>27320.780447160971</v>
      </c>
      <c r="AG26" s="14">
        <f t="shared" si="6"/>
        <v>27393.67123719992</v>
      </c>
      <c r="AH26" s="14">
        <f t="shared" si="6"/>
        <v>27438.983599118994</v>
      </c>
      <c r="AI26" s="14">
        <f t="shared" si="6"/>
        <v>27457.644314179852</v>
      </c>
      <c r="AJ26" s="14">
        <f t="shared" si="6"/>
        <v>27450.490047450701</v>
      </c>
      <c r="AK26" s="14">
        <f t="shared" si="6"/>
        <v>27418.327153800274</v>
      </c>
      <c r="AL26" s="14">
        <f t="shared" si="6"/>
        <v>27361.985857688065</v>
      </c>
      <c r="AM26" s="14">
        <f t="shared" si="6"/>
        <v>27282.264630017733</v>
      </c>
      <c r="AN26" s="14">
        <f t="shared" si="6"/>
        <v>27179.880104038217</v>
      </c>
      <c r="AO26" s="14">
        <f t="shared" si="6"/>
        <v>27055.573218461428</v>
      </c>
      <c r="AP26" s="14">
        <f t="shared" si="6"/>
        <v>26910.056263588911</v>
      </c>
      <c r="AQ26" s="14">
        <f t="shared" si="6"/>
        <v>26743.965470969899</v>
      </c>
      <c r="AR26" s="14">
        <f t="shared" si="6"/>
        <v>26557.914024737656</v>
      </c>
    </row>
    <row r="27" spans="1:44">
      <c r="A27" s="15" t="s">
        <v>3</v>
      </c>
      <c r="B27" s="14"/>
      <c r="C27" s="14"/>
      <c r="D27" s="14"/>
      <c r="E27" s="14"/>
      <c r="F27" s="14"/>
      <c r="G27" s="14"/>
      <c r="H27" s="14"/>
      <c r="I27" s="14"/>
      <c r="J27" s="14"/>
      <c r="K27" s="14"/>
      <c r="L27" s="14"/>
      <c r="M27" s="14"/>
      <c r="N27" s="14"/>
      <c r="O27" s="14"/>
      <c r="P27" s="14"/>
      <c r="Q27" s="14"/>
      <c r="R27" s="14"/>
      <c r="S27" s="14"/>
      <c r="U27" s="13"/>
      <c r="V27" s="13">
        <f t="shared" ref="V27:AR27" si="7">-V7</f>
        <v>-11861.074300023158</v>
      </c>
      <c r="W27" s="13">
        <f t="shared" si="7"/>
        <v>-7762.4658651348536</v>
      </c>
      <c r="X27" s="13">
        <f t="shared" si="7"/>
        <v>-7467.5724884382516</v>
      </c>
      <c r="Y27" s="13">
        <f t="shared" si="7"/>
        <v>-7208.6356363781233</v>
      </c>
      <c r="Z27" s="13">
        <f t="shared" si="7"/>
        <v>-7238.3992279729955</v>
      </c>
      <c r="AA27" s="13">
        <f t="shared" si="7"/>
        <v>-7106.6886700842888</v>
      </c>
      <c r="AB27" s="13">
        <f t="shared" si="7"/>
        <v>-10750.630248601416</v>
      </c>
      <c r="AC27" s="13">
        <f t="shared" si="7"/>
        <v>-6101.6759130018145</v>
      </c>
      <c r="AD27" s="13">
        <f t="shared" si="7"/>
        <v>-6245.233789356168</v>
      </c>
      <c r="AE27" s="13">
        <f t="shared" si="7"/>
        <v>-6295.8536810483365</v>
      </c>
      <c r="AF27" s="13">
        <f t="shared" si="7"/>
        <v>-6127.7692657447133</v>
      </c>
      <c r="AG27" s="13">
        <f t="shared" si="7"/>
        <v>-6037.7959148835571</v>
      </c>
      <c r="AH27" s="13">
        <f t="shared" si="7"/>
        <v>-5881.0372277147253</v>
      </c>
      <c r="AI27" s="13">
        <f t="shared" si="7"/>
        <v>-5857.0697019200697</v>
      </c>
      <c r="AJ27" s="13">
        <f t="shared" si="7"/>
        <v>-5934.0784308882303</v>
      </c>
      <c r="AK27" s="13">
        <f t="shared" si="7"/>
        <v>-5920.2939914876852</v>
      </c>
      <c r="AL27" s="13">
        <f t="shared" si="7"/>
        <v>-6058.1425113098912</v>
      </c>
      <c r="AM27" s="13">
        <f t="shared" si="7"/>
        <v>-5807.7017147834613</v>
      </c>
      <c r="AN27" s="13">
        <f t="shared" si="7"/>
        <v>-5772.6349844906381</v>
      </c>
      <c r="AO27" s="13">
        <f t="shared" si="7"/>
        <v>-5754.2860080959417</v>
      </c>
      <c r="AP27" s="13">
        <f t="shared" si="7"/>
        <v>-5687.2788976783613</v>
      </c>
      <c r="AQ27" s="13">
        <f t="shared" si="7"/>
        <v>-5572.7698275728017</v>
      </c>
      <c r="AR27" s="13">
        <f t="shared" si="7"/>
        <v>-5457.0752116460808</v>
      </c>
    </row>
    <row r="28" spans="1:44">
      <c r="A28" s="15" t="s">
        <v>8</v>
      </c>
      <c r="B28" s="14"/>
      <c r="C28" s="14"/>
      <c r="D28" s="14"/>
      <c r="E28" s="14"/>
      <c r="F28" s="14"/>
      <c r="G28" s="14"/>
      <c r="H28" s="14"/>
      <c r="I28" s="14"/>
      <c r="J28" s="14"/>
      <c r="K28" s="14"/>
      <c r="L28" s="14"/>
      <c r="M28" s="14"/>
      <c r="N28" s="14"/>
      <c r="O28" s="14"/>
      <c r="P28" s="14"/>
      <c r="Q28" s="14"/>
      <c r="R28" s="14"/>
      <c r="S28" s="14"/>
      <c r="T28" s="17"/>
      <c r="U28" s="13"/>
      <c r="V28" s="13">
        <f t="shared" ref="V28:AR28" si="8">-V8</f>
        <v>-7875.1721053171241</v>
      </c>
      <c r="W28" s="13">
        <f t="shared" si="8"/>
        <v>-7831.3096241695312</v>
      </c>
      <c r="X28" s="13">
        <f t="shared" si="8"/>
        <v>-7761.5951797968764</v>
      </c>
      <c r="Y28" s="13">
        <f t="shared" si="8"/>
        <v>-7845.6225755015967</v>
      </c>
      <c r="Z28" s="13">
        <f t="shared" si="8"/>
        <v>-8158.8947846704868</v>
      </c>
      <c r="AA28" s="13">
        <f t="shared" si="8"/>
        <v>-8178.0772477010569</v>
      </c>
      <c r="AB28" s="13">
        <f t="shared" si="8"/>
        <v>-8349.1399474762202</v>
      </c>
      <c r="AC28" s="13">
        <f t="shared" si="8"/>
        <v>-8515.8280827432045</v>
      </c>
      <c r="AD28" s="13">
        <f t="shared" si="8"/>
        <v>-8678.3308743980906</v>
      </c>
      <c r="AE28" s="13">
        <f t="shared" si="8"/>
        <v>-8836.8370082801939</v>
      </c>
      <c r="AF28" s="13">
        <f t="shared" si="8"/>
        <v>-8991.5191442425894</v>
      </c>
      <c r="AG28" s="13">
        <f t="shared" si="8"/>
        <v>-9142.5503466753453</v>
      </c>
      <c r="AH28" s="13">
        <f t="shared" si="8"/>
        <v>-9290.0885945935825</v>
      </c>
      <c r="AI28" s="13">
        <f t="shared" si="8"/>
        <v>-9434.2644422936664</v>
      </c>
      <c r="AJ28" s="13">
        <f t="shared" si="8"/>
        <v>-9575.2022780724474</v>
      </c>
      <c r="AK28" s="13">
        <f t="shared" si="8"/>
        <v>-9713.049206021542</v>
      </c>
      <c r="AL28" s="13">
        <f t="shared" si="8"/>
        <v>-9847.9387626800726</v>
      </c>
      <c r="AM28" s="13">
        <f t="shared" si="8"/>
        <v>-9979.9785577545499</v>
      </c>
      <c r="AN28" s="13">
        <f t="shared" si="8"/>
        <v>-10109.299689213954</v>
      </c>
      <c r="AO28" s="13">
        <f t="shared" si="8"/>
        <v>-10236.020595737325</v>
      </c>
      <c r="AP28" s="13">
        <f t="shared" si="8"/>
        <v>-10360.234692597251</v>
      </c>
      <c r="AQ28" s="13">
        <f t="shared" si="8"/>
        <v>-10482.031225352466</v>
      </c>
      <c r="AR28" s="13">
        <f t="shared" si="8"/>
        <v>-10602.915669689495</v>
      </c>
    </row>
    <row r="29" spans="1:44">
      <c r="A29" s="12" t="s">
        <v>4</v>
      </c>
      <c r="B29" s="13"/>
      <c r="C29" s="13"/>
      <c r="D29" s="13"/>
      <c r="E29" s="13"/>
      <c r="F29" s="13"/>
      <c r="G29" s="13"/>
      <c r="H29" s="13"/>
      <c r="I29" s="13"/>
      <c r="J29" s="13"/>
      <c r="K29" s="13"/>
      <c r="L29" s="13"/>
      <c r="M29" s="13"/>
      <c r="N29" s="13"/>
      <c r="O29" s="13"/>
      <c r="P29" s="13"/>
      <c r="Q29" s="13"/>
      <c r="R29" s="13"/>
      <c r="S29" s="13"/>
      <c r="U29" s="50"/>
      <c r="V29" s="50">
        <f t="shared" ref="V29:AR29" si="9">SUM(V26:V28)</f>
        <v>2166.3272703526218</v>
      </c>
      <c r="W29" s="50">
        <f t="shared" si="9"/>
        <v>7326.7734293709946</v>
      </c>
      <c r="X29" s="50">
        <f t="shared" si="9"/>
        <v>8689.3235100210259</v>
      </c>
      <c r="Y29" s="50">
        <f t="shared" si="9"/>
        <v>9816.9855871571144</v>
      </c>
      <c r="Z29" s="50">
        <f t="shared" si="9"/>
        <v>10296.931251189726</v>
      </c>
      <c r="AA29" s="50">
        <f t="shared" si="9"/>
        <v>11169.59678735695</v>
      </c>
      <c r="AB29" s="50">
        <f t="shared" si="9"/>
        <v>7633.2213448863877</v>
      </c>
      <c r="AC29" s="50">
        <f t="shared" si="9"/>
        <v>12308.955265193994</v>
      </c>
      <c r="AD29" s="50">
        <f t="shared" si="9"/>
        <v>12164.691428023691</v>
      </c>
      <c r="AE29" s="50">
        <f t="shared" si="9"/>
        <v>12086.657269318834</v>
      </c>
      <c r="AF29" s="50">
        <f t="shared" si="9"/>
        <v>12201.49203717367</v>
      </c>
      <c r="AG29" s="50">
        <f t="shared" si="9"/>
        <v>12213.324975641017</v>
      </c>
      <c r="AH29" s="50">
        <f t="shared" si="9"/>
        <v>12267.857776810686</v>
      </c>
      <c r="AI29" s="50">
        <f t="shared" si="9"/>
        <v>12166.310169966115</v>
      </c>
      <c r="AJ29" s="50">
        <f t="shared" si="9"/>
        <v>11941.209338490025</v>
      </c>
      <c r="AK29" s="50">
        <f t="shared" si="9"/>
        <v>11784.983956291047</v>
      </c>
      <c r="AL29" s="50">
        <f t="shared" si="9"/>
        <v>11455.9045836981</v>
      </c>
      <c r="AM29" s="50">
        <f t="shared" si="9"/>
        <v>11494.584357479724</v>
      </c>
      <c r="AN29" s="50">
        <f t="shared" si="9"/>
        <v>11297.945430333626</v>
      </c>
      <c r="AO29" s="50">
        <f t="shared" si="9"/>
        <v>11065.266614628163</v>
      </c>
      <c r="AP29" s="50">
        <f t="shared" si="9"/>
        <v>10862.542673313301</v>
      </c>
      <c r="AQ29" s="50">
        <f t="shared" si="9"/>
        <v>10689.164418044633</v>
      </c>
      <c r="AR29" s="50">
        <f t="shared" si="9"/>
        <v>10497.923143402082</v>
      </c>
    </row>
    <row r="30" spans="1:4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c r="A31" s="12" t="s">
        <v>10</v>
      </c>
      <c r="B31" s="13"/>
      <c r="C31" s="13"/>
      <c r="D31" s="13"/>
      <c r="E31" s="13"/>
      <c r="F31" s="13"/>
      <c r="G31" s="13"/>
      <c r="H31" s="13"/>
      <c r="I31" s="13"/>
      <c r="J31" s="13"/>
      <c r="K31" s="13"/>
      <c r="L31" s="13"/>
      <c r="M31" s="13"/>
      <c r="N31" s="13"/>
      <c r="O31" s="13"/>
      <c r="P31" s="13"/>
      <c r="Q31" s="13"/>
      <c r="R31" s="13"/>
      <c r="S31" s="13"/>
      <c r="T31" s="13"/>
      <c r="U31" s="14">
        <f>SUM(V31:AR31)</f>
        <v>176074.29498577298</v>
      </c>
      <c r="V31" s="14">
        <f>V29*V4</f>
        <v>2136.722272639895</v>
      </c>
      <c r="W31" s="14">
        <f t="shared" ref="W31:AR31" si="10">W29*W4</f>
        <v>7029.1273686726745</v>
      </c>
      <c r="X31" s="14">
        <f t="shared" si="10"/>
        <v>8108.476428949717</v>
      </c>
      <c r="Y31" s="14">
        <f t="shared" si="10"/>
        <v>8910.3771364458371</v>
      </c>
      <c r="Z31" s="14">
        <f t="shared" si="10"/>
        <v>9090.5547492833102</v>
      </c>
      <c r="AA31" s="14">
        <f t="shared" si="10"/>
        <v>9591.4597851756407</v>
      </c>
      <c r="AB31" s="14">
        <f t="shared" si="10"/>
        <v>6375.5801731795873</v>
      </c>
      <c r="AC31" s="14">
        <f t="shared" si="10"/>
        <v>9999.9467991053662</v>
      </c>
      <c r="AD31" s="14">
        <f t="shared" si="10"/>
        <v>9612.6301738006623</v>
      </c>
      <c r="AE31" s="14">
        <f t="shared" si="10"/>
        <v>9289.9202390791233</v>
      </c>
      <c r="AF31" s="14">
        <f t="shared" si="10"/>
        <v>9121.8590979965957</v>
      </c>
      <c r="AG31" s="14">
        <f t="shared" si="10"/>
        <v>8881.1452443647468</v>
      </c>
      <c r="AH31" s="14">
        <f t="shared" si="10"/>
        <v>8676.976733565607</v>
      </c>
      <c r="AI31" s="14">
        <f t="shared" si="10"/>
        <v>8369.956974774208</v>
      </c>
      <c r="AJ31" s="14">
        <f t="shared" si="10"/>
        <v>7990.5614195587741</v>
      </c>
      <c r="AK31" s="14">
        <f t="shared" si="10"/>
        <v>7670.481355115905</v>
      </c>
      <c r="AL31" s="14">
        <f t="shared" si="10"/>
        <v>7252.4985656014906</v>
      </c>
      <c r="AM31" s="14">
        <f t="shared" si="10"/>
        <v>7078.0915652067797</v>
      </c>
      <c r="AN31" s="14">
        <f t="shared" si="10"/>
        <v>6766.8573021637176</v>
      </c>
      <c r="AO31" s="14">
        <f t="shared" si="10"/>
        <v>6446.3527825952451</v>
      </c>
      <c r="AP31" s="14">
        <f t="shared" si="10"/>
        <v>6155.2872184908783</v>
      </c>
      <c r="AQ31" s="14">
        <f t="shared" si="10"/>
        <v>5891.4910928960189</v>
      </c>
      <c r="AR31" s="14">
        <f t="shared" si="10"/>
        <v>5627.9405071112096</v>
      </c>
    </row>
    <row r="32" spans="1:4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c r="A33" s="12" t="s">
        <v>5</v>
      </c>
      <c r="B33" s="13"/>
      <c r="C33" s="13"/>
      <c r="D33" s="13"/>
      <c r="E33" s="13"/>
      <c r="F33" s="13"/>
      <c r="G33" s="13"/>
      <c r="H33" s="13"/>
      <c r="I33" s="13"/>
      <c r="J33" s="13"/>
      <c r="K33" s="13"/>
      <c r="L33" s="13"/>
      <c r="M33" s="13"/>
      <c r="N33" s="13"/>
      <c r="O33" s="13"/>
      <c r="P33" s="13"/>
      <c r="Q33" s="13"/>
      <c r="R33" s="13"/>
      <c r="S33" s="13"/>
      <c r="U33" s="14"/>
      <c r="V33" s="14">
        <f>'DAV Pi'!V55</f>
        <v>213630.56313598558</v>
      </c>
      <c r="W33" s="14">
        <f>'DAV Pi'!W55</f>
        <v>212963.97813454826</v>
      </c>
      <c r="X33" s="14">
        <f>'DAV Pi'!X55</f>
        <v>211828.0439437771</v>
      </c>
      <c r="Y33" s="14">
        <f>'DAV Pi'!Y55</f>
        <v>210301.21471220371</v>
      </c>
      <c r="Z33" s="14">
        <f>'DAV Pi'!Z55</f>
        <v>208678.17279692291</v>
      </c>
      <c r="AA33" s="14">
        <f>'DAV Pi'!AA55</f>
        <v>206844.38702095111</v>
      </c>
      <c r="AB33" s="14">
        <f>'DAV Pi'!AB55</f>
        <v>208411.72978632344</v>
      </c>
      <c r="AC33" s="14">
        <f>'DAV Pi'!AC55</f>
        <v>205195.91181356908</v>
      </c>
      <c r="AD33" s="14">
        <f>'DAV Pi'!AD55</f>
        <v>201960.5700540934</v>
      </c>
      <c r="AE33" s="14">
        <f>'DAV Pi'!AE55</f>
        <v>198616.74578328838</v>
      </c>
      <c r="AF33" s="14">
        <f>'DAV Pi'!AF55</f>
        <v>194955.66406355216</v>
      </c>
      <c r="AG33" s="14">
        <f>'DAV Pi'!AG55</f>
        <v>191092.40219861199</v>
      </c>
      <c r="AH33" s="14">
        <f>'DAV Pi'!AH55</f>
        <v>186964.54782435347</v>
      </c>
      <c r="AI33" s="14">
        <f>'DAV Pi'!AI55</f>
        <v>182700.88554991735</v>
      </c>
      <c r="AJ33" s="14">
        <f>'DAV Pi'!AJ55</f>
        <v>178393.31811624806</v>
      </c>
      <c r="AK33" s="14">
        <f>'DAV Pi'!AK55</f>
        <v>173942.99161077884</v>
      </c>
      <c r="AL33" s="14">
        <f>'DAV Pi'!AL55</f>
        <v>169479.7733857538</v>
      </c>
      <c r="AM33" s="14">
        <f>'DAV Pi'!AM55</f>
        <v>164628.14603448918</v>
      </c>
      <c r="AN33" s="14">
        <f>'DAV Pi'!AN55</f>
        <v>159609.89707037114</v>
      </c>
      <c r="AO33" s="14">
        <f>'DAV Pi'!AO55</f>
        <v>154451.56650325126</v>
      </c>
      <c r="AP33" s="14">
        <f>'DAV Pi'!AP55</f>
        <v>149117.40753980179</v>
      </c>
      <c r="AQ33" s="14">
        <f>'DAV Pi'!AQ55</f>
        <v>143554.82787683769</v>
      </c>
      <c r="AR33" s="14">
        <f>'DAV Pi'!AR55</f>
        <v>137772.4923334202</v>
      </c>
    </row>
    <row r="34" spans="1:4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c r="A35" s="15" t="s">
        <v>0</v>
      </c>
      <c r="B35" s="14"/>
      <c r="C35" s="14"/>
      <c r="D35" s="14"/>
      <c r="E35" s="14"/>
      <c r="F35" s="14"/>
      <c r="G35" s="14"/>
      <c r="H35" s="14"/>
      <c r="I35" s="14"/>
      <c r="J35" s="14"/>
      <c r="K35" s="14"/>
      <c r="L35" s="14"/>
      <c r="M35" s="14"/>
      <c r="N35" s="14"/>
      <c r="O35" s="14"/>
      <c r="P35" s="14"/>
      <c r="Q35" s="14"/>
      <c r="R35" s="14"/>
      <c r="S35" s="14"/>
      <c r="T35" s="13"/>
      <c r="U35" s="33">
        <f>-Inputs!V51</f>
        <v>-248910.82617562899</v>
      </c>
    </row>
    <row r="36" spans="1:44">
      <c r="A36" s="15" t="s">
        <v>114</v>
      </c>
      <c r="B36" s="14"/>
      <c r="C36" s="14"/>
      <c r="D36" s="14"/>
      <c r="E36" s="14"/>
      <c r="F36" s="14"/>
      <c r="G36" s="14"/>
      <c r="H36" s="14"/>
      <c r="I36" s="14"/>
      <c r="J36" s="14"/>
      <c r="K36" s="14"/>
      <c r="L36" s="14"/>
      <c r="M36" s="14"/>
      <c r="N36" s="14"/>
      <c r="O36" s="14"/>
      <c r="P36" s="14"/>
      <c r="Q36" s="14"/>
      <c r="R36" s="14"/>
      <c r="S36" s="14"/>
      <c r="T36" s="13"/>
      <c r="U36" s="33">
        <f>AR33*AR5</f>
        <v>72836.531189856047</v>
      </c>
    </row>
    <row r="37" spans="1:44">
      <c r="A37" s="12" t="s">
        <v>337</v>
      </c>
      <c r="B37" s="13"/>
      <c r="C37" s="13"/>
      <c r="D37" s="13"/>
      <c r="E37" s="13"/>
      <c r="F37" s="13"/>
      <c r="G37" s="13"/>
      <c r="H37" s="13"/>
      <c r="I37" s="13"/>
      <c r="J37" s="13"/>
      <c r="K37" s="13"/>
      <c r="L37" s="13"/>
      <c r="M37" s="13"/>
      <c r="N37" s="13"/>
      <c r="O37" s="13"/>
      <c r="P37" s="13"/>
      <c r="Q37" s="13"/>
      <c r="R37" s="13"/>
      <c r="S37" s="13"/>
      <c r="T37" s="13"/>
      <c r="U37" s="33">
        <f>SUM(U31:U36)</f>
        <v>0</v>
      </c>
    </row>
    <row r="38" spans="1:4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c r="A39" s="12" t="s">
        <v>11</v>
      </c>
      <c r="B39" s="13"/>
      <c r="C39" s="13"/>
      <c r="D39" s="13"/>
      <c r="E39" s="13"/>
      <c r="F39" s="13"/>
      <c r="G39" s="13"/>
      <c r="H39" s="13"/>
      <c r="I39" s="13"/>
      <c r="J39" s="13"/>
      <c r="K39" s="13"/>
      <c r="L39" s="13"/>
      <c r="M39" s="13"/>
      <c r="N39" s="13"/>
      <c r="O39" s="13"/>
      <c r="P39" s="13"/>
      <c r="Q39" s="13"/>
      <c r="R39" s="13"/>
      <c r="S39" s="13"/>
      <c r="U39" s="14"/>
      <c r="V39" s="14"/>
      <c r="W39" s="14"/>
      <c r="X39" s="14"/>
      <c r="Y39" s="14"/>
      <c r="Z39" s="14"/>
      <c r="AA39" s="14">
        <f>AA44+AA43</f>
        <v>240955.15074715408</v>
      </c>
      <c r="AB39" s="14"/>
      <c r="AC39" s="14"/>
      <c r="AD39" s="14"/>
      <c r="AE39" s="14"/>
      <c r="AF39" s="14"/>
      <c r="AG39" s="14">
        <f>AG43+AG44</f>
        <v>210241.84423878836</v>
      </c>
      <c r="AH39" s="14"/>
      <c r="AI39" s="14"/>
      <c r="AJ39" s="14"/>
      <c r="AK39" s="14"/>
      <c r="AL39" s="14"/>
      <c r="AM39" s="14">
        <f>AM43+AM44</f>
        <v>170811.71281901473</v>
      </c>
      <c r="AN39" s="14"/>
      <c r="AO39" s="14"/>
      <c r="AP39" s="14"/>
      <c r="AQ39" s="14"/>
      <c r="AR39" s="14">
        <f>AR43+AR44</f>
        <v>137772.4923334202</v>
      </c>
    </row>
    <row r="40" spans="1:44">
      <c r="A40" s="18"/>
    </row>
    <row r="41" spans="1:44">
      <c r="A41" s="12" t="s">
        <v>12</v>
      </c>
      <c r="B41" s="13"/>
      <c r="C41" s="13"/>
      <c r="D41" s="13"/>
      <c r="E41" s="13"/>
      <c r="F41" s="13"/>
      <c r="G41" s="13"/>
      <c r="H41" s="13"/>
      <c r="I41" s="13"/>
      <c r="J41" s="13"/>
      <c r="K41" s="13"/>
      <c r="L41" s="13"/>
      <c r="M41" s="13"/>
      <c r="N41" s="13"/>
      <c r="O41" s="13"/>
      <c r="P41" s="13"/>
      <c r="Q41" s="13"/>
      <c r="R41" s="13"/>
      <c r="S41" s="13"/>
      <c r="U41" s="13"/>
      <c r="V41" s="13">
        <f t="shared" ref="V41:AA41" si="11">V29*(1+$AA$3*$U$4)*(1+$AA$3)^($AA$1-V1)</f>
        <v>2523.2497093838729</v>
      </c>
      <c r="W41" s="13">
        <f t="shared" si="11"/>
        <v>8300.6780138593476</v>
      </c>
      <c r="X41" s="13">
        <f t="shared" si="11"/>
        <v>9575.2784790395963</v>
      </c>
      <c r="Y41" s="13">
        <f t="shared" si="11"/>
        <v>10522.240914473205</v>
      </c>
      <c r="Z41" s="13">
        <f t="shared" si="11"/>
        <v>10735.012183369998</v>
      </c>
      <c r="AA41" s="13">
        <f t="shared" si="11"/>
        <v>11326.529622219314</v>
      </c>
      <c r="AB41" s="13">
        <f t="shared" ref="AB41:AG41" si="12">AB29*(1+$AG$3*$U$4)*(1+$AG$3)^($AG$1-AB1)</f>
        <v>8890.8651078432122</v>
      </c>
      <c r="AC41" s="13">
        <f t="shared" si="12"/>
        <v>13945.111764176063</v>
      </c>
      <c r="AD41" s="13">
        <f t="shared" si="12"/>
        <v>13404.991527888325</v>
      </c>
      <c r="AE41" s="13">
        <f t="shared" si="12"/>
        <v>12954.966523004858</v>
      </c>
      <c r="AF41" s="13">
        <f t="shared" si="12"/>
        <v>12720.602136604277</v>
      </c>
      <c r="AG41" s="13">
        <f t="shared" si="12"/>
        <v>12384.922191548772</v>
      </c>
      <c r="AH41" s="13">
        <f t="shared" ref="AH41:AM41" si="13">AH29*(1+$AM$3*$U$4)*(1+$AM$3)^($AM$1-AH1)</f>
        <v>14289.100725331129</v>
      </c>
      <c r="AI41" s="13">
        <f t="shared" si="13"/>
        <v>13783.50570154058</v>
      </c>
      <c r="AJ41" s="13">
        <f t="shared" si="13"/>
        <v>13158.723421988638</v>
      </c>
      <c r="AK41" s="13">
        <f t="shared" si="13"/>
        <v>12631.62090443755</v>
      </c>
      <c r="AL41" s="13">
        <f t="shared" si="13"/>
        <v>11943.293810310141</v>
      </c>
      <c r="AM41" s="13">
        <f t="shared" si="13"/>
        <v>11656.083267702312</v>
      </c>
      <c r="AN41" s="13">
        <f>AN29*(1+$AR$3*$U$4)*(1+$AR$3)^($AR$1-AN1)</f>
        <v>12799.71438169668</v>
      </c>
      <c r="AO41" s="13">
        <f>AO29*(1+$AR$3*$U$4)*(1+$AR$3)^($AR$1-AO1)</f>
        <v>12193.470430430321</v>
      </c>
      <c r="AP41" s="13">
        <f>AP29*(1+$AR$3*$U$4)*(1+$AR$3)^($AR$1-AP1)</f>
        <v>11642.911150025209</v>
      </c>
      <c r="AQ41" s="13">
        <f>AQ29*(1+$AR$3*$U$4)*(1+$AR$3)^($AR$1-AQ1)</f>
        <v>11143.932833823281</v>
      </c>
      <c r="AR41" s="13">
        <f>AR29*(1+$AR$3*$U$4)*(1+$AR$3)^($AR$1-AR1)</f>
        <v>10645.418963566881</v>
      </c>
    </row>
    <row r="42" spans="1:44">
      <c r="A42" s="12" t="s">
        <v>13</v>
      </c>
      <c r="B42" s="13"/>
      <c r="C42" s="13"/>
      <c r="D42" s="13"/>
      <c r="E42" s="13"/>
      <c r="F42" s="13"/>
      <c r="G42" s="13"/>
      <c r="H42" s="13"/>
      <c r="I42" s="13"/>
      <c r="J42" s="13"/>
      <c r="K42" s="13"/>
      <c r="L42" s="13"/>
      <c r="M42" s="13"/>
      <c r="N42" s="13"/>
      <c r="O42" s="13"/>
      <c r="P42" s="13"/>
      <c r="Q42" s="13"/>
      <c r="R42" s="13"/>
      <c r="S42" s="13"/>
      <c r="U42" s="13">
        <f>-U35</f>
        <v>248910.82617562899</v>
      </c>
      <c r="V42" s="13"/>
      <c r="W42" s="13"/>
      <c r="X42" s="13"/>
      <c r="Y42" s="13"/>
      <c r="Z42" s="13"/>
      <c r="AA42" s="13">
        <f>-$U$42*(1+AA3)^(AA1-U1)</f>
        <v>-293938.13966949942</v>
      </c>
      <c r="AB42" s="13"/>
      <c r="AC42" s="13"/>
      <c r="AD42" s="13"/>
      <c r="AE42" s="13"/>
      <c r="AF42" s="13"/>
      <c r="AG42" s="13">
        <f>-AA39*(1+AG3)^(AG1-AA1)</f>
        <v>-284543.30348985386</v>
      </c>
      <c r="AH42" s="13"/>
      <c r="AI42" s="13"/>
      <c r="AJ42" s="13"/>
      <c r="AK42" s="13"/>
      <c r="AL42" s="13"/>
      <c r="AM42" s="13">
        <f>-AG39*(1+AM3)^(AM1-AG1)</f>
        <v>-248274.04065032507</v>
      </c>
      <c r="AN42" s="13"/>
      <c r="AO42" s="13"/>
      <c r="AP42" s="13"/>
      <c r="AQ42" s="13"/>
      <c r="AR42" s="13">
        <f>-AM39*(1+AR3)^(AR1-AM1)</f>
        <v>-196197.94009296244</v>
      </c>
    </row>
    <row r="43" spans="1:44">
      <c r="A43" s="12" t="s">
        <v>1</v>
      </c>
      <c r="B43" s="13"/>
      <c r="C43" s="13"/>
      <c r="D43" s="13"/>
      <c r="E43" s="13"/>
      <c r="F43" s="13"/>
      <c r="G43" s="13"/>
      <c r="H43" s="13"/>
      <c r="I43" s="13"/>
      <c r="J43" s="13"/>
      <c r="K43" s="13"/>
      <c r="L43" s="13"/>
      <c r="M43" s="13"/>
      <c r="N43" s="13"/>
      <c r="O43" s="13"/>
      <c r="P43" s="13"/>
      <c r="Q43" s="13"/>
      <c r="R43" s="13"/>
      <c r="S43" s="13"/>
      <c r="U43" s="13"/>
      <c r="V43" s="13"/>
      <c r="W43" s="13"/>
      <c r="X43" s="13"/>
      <c r="Y43" s="13"/>
      <c r="Z43" s="13"/>
      <c r="AA43" s="13">
        <f>AA33</f>
        <v>206844.38702095111</v>
      </c>
      <c r="AB43" s="13"/>
      <c r="AC43" s="13"/>
      <c r="AD43" s="13"/>
      <c r="AE43" s="13"/>
      <c r="AF43" s="13"/>
      <c r="AG43" s="13">
        <f>AG33</f>
        <v>191092.40219861199</v>
      </c>
      <c r="AH43" s="13"/>
      <c r="AI43" s="13"/>
      <c r="AJ43" s="13"/>
      <c r="AK43" s="13"/>
      <c r="AL43" s="13"/>
      <c r="AM43" s="13">
        <f>AM33</f>
        <v>164628.14603448918</v>
      </c>
      <c r="AN43" s="13"/>
      <c r="AO43" s="13"/>
      <c r="AP43" s="13"/>
      <c r="AQ43" s="13"/>
      <c r="AR43" s="13">
        <f>AR33</f>
        <v>137772.4923334202</v>
      </c>
    </row>
    <row r="44" spans="1:44">
      <c r="A44" s="12" t="s">
        <v>14</v>
      </c>
      <c r="B44" s="13"/>
      <c r="C44" s="13"/>
      <c r="D44" s="13"/>
      <c r="E44" s="13"/>
      <c r="F44" s="13"/>
      <c r="G44" s="13"/>
      <c r="H44" s="13"/>
      <c r="I44" s="13"/>
      <c r="J44" s="13"/>
      <c r="K44" s="13"/>
      <c r="L44" s="13"/>
      <c r="M44" s="13"/>
      <c r="N44" s="13"/>
      <c r="O44" s="13"/>
      <c r="P44" s="13"/>
      <c r="Q44" s="13"/>
      <c r="R44" s="13"/>
      <c r="S44" s="13"/>
      <c r="U44" s="13"/>
      <c r="V44" s="13"/>
      <c r="W44" s="13"/>
      <c r="X44" s="13"/>
      <c r="Y44" s="13"/>
      <c r="Z44" s="13"/>
      <c r="AA44" s="13">
        <f>-SUM(V41:AA43)</f>
        <v>34110.763726202975</v>
      </c>
      <c r="AB44" s="13"/>
      <c r="AC44" s="13"/>
      <c r="AD44" s="13"/>
      <c r="AE44" s="13"/>
      <c r="AF44" s="13"/>
      <c r="AG44" s="13">
        <f>-SUM(AB41:AG43)</f>
        <v>19149.442040176364</v>
      </c>
      <c r="AH44" s="13"/>
      <c r="AI44" s="13"/>
      <c r="AJ44" s="13"/>
      <c r="AK44" s="13"/>
      <c r="AL44" s="13"/>
      <c r="AM44" s="13">
        <f>-SUM(AH41:AM43)</f>
        <v>6183.5667845255521</v>
      </c>
      <c r="AN44" s="13"/>
      <c r="AO44" s="13"/>
      <c r="AP44" s="13" t="s">
        <v>191</v>
      </c>
      <c r="AQ44" s="13"/>
      <c r="AR44" s="13">
        <f>SUM(AN41:AR43)</f>
        <v>0</v>
      </c>
    </row>
    <row r="45" spans="1:44">
      <c r="A45" s="30"/>
    </row>
    <row r="46" spans="1:44">
      <c r="A46" s="30" t="s">
        <v>156</v>
      </c>
    </row>
    <row r="47" spans="1:44">
      <c r="A47" s="9" t="s">
        <v>35</v>
      </c>
      <c r="V47" s="33">
        <f>+V58</f>
        <v>2196.7641685010763</v>
      </c>
      <c r="W47" s="33">
        <f t="shared" ref="W47:AR47" si="14">+W58</f>
        <v>9688.2078376896134</v>
      </c>
      <c r="X47" s="33">
        <f t="shared" si="14"/>
        <v>18771.854983265512</v>
      </c>
      <c r="Y47" s="33">
        <f t="shared" si="14"/>
        <v>29254.258342951944</v>
      </c>
      <c r="Z47" s="33">
        <f t="shared" si="14"/>
        <v>40517.906137657839</v>
      </c>
      <c r="AA47" s="33">
        <f t="shared" si="14"/>
        <v>52982.988922345343</v>
      </c>
      <c r="AB47" s="33">
        <f t="shared" si="14"/>
        <v>62212.279015845292</v>
      </c>
      <c r="AC47" s="33">
        <f t="shared" si="14"/>
        <v>76442.340142860514</v>
      </c>
      <c r="AD47" s="33">
        <f t="shared" si="14"/>
        <v>90925.975243462322</v>
      </c>
      <c r="AE47" s="33">
        <f t="shared" si="14"/>
        <v>105737.46995175637</v>
      </c>
      <c r="AF47" s="33">
        <f t="shared" si="14"/>
        <v>121081.61585769668</v>
      </c>
      <c r="AG47" s="33">
        <f t="shared" si="14"/>
        <v>136868.93145484672</v>
      </c>
      <c r="AH47" s="33">
        <f t="shared" si="14"/>
        <v>153155.16960730279</v>
      </c>
      <c r="AI47" s="33">
        <f t="shared" si="14"/>
        <v>169796.07670112213</v>
      </c>
      <c r="AJ47" s="33">
        <f t="shared" si="14"/>
        <v>186676.32978611949</v>
      </c>
      <c r="AK47" s="33">
        <f t="shared" si="14"/>
        <v>203872.49763398638</v>
      </c>
      <c r="AL47" s="33">
        <f t="shared" si="14"/>
        <v>221218.17486060047</v>
      </c>
      <c r="AM47" s="33">
        <f t="shared" si="14"/>
        <v>239090.48884188564</v>
      </c>
      <c r="AN47" s="33">
        <f t="shared" si="14"/>
        <v>257265.61314197246</v>
      </c>
      <c r="AO47" s="33">
        <f t="shared" si="14"/>
        <v>275715.51048182556</v>
      </c>
      <c r="AP47" s="33">
        <f t="shared" si="14"/>
        <v>294478.27772423823</v>
      </c>
      <c r="AQ47" s="33">
        <f t="shared" si="14"/>
        <v>313592.46450640744</v>
      </c>
      <c r="AR47" s="33">
        <f t="shared" si="14"/>
        <v>333049.8317226044</v>
      </c>
    </row>
    <row r="48" spans="1:44">
      <c r="A48" s="9" t="s">
        <v>36</v>
      </c>
      <c r="V48" s="33">
        <f t="shared" ref="V48:AR48" si="15">-$U42/V$5</f>
        <v>-255905.22039116416</v>
      </c>
      <c r="W48" s="33">
        <f t="shared" si="15"/>
        <v>-263096.15708415589</v>
      </c>
      <c r="X48" s="33">
        <f t="shared" si="15"/>
        <v>-270489.15909822064</v>
      </c>
      <c r="Y48" s="33">
        <f t="shared" si="15"/>
        <v>-278089.90446888068</v>
      </c>
      <c r="Z48" s="33">
        <f t="shared" si="15"/>
        <v>-285904.23078445619</v>
      </c>
      <c r="AA48" s="33">
        <f t="shared" si="15"/>
        <v>-293938.13966949942</v>
      </c>
      <c r="AB48" s="33">
        <f t="shared" si="15"/>
        <v>-302197.80139421235</v>
      </c>
      <c r="AC48" s="33">
        <f t="shared" si="15"/>
        <v>-310689.55961338972</v>
      </c>
      <c r="AD48" s="33">
        <f t="shared" si="15"/>
        <v>-319419.93623852596</v>
      </c>
      <c r="AE48" s="33">
        <f t="shared" si="15"/>
        <v>-328395.63644682855</v>
      </c>
      <c r="AF48" s="33">
        <f t="shared" si="15"/>
        <v>-337623.55383098446</v>
      </c>
      <c r="AG48" s="33">
        <f t="shared" si="15"/>
        <v>-347110.77569363511</v>
      </c>
      <c r="AH48" s="33">
        <f t="shared" si="15"/>
        <v>-356864.58849062625</v>
      </c>
      <c r="AI48" s="33">
        <f t="shared" si="15"/>
        <v>-366892.48342721286</v>
      </c>
      <c r="AJ48" s="33">
        <f t="shared" si="15"/>
        <v>-377202.16221151751</v>
      </c>
      <c r="AK48" s="33">
        <f t="shared" si="15"/>
        <v>-387801.54296966118</v>
      </c>
      <c r="AL48" s="33">
        <f t="shared" si="15"/>
        <v>-398698.76632710861</v>
      </c>
      <c r="AM48" s="33">
        <f t="shared" si="15"/>
        <v>-409902.20166090038</v>
      </c>
      <c r="AN48" s="33">
        <f t="shared" si="15"/>
        <v>-421420.45352757163</v>
      </c>
      <c r="AO48" s="33">
        <f t="shared" si="15"/>
        <v>-433262.36827169638</v>
      </c>
      <c r="AP48" s="33">
        <f t="shared" si="15"/>
        <v>-445437.04082013108</v>
      </c>
      <c r="AQ48" s="33">
        <f t="shared" si="15"/>
        <v>-457953.82166717679</v>
      </c>
      <c r="AR48" s="33">
        <f t="shared" si="15"/>
        <v>-470822.32405602437</v>
      </c>
    </row>
    <row r="49" spans="1:44">
      <c r="A49" s="9" t="s">
        <v>37</v>
      </c>
      <c r="U49" s="33">
        <f>+Inputs!V43</f>
        <v>210011.50325187889</v>
      </c>
      <c r="V49" s="33">
        <f t="shared" ref="V49:AR49" si="16">+V33</f>
        <v>213630.56313598558</v>
      </c>
      <c r="W49" s="33">
        <f t="shared" si="16"/>
        <v>212963.97813454826</v>
      </c>
      <c r="X49" s="33">
        <f t="shared" si="16"/>
        <v>211828.0439437771</v>
      </c>
      <c r="Y49" s="33">
        <f t="shared" si="16"/>
        <v>210301.21471220371</v>
      </c>
      <c r="Z49" s="33">
        <f t="shared" si="16"/>
        <v>208678.17279692291</v>
      </c>
      <c r="AA49" s="33">
        <f t="shared" si="16"/>
        <v>206844.38702095111</v>
      </c>
      <c r="AB49" s="33">
        <f t="shared" si="16"/>
        <v>208411.72978632344</v>
      </c>
      <c r="AC49" s="33">
        <f t="shared" si="16"/>
        <v>205195.91181356908</v>
      </c>
      <c r="AD49" s="33">
        <f t="shared" si="16"/>
        <v>201960.5700540934</v>
      </c>
      <c r="AE49" s="33">
        <f t="shared" si="16"/>
        <v>198616.74578328838</v>
      </c>
      <c r="AF49" s="33">
        <f t="shared" si="16"/>
        <v>194955.66406355216</v>
      </c>
      <c r="AG49" s="33">
        <f t="shared" si="16"/>
        <v>191092.40219861199</v>
      </c>
      <c r="AH49" s="33">
        <f t="shared" si="16"/>
        <v>186964.54782435347</v>
      </c>
      <c r="AI49" s="33">
        <f t="shared" si="16"/>
        <v>182700.88554991735</v>
      </c>
      <c r="AJ49" s="33">
        <f t="shared" si="16"/>
        <v>178393.31811624806</v>
      </c>
      <c r="AK49" s="33">
        <f t="shared" si="16"/>
        <v>173942.99161077884</v>
      </c>
      <c r="AL49" s="33">
        <f t="shared" si="16"/>
        <v>169479.7733857538</v>
      </c>
      <c r="AM49" s="33">
        <f t="shared" si="16"/>
        <v>164628.14603448918</v>
      </c>
      <c r="AN49" s="33">
        <f t="shared" si="16"/>
        <v>159609.89707037114</v>
      </c>
      <c r="AO49" s="33">
        <f t="shared" si="16"/>
        <v>154451.56650325126</v>
      </c>
      <c r="AP49" s="33">
        <f t="shared" si="16"/>
        <v>149117.40753980179</v>
      </c>
      <c r="AQ49" s="33">
        <f t="shared" si="16"/>
        <v>143554.82787683769</v>
      </c>
      <c r="AR49" s="33">
        <f t="shared" si="16"/>
        <v>137772.4923334202</v>
      </c>
    </row>
    <row r="50" spans="1:44">
      <c r="A50" s="9" t="s">
        <v>38</v>
      </c>
      <c r="U50" s="49">
        <f>+Inputs!V44</f>
        <v>38899.322923750093</v>
      </c>
      <c r="V50" s="49">
        <f t="shared" ref="V50:AR50" si="17">-SUM(V47:V49)</f>
        <v>40077.893086677504</v>
      </c>
      <c r="W50" s="49">
        <f t="shared" si="17"/>
        <v>40443.971111918014</v>
      </c>
      <c r="X50" s="49">
        <f t="shared" si="17"/>
        <v>39889.26017117803</v>
      </c>
      <c r="Y50" s="49">
        <f t="shared" si="17"/>
        <v>38534.431413725019</v>
      </c>
      <c r="Z50" s="49">
        <f t="shared" si="17"/>
        <v>36708.15184987543</v>
      </c>
      <c r="AA50" s="49">
        <f t="shared" si="17"/>
        <v>34110.763726202975</v>
      </c>
      <c r="AB50" s="49">
        <f t="shared" si="17"/>
        <v>31573.79259204361</v>
      </c>
      <c r="AC50" s="49">
        <f t="shared" si="17"/>
        <v>29051.307656960125</v>
      </c>
      <c r="AD50" s="49">
        <f t="shared" si="17"/>
        <v>26533.390940970246</v>
      </c>
      <c r="AE50" s="49">
        <f t="shared" si="17"/>
        <v>24041.420711783809</v>
      </c>
      <c r="AF50" s="49">
        <f t="shared" si="17"/>
        <v>21586.27390973561</v>
      </c>
      <c r="AG50" s="49">
        <f t="shared" si="17"/>
        <v>19149.442040176393</v>
      </c>
      <c r="AH50" s="49">
        <f t="shared" si="17"/>
        <v>16744.871058969991</v>
      </c>
      <c r="AI50" s="49">
        <f t="shared" si="17"/>
        <v>14395.521176173381</v>
      </c>
      <c r="AJ50" s="49">
        <f t="shared" si="17"/>
        <v>12132.514309149963</v>
      </c>
      <c r="AK50" s="49">
        <f t="shared" si="17"/>
        <v>9986.053724895959</v>
      </c>
      <c r="AL50" s="49">
        <f t="shared" si="17"/>
        <v>8000.8180807543395</v>
      </c>
      <c r="AM50" s="49">
        <f t="shared" si="17"/>
        <v>6183.5667845255521</v>
      </c>
      <c r="AN50" s="49">
        <f t="shared" si="17"/>
        <v>4544.9433152280399</v>
      </c>
      <c r="AO50" s="49">
        <f t="shared" si="17"/>
        <v>3095.2912866195547</v>
      </c>
      <c r="AP50" s="49">
        <f t="shared" si="17"/>
        <v>1841.3555560910609</v>
      </c>
      <c r="AQ50" s="49">
        <f t="shared" si="17"/>
        <v>806.52928393165348</v>
      </c>
      <c r="AR50" s="49">
        <f t="shared" si="17"/>
        <v>-2.3283064365386963E-10</v>
      </c>
    </row>
    <row r="51" spans="1:44">
      <c r="A51" s="9"/>
    </row>
    <row r="52" spans="1:44">
      <c r="A52" s="9" t="s">
        <v>0</v>
      </c>
      <c r="U52" s="33">
        <f>+U42</f>
        <v>248910.82617562899</v>
      </c>
      <c r="V52" s="33">
        <f t="shared" ref="V52:AR52" si="18">SUM(V49:V50)</f>
        <v>253708.45622266308</v>
      </c>
      <c r="W52" s="33">
        <f t="shared" si="18"/>
        <v>253407.94924646628</v>
      </c>
      <c r="X52" s="33">
        <f t="shared" si="18"/>
        <v>251717.30411495513</v>
      </c>
      <c r="Y52" s="33">
        <f t="shared" si="18"/>
        <v>248835.64612592873</v>
      </c>
      <c r="Z52" s="33">
        <f t="shared" si="18"/>
        <v>245386.32464679834</v>
      </c>
      <c r="AA52" s="33">
        <f t="shared" si="18"/>
        <v>240955.15074715408</v>
      </c>
      <c r="AB52" s="33">
        <f t="shared" si="18"/>
        <v>239985.52237836705</v>
      </c>
      <c r="AC52" s="33">
        <f t="shared" si="18"/>
        <v>234247.21947052921</v>
      </c>
      <c r="AD52" s="33">
        <f t="shared" si="18"/>
        <v>228493.96099506365</v>
      </c>
      <c r="AE52" s="33">
        <f t="shared" si="18"/>
        <v>222658.16649507219</v>
      </c>
      <c r="AF52" s="33">
        <f t="shared" si="18"/>
        <v>216541.93797328777</v>
      </c>
      <c r="AG52" s="33">
        <f t="shared" si="18"/>
        <v>210241.84423878838</v>
      </c>
      <c r="AH52" s="33">
        <f t="shared" si="18"/>
        <v>203709.41888332347</v>
      </c>
      <c r="AI52" s="33">
        <f t="shared" si="18"/>
        <v>197096.40672609073</v>
      </c>
      <c r="AJ52" s="33">
        <f t="shared" si="18"/>
        <v>190525.83242539802</v>
      </c>
      <c r="AK52" s="33">
        <f t="shared" si="18"/>
        <v>183929.0453356748</v>
      </c>
      <c r="AL52" s="33">
        <f t="shared" si="18"/>
        <v>177480.59146650814</v>
      </c>
      <c r="AM52" s="33">
        <f t="shared" si="18"/>
        <v>170811.71281901473</v>
      </c>
      <c r="AN52" s="33">
        <f t="shared" si="18"/>
        <v>164154.84038559918</v>
      </c>
      <c r="AO52" s="33">
        <f t="shared" si="18"/>
        <v>157546.85778987082</v>
      </c>
      <c r="AP52" s="33">
        <f t="shared" si="18"/>
        <v>150958.76309589285</v>
      </c>
      <c r="AQ52" s="33">
        <f t="shared" si="18"/>
        <v>144361.35716076934</v>
      </c>
      <c r="AR52" s="33">
        <f t="shared" si="18"/>
        <v>137772.49233341997</v>
      </c>
    </row>
    <row r="53" spans="1:44">
      <c r="A53" s="135"/>
      <c r="B53" s="136"/>
      <c r="C53" s="136"/>
      <c r="D53" s="136"/>
      <c r="E53" s="136"/>
      <c r="F53" s="136"/>
      <c r="G53" s="136"/>
      <c r="H53" s="136"/>
      <c r="I53" s="136"/>
      <c r="J53" s="136"/>
      <c r="K53" s="136"/>
      <c r="L53" s="136"/>
      <c r="M53" s="136"/>
      <c r="N53" s="136"/>
      <c r="O53" s="136"/>
      <c r="P53" s="136"/>
      <c r="Q53" s="136"/>
      <c r="R53" s="136"/>
      <c r="S53" s="136"/>
      <c r="T53" s="136"/>
    </row>
    <row r="54" spans="1:44">
      <c r="A54" s="19" t="s">
        <v>30</v>
      </c>
      <c r="B54" s="20"/>
      <c r="U54" s="20"/>
      <c r="V54" s="20">
        <v>0</v>
      </c>
      <c r="W54" s="20">
        <f>+V58</f>
        <v>2196.7641685010763</v>
      </c>
      <c r="X54" s="20">
        <f>+W58</f>
        <v>9688.2078376896134</v>
      </c>
      <c r="Y54" s="20">
        <f>+X58</f>
        <v>18771.854983265512</v>
      </c>
      <c r="Z54" s="20">
        <f>+Y58</f>
        <v>29254.258342951944</v>
      </c>
      <c r="AA54" s="20">
        <f>+Z58</f>
        <v>40517.906137657839</v>
      </c>
      <c r="AB54" s="20">
        <f t="shared" ref="AB54:AR54" si="19">+AA58</f>
        <v>52982.988922345343</v>
      </c>
      <c r="AC54" s="20">
        <f t="shared" si="19"/>
        <v>62212.279015845292</v>
      </c>
      <c r="AD54" s="20">
        <f t="shared" si="19"/>
        <v>76442.340142860514</v>
      </c>
      <c r="AE54" s="20">
        <f t="shared" si="19"/>
        <v>90925.975243462322</v>
      </c>
      <c r="AF54" s="20">
        <f t="shared" si="19"/>
        <v>105737.46995175637</v>
      </c>
      <c r="AG54" s="20">
        <f t="shared" si="19"/>
        <v>121081.61585769668</v>
      </c>
      <c r="AH54" s="20">
        <f t="shared" si="19"/>
        <v>136868.93145484672</v>
      </c>
      <c r="AI54" s="20">
        <f t="shared" si="19"/>
        <v>153155.16960730279</v>
      </c>
      <c r="AJ54" s="20">
        <f t="shared" si="19"/>
        <v>169796.07670112213</v>
      </c>
      <c r="AK54" s="20">
        <f t="shared" si="19"/>
        <v>186676.32978611949</v>
      </c>
      <c r="AL54" s="20">
        <f t="shared" si="19"/>
        <v>203872.49763398638</v>
      </c>
      <c r="AM54" s="20">
        <f t="shared" si="19"/>
        <v>221218.17486060047</v>
      </c>
      <c r="AN54" s="20">
        <f t="shared" si="19"/>
        <v>239090.48884188564</v>
      </c>
      <c r="AO54" s="20">
        <f t="shared" si="19"/>
        <v>257265.61314197246</v>
      </c>
      <c r="AP54" s="20">
        <f t="shared" si="19"/>
        <v>275715.51048182556</v>
      </c>
      <c r="AQ54" s="20">
        <f t="shared" si="19"/>
        <v>294478.27772423823</v>
      </c>
      <c r="AR54" s="20">
        <f t="shared" si="19"/>
        <v>313592.46450640744</v>
      </c>
    </row>
    <row r="55" spans="1:44">
      <c r="A55" s="19" t="s">
        <v>31</v>
      </c>
      <c r="B55" s="20"/>
      <c r="U55" s="20"/>
      <c r="V55" s="20">
        <f t="shared" ref="V55:AR55" si="20">+V29</f>
        <v>2166.3272703526218</v>
      </c>
      <c r="W55" s="20">
        <f t="shared" si="20"/>
        <v>7326.7734293709946</v>
      </c>
      <c r="X55" s="20">
        <f t="shared" si="20"/>
        <v>8689.3235100210259</v>
      </c>
      <c r="Y55" s="20">
        <f t="shared" si="20"/>
        <v>9816.9855871571144</v>
      </c>
      <c r="Z55" s="20">
        <f t="shared" si="20"/>
        <v>10296.931251189726</v>
      </c>
      <c r="AA55" s="20">
        <f t="shared" si="20"/>
        <v>11169.59678735695</v>
      </c>
      <c r="AB55" s="20">
        <f t="shared" si="20"/>
        <v>7633.2213448863877</v>
      </c>
      <c r="AC55" s="20">
        <f t="shared" si="20"/>
        <v>12308.955265193994</v>
      </c>
      <c r="AD55" s="20">
        <f t="shared" si="20"/>
        <v>12164.691428023691</v>
      </c>
      <c r="AE55" s="20">
        <f t="shared" si="20"/>
        <v>12086.657269318834</v>
      </c>
      <c r="AF55" s="20">
        <f t="shared" si="20"/>
        <v>12201.49203717367</v>
      </c>
      <c r="AG55" s="20">
        <f t="shared" si="20"/>
        <v>12213.324975641017</v>
      </c>
      <c r="AH55" s="20">
        <f t="shared" si="20"/>
        <v>12267.857776810686</v>
      </c>
      <c r="AI55" s="20">
        <f t="shared" si="20"/>
        <v>12166.310169966115</v>
      </c>
      <c r="AJ55" s="20">
        <f t="shared" si="20"/>
        <v>11941.209338490025</v>
      </c>
      <c r="AK55" s="20">
        <f t="shared" si="20"/>
        <v>11784.983956291047</v>
      </c>
      <c r="AL55" s="20">
        <f t="shared" si="20"/>
        <v>11455.9045836981</v>
      </c>
      <c r="AM55" s="20">
        <f t="shared" si="20"/>
        <v>11494.584357479724</v>
      </c>
      <c r="AN55" s="20">
        <f t="shared" si="20"/>
        <v>11297.945430333626</v>
      </c>
      <c r="AO55" s="20">
        <f t="shared" si="20"/>
        <v>11065.266614628163</v>
      </c>
      <c r="AP55" s="20">
        <f t="shared" si="20"/>
        <v>10862.542673313301</v>
      </c>
      <c r="AQ55" s="20">
        <f t="shared" si="20"/>
        <v>10689.164418044633</v>
      </c>
      <c r="AR55" s="20">
        <f t="shared" si="20"/>
        <v>10497.923143402082</v>
      </c>
    </row>
    <row r="56" spans="1:44">
      <c r="A56" s="19" t="s">
        <v>32</v>
      </c>
      <c r="B56" s="20"/>
      <c r="U56" s="20"/>
      <c r="V56" s="20">
        <f t="shared" ref="V56:AR56" si="21">+V55*V3*$U4</f>
        <v>30.436898148454336</v>
      </c>
      <c r="W56" s="20">
        <f t="shared" si="21"/>
        <v>102.94116668266247</v>
      </c>
      <c r="X56" s="20">
        <f t="shared" si="21"/>
        <v>122.08499531579541</v>
      </c>
      <c r="Y56" s="20">
        <f t="shared" si="21"/>
        <v>137.92864749955746</v>
      </c>
      <c r="Z56" s="20">
        <f t="shared" si="21"/>
        <v>144.67188407921566</v>
      </c>
      <c r="AA56" s="20">
        <f t="shared" si="21"/>
        <v>156.93283486236516</v>
      </c>
      <c r="AB56" s="20">
        <f t="shared" si="21"/>
        <v>107.24675989565375</v>
      </c>
      <c r="AC56" s="20">
        <f t="shared" si="21"/>
        <v>172.94082147597561</v>
      </c>
      <c r="AD56" s="20">
        <f t="shared" si="21"/>
        <v>170.91391456373285</v>
      </c>
      <c r="AE56" s="20">
        <f t="shared" si="21"/>
        <v>169.81753463392963</v>
      </c>
      <c r="AF56" s="20">
        <f t="shared" si="21"/>
        <v>171.43096312229005</v>
      </c>
      <c r="AG56" s="20">
        <f t="shared" si="21"/>
        <v>171.59721590775629</v>
      </c>
      <c r="AH56" s="20">
        <f t="shared" si="21"/>
        <v>172.36340176419014</v>
      </c>
      <c r="AI56" s="20">
        <f t="shared" si="21"/>
        <v>170.93665788802392</v>
      </c>
      <c r="AJ56" s="20">
        <f t="shared" si="21"/>
        <v>167.77399120578485</v>
      </c>
      <c r="AK56" s="20">
        <f t="shared" si="21"/>
        <v>165.57902458588921</v>
      </c>
      <c r="AL56" s="20">
        <f t="shared" si="21"/>
        <v>160.95545940095832</v>
      </c>
      <c r="AM56" s="20">
        <f t="shared" si="21"/>
        <v>161.49891022259013</v>
      </c>
      <c r="AN56" s="20">
        <f t="shared" si="21"/>
        <v>158.73613329618743</v>
      </c>
      <c r="AO56" s="20">
        <f t="shared" si="21"/>
        <v>155.46699593552569</v>
      </c>
      <c r="AP56" s="20">
        <f t="shared" si="21"/>
        <v>152.61872456005187</v>
      </c>
      <c r="AQ56" s="20">
        <f t="shared" si="21"/>
        <v>150.18276007352708</v>
      </c>
      <c r="AR56" s="20">
        <f t="shared" si="21"/>
        <v>147.49582016479926</v>
      </c>
    </row>
    <row r="57" spans="1:44">
      <c r="A57" s="19" t="s">
        <v>33</v>
      </c>
      <c r="B57" s="20"/>
      <c r="U57" s="20"/>
      <c r="V57" s="20">
        <f>V54*'Pi''s Calc'!V3</f>
        <v>0</v>
      </c>
      <c r="W57" s="20">
        <f>W54*'Pi''s Calc'!W3</f>
        <v>61.729073134880245</v>
      </c>
      <c r="X57" s="20">
        <f>X54*'Pi''s Calc'!X3</f>
        <v>272.23864023907811</v>
      </c>
      <c r="Y57" s="20">
        <f>Y54*'Pi''s Calc'!Y3</f>
        <v>527.48912502976088</v>
      </c>
      <c r="Z57" s="20">
        <f>Z54*'Pi''s Calc'!Z3</f>
        <v>822.04465943694959</v>
      </c>
      <c r="AA57" s="20">
        <f>AA54*'Pi''s Calc'!AA3</f>
        <v>1138.5531624681853</v>
      </c>
      <c r="AB57" s="20">
        <f>AB54*'Pi''s Calc'!AB3</f>
        <v>1488.8219887179041</v>
      </c>
      <c r="AC57" s="20">
        <f>AC54*'Pi''s Calc'!AC3</f>
        <v>1748.1650403452527</v>
      </c>
      <c r="AD57" s="20">
        <f>AD54*'Pi''s Calc'!AD3</f>
        <v>2148.0297580143806</v>
      </c>
      <c r="AE57" s="20">
        <f>AE54*'Pi''s Calc'!AE3</f>
        <v>2555.0199043412913</v>
      </c>
      <c r="AF57" s="20">
        <f>AF54*'Pi''s Calc'!AF3</f>
        <v>2971.2229056443539</v>
      </c>
      <c r="AG57" s="20">
        <f>AG54*'Pi''s Calc'!AG3</f>
        <v>3402.3934056012768</v>
      </c>
      <c r="AH57" s="20">
        <f>AH54*'Pi''s Calc'!AH3</f>
        <v>3846.0169738811928</v>
      </c>
      <c r="AI57" s="20">
        <f>AI54*'Pi''s Calc'!AI3</f>
        <v>4303.6602659652081</v>
      </c>
      <c r="AJ57" s="20">
        <f>AJ54*'Pi''s Calc'!AJ3</f>
        <v>4771.2697553015323</v>
      </c>
      <c r="AK57" s="20">
        <f>AK54*'Pi''s Calc'!AK3</f>
        <v>5245.6048669899574</v>
      </c>
      <c r="AL57" s="20">
        <f>AL54*'Pi''s Calc'!AL3</f>
        <v>5728.8171835150169</v>
      </c>
      <c r="AM57" s="20">
        <f>AM54*'Pi''s Calc'!AM3</f>
        <v>6216.2307135828732</v>
      </c>
      <c r="AN57" s="20">
        <f>AN54*'Pi''s Calc'!AN3</f>
        <v>6718.4427364569865</v>
      </c>
      <c r="AO57" s="20">
        <f>AO54*'Pi''s Calc'!AO3</f>
        <v>7229.1637292894256</v>
      </c>
      <c r="AP57" s="20">
        <f>AP54*'Pi''s Calc'!AP3</f>
        <v>7747.6058445392982</v>
      </c>
      <c r="AQ57" s="20">
        <f>AQ54*'Pi''s Calc'!AQ3</f>
        <v>8274.8396040510943</v>
      </c>
      <c r="AR57" s="20">
        <f>AR54*'Pi''s Calc'!AR3</f>
        <v>8811.948252630049</v>
      </c>
    </row>
    <row r="58" spans="1:44">
      <c r="A58" s="19" t="s">
        <v>34</v>
      </c>
      <c r="B58" s="20"/>
      <c r="U58" s="60"/>
      <c r="V58" s="60">
        <f t="shared" ref="V58:AR58" si="22">SUM(V54:V57)</f>
        <v>2196.7641685010763</v>
      </c>
      <c r="W58" s="60">
        <f t="shared" si="22"/>
        <v>9688.2078376896134</v>
      </c>
      <c r="X58" s="60">
        <f t="shared" si="22"/>
        <v>18771.854983265512</v>
      </c>
      <c r="Y58" s="60">
        <f t="shared" si="22"/>
        <v>29254.258342951944</v>
      </c>
      <c r="Z58" s="60">
        <f t="shared" si="22"/>
        <v>40517.906137657839</v>
      </c>
      <c r="AA58" s="60">
        <f t="shared" si="22"/>
        <v>52982.988922345343</v>
      </c>
      <c r="AB58" s="60">
        <f t="shared" si="22"/>
        <v>62212.279015845292</v>
      </c>
      <c r="AC58" s="60">
        <f t="shared" si="22"/>
        <v>76442.340142860514</v>
      </c>
      <c r="AD58" s="60">
        <f t="shared" si="22"/>
        <v>90925.975243462322</v>
      </c>
      <c r="AE58" s="60">
        <f t="shared" si="22"/>
        <v>105737.46995175637</v>
      </c>
      <c r="AF58" s="60">
        <f t="shared" si="22"/>
        <v>121081.61585769668</v>
      </c>
      <c r="AG58" s="60">
        <f t="shared" si="22"/>
        <v>136868.93145484672</v>
      </c>
      <c r="AH58" s="60">
        <f t="shared" si="22"/>
        <v>153155.16960730279</v>
      </c>
      <c r="AI58" s="60">
        <f t="shared" si="22"/>
        <v>169796.07670112213</v>
      </c>
      <c r="AJ58" s="60">
        <f t="shared" si="22"/>
        <v>186676.32978611949</v>
      </c>
      <c r="AK58" s="60">
        <f t="shared" si="22"/>
        <v>203872.49763398638</v>
      </c>
      <c r="AL58" s="60">
        <f t="shared" si="22"/>
        <v>221218.17486060047</v>
      </c>
      <c r="AM58" s="60">
        <f t="shared" si="22"/>
        <v>239090.48884188564</v>
      </c>
      <c r="AN58" s="60">
        <f t="shared" si="22"/>
        <v>257265.61314197246</v>
      </c>
      <c r="AO58" s="60">
        <f t="shared" si="22"/>
        <v>275715.51048182556</v>
      </c>
      <c r="AP58" s="60">
        <f t="shared" si="22"/>
        <v>294478.27772423823</v>
      </c>
      <c r="AQ58" s="60">
        <f t="shared" si="22"/>
        <v>313592.46450640744</v>
      </c>
      <c r="AR58" s="60">
        <f t="shared" si="22"/>
        <v>333049.8317226044</v>
      </c>
    </row>
    <row r="60" spans="1:44">
      <c r="V60" s="33">
        <f>+U63</f>
        <v>248910.82617562899</v>
      </c>
      <c r="W60" s="33">
        <f>+V63</f>
        <v>253708.45622266308</v>
      </c>
      <c r="X60" s="33">
        <f t="shared" ref="X60:AR60" si="23">+W63</f>
        <v>253407.94924646628</v>
      </c>
      <c r="Y60" s="33">
        <f t="shared" si="23"/>
        <v>251717.30411495516</v>
      </c>
      <c r="Z60" s="33">
        <f t="shared" si="23"/>
        <v>248835.64612592873</v>
      </c>
      <c r="AA60" s="33">
        <f t="shared" si="23"/>
        <v>245386.3246467984</v>
      </c>
      <c r="AB60" s="33">
        <f t="shared" si="23"/>
        <v>240955.15074715411</v>
      </c>
      <c r="AC60" s="33">
        <f t="shared" si="23"/>
        <v>239985.52237836708</v>
      </c>
      <c r="AD60" s="33">
        <f t="shared" si="23"/>
        <v>234247.21947052923</v>
      </c>
      <c r="AE60" s="33">
        <f t="shared" si="23"/>
        <v>228493.96099506368</v>
      </c>
      <c r="AF60" s="33">
        <f t="shared" si="23"/>
        <v>222658.16649507222</v>
      </c>
      <c r="AG60" s="33">
        <f t="shared" si="23"/>
        <v>216541.93797328777</v>
      </c>
      <c r="AH60" s="33">
        <f t="shared" si="23"/>
        <v>210241.84423878838</v>
      </c>
      <c r="AI60" s="33">
        <f t="shared" si="23"/>
        <v>203709.41888332347</v>
      </c>
      <c r="AJ60" s="33">
        <f t="shared" si="23"/>
        <v>197096.40672609073</v>
      </c>
      <c r="AK60" s="33">
        <f t="shared" si="23"/>
        <v>190525.83242539805</v>
      </c>
      <c r="AL60" s="33">
        <f t="shared" si="23"/>
        <v>183929.0453356748</v>
      </c>
      <c r="AM60" s="33">
        <f t="shared" si="23"/>
        <v>177480.59146650819</v>
      </c>
      <c r="AN60" s="33">
        <f t="shared" si="23"/>
        <v>170811.71281901476</v>
      </c>
      <c r="AO60" s="33">
        <f t="shared" si="23"/>
        <v>164154.84038559924</v>
      </c>
      <c r="AP60" s="33">
        <f t="shared" si="23"/>
        <v>157546.8577898709</v>
      </c>
      <c r="AQ60" s="33">
        <f t="shared" si="23"/>
        <v>150958.76309589291</v>
      </c>
      <c r="AR60" s="33">
        <f t="shared" si="23"/>
        <v>144361.35716076934</v>
      </c>
    </row>
    <row r="61" spans="1:44">
      <c r="V61" s="33">
        <f>+V60*V3</f>
        <v>6994.3942155351742</v>
      </c>
      <c r="W61" s="33">
        <f t="shared" ref="W61:AR61" si="24">+W60*W3</f>
        <v>7129.2076198568329</v>
      </c>
      <c r="X61" s="33">
        <f t="shared" si="24"/>
        <v>7120.7633738257027</v>
      </c>
      <c r="Y61" s="33">
        <f t="shared" si="24"/>
        <v>7073.2562456302403</v>
      </c>
      <c r="Z61" s="33">
        <f t="shared" si="24"/>
        <v>6992.2816561385971</v>
      </c>
      <c r="AA61" s="33">
        <f t="shared" si="24"/>
        <v>6895.3557225750346</v>
      </c>
      <c r="AB61" s="33">
        <f t="shared" si="24"/>
        <v>6770.8397359950304</v>
      </c>
      <c r="AC61" s="33">
        <f t="shared" si="24"/>
        <v>6743.593178832115</v>
      </c>
      <c r="AD61" s="33">
        <f t="shared" si="24"/>
        <v>6582.3468671218716</v>
      </c>
      <c r="AE61" s="33">
        <f t="shared" si="24"/>
        <v>6420.6803039612896</v>
      </c>
      <c r="AF61" s="33">
        <f t="shared" si="24"/>
        <v>6256.6944785115293</v>
      </c>
      <c r="AG61" s="33">
        <f t="shared" si="24"/>
        <v>6084.8284570493861</v>
      </c>
      <c r="AH61" s="33">
        <f t="shared" si="24"/>
        <v>5907.7958231099537</v>
      </c>
      <c r="AI61" s="33">
        <f t="shared" si="24"/>
        <v>5724.2346706213893</v>
      </c>
      <c r="AJ61" s="33">
        <f t="shared" si="24"/>
        <v>5538.40902900315</v>
      </c>
      <c r="AK61" s="33">
        <f t="shared" si="24"/>
        <v>5353.7758911536857</v>
      </c>
      <c r="AL61" s="33">
        <f t="shared" si="24"/>
        <v>5168.4061739324616</v>
      </c>
      <c r="AM61" s="33">
        <f t="shared" si="24"/>
        <v>4987.2046202088804</v>
      </c>
      <c r="AN61" s="33">
        <f t="shared" si="24"/>
        <v>4799.8091302143148</v>
      </c>
      <c r="AO61" s="33">
        <f t="shared" si="24"/>
        <v>4612.7510148353385</v>
      </c>
      <c r="AP61" s="33">
        <f t="shared" si="24"/>
        <v>4427.0667038953725</v>
      </c>
      <c r="AQ61" s="33">
        <f t="shared" si="24"/>
        <v>4241.9412429945905</v>
      </c>
      <c r="AR61" s="33">
        <f t="shared" si="24"/>
        <v>4056.5541362176186</v>
      </c>
    </row>
    <row r="62" spans="1:44">
      <c r="V62" s="33">
        <f>-V55-V56</f>
        <v>-2196.7641685010763</v>
      </c>
      <c r="W62" s="33">
        <f>-W55-W56</f>
        <v>-7429.7145960536573</v>
      </c>
      <c r="X62" s="33">
        <f t="shared" ref="X62:AR62" si="25">-X55-X56</f>
        <v>-8811.4085053368217</v>
      </c>
      <c r="Y62" s="33">
        <f t="shared" si="25"/>
        <v>-9954.9142346566714</v>
      </c>
      <c r="Z62" s="33">
        <f t="shared" si="25"/>
        <v>-10441.603135268942</v>
      </c>
      <c r="AA62" s="33">
        <f t="shared" si="25"/>
        <v>-11326.529622219316</v>
      </c>
      <c r="AB62" s="33">
        <f t="shared" si="25"/>
        <v>-7740.4681047820413</v>
      </c>
      <c r="AC62" s="33">
        <f t="shared" si="25"/>
        <v>-12481.896086669969</v>
      </c>
      <c r="AD62" s="33">
        <f t="shared" si="25"/>
        <v>-12335.605342587423</v>
      </c>
      <c r="AE62" s="33">
        <f t="shared" si="25"/>
        <v>-12256.474803952764</v>
      </c>
      <c r="AF62" s="33">
        <f t="shared" si="25"/>
        <v>-12372.923000295959</v>
      </c>
      <c r="AG62" s="33">
        <f t="shared" si="25"/>
        <v>-12384.922191548772</v>
      </c>
      <c r="AH62" s="33">
        <f t="shared" si="25"/>
        <v>-12440.221178574877</v>
      </c>
      <c r="AI62" s="33">
        <f t="shared" si="25"/>
        <v>-12337.246827854138</v>
      </c>
      <c r="AJ62" s="33">
        <f t="shared" si="25"/>
        <v>-12108.98332969581</v>
      </c>
      <c r="AK62" s="33">
        <f t="shared" si="25"/>
        <v>-11950.562980876937</v>
      </c>
      <c r="AL62" s="33">
        <f t="shared" si="25"/>
        <v>-11616.860043099059</v>
      </c>
      <c r="AM62" s="33">
        <f t="shared" si="25"/>
        <v>-11656.083267702314</v>
      </c>
      <c r="AN62" s="33">
        <f t="shared" si="25"/>
        <v>-11456.681563629814</v>
      </c>
      <c r="AO62" s="33">
        <f t="shared" si="25"/>
        <v>-11220.733610563688</v>
      </c>
      <c r="AP62" s="33">
        <f t="shared" si="25"/>
        <v>-11015.161397873353</v>
      </c>
      <c r="AQ62" s="33">
        <f t="shared" si="25"/>
        <v>-10839.34717811816</v>
      </c>
      <c r="AR62" s="33">
        <f t="shared" si="25"/>
        <v>-10645.418963566881</v>
      </c>
    </row>
    <row r="63" spans="1:44">
      <c r="U63" s="49">
        <f>+U52</f>
        <v>248910.82617562899</v>
      </c>
      <c r="V63" s="49">
        <f t="shared" ref="V63:AR63" si="26">SUM(V60:V62)</f>
        <v>253708.45622266308</v>
      </c>
      <c r="W63" s="49">
        <f t="shared" si="26"/>
        <v>253407.94924646628</v>
      </c>
      <c r="X63" s="49">
        <f t="shared" si="26"/>
        <v>251717.30411495516</v>
      </c>
      <c r="Y63" s="49">
        <f t="shared" si="26"/>
        <v>248835.64612592873</v>
      </c>
      <c r="Z63" s="49">
        <f t="shared" si="26"/>
        <v>245386.3246467984</v>
      </c>
      <c r="AA63" s="49">
        <f t="shared" si="26"/>
        <v>240955.15074715411</v>
      </c>
      <c r="AB63" s="49">
        <f t="shared" si="26"/>
        <v>239985.52237836708</v>
      </c>
      <c r="AC63" s="49">
        <f t="shared" si="26"/>
        <v>234247.21947052923</v>
      </c>
      <c r="AD63" s="49">
        <f t="shared" si="26"/>
        <v>228493.96099506368</v>
      </c>
      <c r="AE63" s="49">
        <f t="shared" si="26"/>
        <v>222658.16649507222</v>
      </c>
      <c r="AF63" s="49">
        <f t="shared" si="26"/>
        <v>216541.93797328777</v>
      </c>
      <c r="AG63" s="49">
        <f t="shared" si="26"/>
        <v>210241.84423878838</v>
      </c>
      <c r="AH63" s="49">
        <f t="shared" si="26"/>
        <v>203709.41888332347</v>
      </c>
      <c r="AI63" s="49">
        <f t="shared" si="26"/>
        <v>197096.40672609073</v>
      </c>
      <c r="AJ63" s="49">
        <f t="shared" si="26"/>
        <v>190525.83242539805</v>
      </c>
      <c r="AK63" s="49">
        <f t="shared" si="26"/>
        <v>183929.0453356748</v>
      </c>
      <c r="AL63" s="49">
        <f t="shared" si="26"/>
        <v>177480.59146650819</v>
      </c>
      <c r="AM63" s="49">
        <f t="shared" si="26"/>
        <v>170811.71281901476</v>
      </c>
      <c r="AN63" s="49">
        <f t="shared" si="26"/>
        <v>164154.84038559924</v>
      </c>
      <c r="AO63" s="49">
        <f t="shared" si="26"/>
        <v>157546.8577898709</v>
      </c>
      <c r="AP63" s="49">
        <f t="shared" si="26"/>
        <v>150958.76309589291</v>
      </c>
      <c r="AQ63" s="49">
        <f t="shared" si="26"/>
        <v>144361.35716076934</v>
      </c>
      <c r="AR63" s="49">
        <f t="shared" si="26"/>
        <v>137772.49233342009</v>
      </c>
    </row>
    <row r="65" spans="1:27">
      <c r="A65" s="11" t="s">
        <v>253</v>
      </c>
      <c r="V65" s="33">
        <f>+V7+V8</f>
        <v>19736.24640534028</v>
      </c>
      <c r="W65" s="33">
        <f t="shared" ref="W65:AA65" si="27">+W7+W8</f>
        <v>15593.775489304386</v>
      </c>
      <c r="X65" s="33">
        <f t="shared" si="27"/>
        <v>15229.167668235128</v>
      </c>
      <c r="Y65" s="33">
        <f t="shared" si="27"/>
        <v>15054.25821187972</v>
      </c>
      <c r="Z65" s="33">
        <f t="shared" si="27"/>
        <v>15397.294012643482</v>
      </c>
      <c r="AA65" s="33">
        <f t="shared" si="27"/>
        <v>15284.765917785346</v>
      </c>
    </row>
    <row r="66" spans="1:27">
      <c r="A66" s="11" t="s">
        <v>0</v>
      </c>
      <c r="V66" s="33">
        <f>+V52</f>
        <v>253708.45622266308</v>
      </c>
      <c r="W66" s="33">
        <f t="shared" ref="W66:AA66" si="28">+W52</f>
        <v>253407.94924646628</v>
      </c>
      <c r="X66" s="33">
        <f t="shared" si="28"/>
        <v>251717.30411495513</v>
      </c>
      <c r="Y66" s="33">
        <f t="shared" si="28"/>
        <v>248835.64612592873</v>
      </c>
      <c r="Z66" s="33">
        <f t="shared" si="28"/>
        <v>245386.32464679834</v>
      </c>
      <c r="AA66" s="33">
        <f t="shared" si="28"/>
        <v>240955.15074715408</v>
      </c>
    </row>
    <row r="67" spans="1:27">
      <c r="A67" s="11" t="s">
        <v>254</v>
      </c>
      <c r="V67" s="214">
        <f>+V65/V66</f>
        <v>7.7791046854264426E-2</v>
      </c>
      <c r="W67" s="214">
        <f t="shared" ref="W67:AA67" si="29">+W65/W66</f>
        <v>6.1536252259149826E-2</v>
      </c>
      <c r="X67" s="214">
        <f t="shared" si="29"/>
        <v>6.0501075687987738E-2</v>
      </c>
      <c r="Y67" s="214">
        <f t="shared" si="29"/>
        <v>6.0498800900338781E-2</v>
      </c>
      <c r="Z67" s="214">
        <f t="shared" si="29"/>
        <v>6.2747156080543126E-2</v>
      </c>
      <c r="AA67" s="214">
        <f t="shared" si="29"/>
        <v>6.3434070076486521E-2</v>
      </c>
    </row>
  </sheetData>
  <dataConsolidate/>
  <conditionalFormatting sqref="AS50:XFD50 A50:S50">
    <cfRule type="top10" dxfId="0" priority="1" rank="1"/>
    <cfRule type="top10" priority="2" rank="1"/>
  </conditionalFormatting>
  <pageMargins left="0.70866141732283472" right="0.70866141732283472" top="0.74803149606299213" bottom="0.74803149606299213" header="0.31496062992125984" footer="0.31496062992125984"/>
  <pageSetup paperSize="8" scale="5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80"/>
  <sheetViews>
    <sheetView zoomScaleNormal="100" workbookViewId="0">
      <pane xSplit="19" ySplit="1" topLeftCell="T7" activePane="bottomRight" state="frozen"/>
      <selection pane="topRight" activeCell="T1" sqref="T1"/>
      <selection pane="bottomLeft" activeCell="A2" sqref="A2"/>
      <selection pane="bottomRight" activeCell="V25" sqref="V25"/>
    </sheetView>
  </sheetViews>
  <sheetFormatPr defaultColWidth="9.25" defaultRowHeight="14.95"/>
  <cols>
    <col min="1" max="1" width="47.25" style="30" bestFit="1" customWidth="1"/>
    <col min="2" max="19" width="6.875" style="31" hidden="1" customWidth="1"/>
    <col min="20" max="27" width="6.125" style="31" bestFit="1" customWidth="1"/>
    <col min="28" max="16384" width="9.25" style="30"/>
  </cols>
  <sheetData>
    <row r="1" spans="1:27" s="34" customFormat="1">
      <c r="A1" s="34" t="s">
        <v>53</v>
      </c>
      <c r="B1" s="38"/>
      <c r="C1" s="38"/>
      <c r="D1" s="38"/>
      <c r="E1" s="38"/>
      <c r="F1" s="38"/>
      <c r="G1" s="38"/>
      <c r="H1" s="38"/>
      <c r="I1" s="38"/>
      <c r="J1" s="38"/>
      <c r="K1" s="38"/>
      <c r="L1" s="38"/>
      <c r="M1" s="38"/>
      <c r="N1" s="38"/>
      <c r="O1" s="38"/>
      <c r="P1" s="38"/>
      <c r="Q1" s="38"/>
      <c r="R1" s="38"/>
      <c r="S1" s="38"/>
      <c r="T1" s="38">
        <f>+Inputs!T1</f>
        <v>2021</v>
      </c>
      <c r="U1" s="38">
        <f>+Inputs!U1</f>
        <v>2022</v>
      </c>
      <c r="V1" s="38">
        <f>+Inputs!V1</f>
        <v>2023</v>
      </c>
      <c r="W1" s="38">
        <f>+Inputs!W1</f>
        <v>2024</v>
      </c>
      <c r="X1" s="38">
        <f>+Inputs!X1</f>
        <v>2025</v>
      </c>
      <c r="Y1" s="38">
        <f>+Inputs!Y1</f>
        <v>2026</v>
      </c>
      <c r="Z1" s="38">
        <f>+Inputs!Z1</f>
        <v>2027</v>
      </c>
      <c r="AA1" s="38">
        <f>+Inputs!AA1</f>
        <v>2028</v>
      </c>
    </row>
    <row r="2" spans="1:27">
      <c r="A2" s="57"/>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c r="A3" s="30" t="s">
        <v>60</v>
      </c>
      <c r="B3" s="33"/>
      <c r="C3" s="33"/>
      <c r="D3" s="33"/>
      <c r="E3" s="33"/>
      <c r="F3" s="33"/>
      <c r="G3" s="33"/>
      <c r="H3" s="33"/>
      <c r="I3" s="33"/>
      <c r="J3" s="33"/>
      <c r="K3" s="33"/>
      <c r="L3" s="68"/>
      <c r="M3" s="69"/>
      <c r="N3" s="69"/>
      <c r="O3" s="69"/>
      <c r="P3" s="69"/>
      <c r="Q3" s="69"/>
      <c r="R3" s="69"/>
      <c r="S3" s="69"/>
      <c r="T3" s="81"/>
      <c r="U3" s="81"/>
      <c r="V3" s="81">
        <f>+Inputs!V100</f>
        <v>0.25</v>
      </c>
      <c r="W3" s="81">
        <f>+Inputs!W100</f>
        <v>0.25</v>
      </c>
      <c r="X3" s="81">
        <f>+Inputs!X100</f>
        <v>0.25</v>
      </c>
      <c r="Y3" s="81">
        <f>+Inputs!Y100</f>
        <v>0.25</v>
      </c>
      <c r="Z3" s="81">
        <f>+Inputs!Z100</f>
        <v>0.25</v>
      </c>
      <c r="AA3" s="81">
        <f>+Inputs!AA100</f>
        <v>0.25</v>
      </c>
    </row>
    <row r="4" spans="1:27">
      <c r="A4" s="30" t="s">
        <v>61</v>
      </c>
      <c r="B4" s="33"/>
      <c r="C4" s="33"/>
      <c r="D4" s="33"/>
      <c r="E4" s="33"/>
      <c r="F4" s="33"/>
      <c r="G4" s="33"/>
      <c r="H4" s="33"/>
      <c r="I4" s="33"/>
      <c r="J4" s="33"/>
      <c r="K4" s="33"/>
      <c r="L4" s="68"/>
      <c r="M4" s="69"/>
      <c r="N4" s="69"/>
      <c r="O4" s="69"/>
      <c r="P4" s="69"/>
      <c r="Q4" s="69"/>
      <c r="R4" s="69"/>
      <c r="S4" s="69"/>
      <c r="T4" s="81"/>
      <c r="U4" s="81"/>
      <c r="V4" s="81">
        <f>+Inputs!V101</f>
        <v>0.23499999999999999</v>
      </c>
      <c r="W4" s="81">
        <f>+Inputs!W101</f>
        <v>0.25</v>
      </c>
      <c r="X4" s="81">
        <f>+Inputs!X101</f>
        <v>0.25</v>
      </c>
      <c r="Y4" s="81">
        <f>+Inputs!Y101</f>
        <v>0.25</v>
      </c>
      <c r="Z4" s="81">
        <f>+Inputs!Z101</f>
        <v>0.25</v>
      </c>
      <c r="AA4" s="81">
        <f>+Inputs!AA101</f>
        <v>0.25</v>
      </c>
    </row>
    <row r="5" spans="1:27">
      <c r="B5" s="33"/>
      <c r="C5" s="33"/>
      <c r="D5" s="33"/>
      <c r="E5" s="33"/>
      <c r="F5" s="33"/>
      <c r="G5" s="33"/>
      <c r="H5" s="33"/>
      <c r="I5" s="33"/>
      <c r="J5" s="33"/>
      <c r="K5" s="33"/>
      <c r="L5" s="68"/>
      <c r="M5" s="33"/>
      <c r="N5" s="33"/>
      <c r="O5" s="33"/>
      <c r="P5" s="33"/>
      <c r="Q5" s="33"/>
      <c r="R5" s="33"/>
      <c r="S5" s="33"/>
      <c r="T5" s="10"/>
      <c r="U5" s="10"/>
      <c r="V5" s="10"/>
      <c r="W5" s="10"/>
      <c r="X5" s="10"/>
      <c r="Y5" s="10"/>
      <c r="Z5" s="10"/>
      <c r="AA5" s="10"/>
    </row>
    <row r="6" spans="1:27">
      <c r="A6" s="30" t="s">
        <v>265</v>
      </c>
      <c r="B6" s="33"/>
      <c r="C6" s="33"/>
      <c r="D6" s="33"/>
      <c r="E6" s="33"/>
      <c r="F6" s="33"/>
      <c r="G6" s="33"/>
      <c r="H6" s="33"/>
      <c r="I6" s="33"/>
      <c r="J6" s="33"/>
      <c r="K6" s="33"/>
      <c r="L6" s="68"/>
      <c r="M6" s="33"/>
      <c r="N6" s="33"/>
      <c r="O6" s="33"/>
      <c r="P6" s="33"/>
      <c r="Q6" s="33"/>
      <c r="R6" s="33"/>
      <c r="S6" s="33"/>
      <c r="T6" s="10">
        <f>+Inputs!T36</f>
        <v>1.024793388429752</v>
      </c>
      <c r="U6" s="10">
        <f>+Inputs!U36</f>
        <v>1.065785123966942</v>
      </c>
      <c r="V6" s="10">
        <f>+Inputs!V36</f>
        <v>1.0881666115702477</v>
      </c>
      <c r="W6" s="10">
        <f>+Inputs!W36</f>
        <v>1.1110181104132228</v>
      </c>
      <c r="X6" s="10">
        <f>+Inputs!X36</f>
        <v>1.1343494907319005</v>
      </c>
      <c r="Y6" s="10">
        <f>+Inputs!Y36</f>
        <v>1.1581708300372704</v>
      </c>
      <c r="Z6" s="10">
        <f>+Inputs!Z36</f>
        <v>1.1824924174680531</v>
      </c>
      <c r="AA6" s="10">
        <f>+Inputs!AA36</f>
        <v>1.2073247582348823</v>
      </c>
    </row>
    <row r="7" spans="1:27">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7">
      <c r="A8" s="30" t="s">
        <v>62</v>
      </c>
      <c r="B8" s="33"/>
      <c r="C8" s="33"/>
      <c r="D8" s="33"/>
      <c r="E8" s="33"/>
      <c r="F8" s="33"/>
      <c r="G8" s="33"/>
      <c r="H8" s="33"/>
      <c r="I8" s="33"/>
      <c r="J8" s="33"/>
      <c r="K8" s="33"/>
      <c r="L8" s="68"/>
      <c r="M8" s="78"/>
      <c r="N8" s="78"/>
      <c r="O8" s="78"/>
      <c r="P8" s="78"/>
      <c r="Q8" s="33"/>
      <c r="R8" s="33"/>
      <c r="S8" s="33"/>
      <c r="T8" s="33"/>
      <c r="U8" s="33"/>
      <c r="V8" s="33">
        <f>+'Pi''s Calc'!V26*'UR Tax Calculation'!V6</f>
        <v>23833.649381346455</v>
      </c>
      <c r="W8" s="33">
        <f>+'Pi''s Calc'!W26*'UR Tax Calculation'!W6</f>
        <v>25465.144949260561</v>
      </c>
      <c r="X8" s="33">
        <f>+'Pi''s Calc'!X26*'UR Tax Calculation'!X6</f>
        <v>27131.928287130322</v>
      </c>
      <c r="Y8" s="33">
        <f>+'Pi''s Calc'!Y26*'UR Tax Calculation'!Y6</f>
        <v>28805.149074789806</v>
      </c>
      <c r="Z8" s="33">
        <f>+'Pi''s Calc'!Z26*'UR Tax Calculation'!Z6</f>
        <v>30383.226547198858</v>
      </c>
      <c r="AA8" s="33">
        <f>+'Pi''s Calc'!AA26*'UR Tax Calculation'!AA6</f>
        <v>31939.007057243809</v>
      </c>
    </row>
    <row r="9" spans="1:27">
      <c r="A9" s="30" t="s">
        <v>63</v>
      </c>
      <c r="B9" s="33"/>
      <c r="C9" s="33"/>
      <c r="D9" s="33"/>
      <c r="E9" s="33"/>
      <c r="F9" s="33"/>
      <c r="G9" s="33"/>
      <c r="H9" s="33"/>
      <c r="I9" s="33"/>
      <c r="J9" s="33"/>
      <c r="K9" s="33"/>
      <c r="L9" s="68"/>
      <c r="M9" s="78"/>
      <c r="N9" s="78"/>
      <c r="O9" s="78"/>
      <c r="P9" s="78"/>
      <c r="Q9" s="33"/>
      <c r="R9" s="33"/>
      <c r="S9" s="33"/>
      <c r="T9" s="33"/>
      <c r="U9" s="33"/>
      <c r="V9" s="33">
        <f>+'Pi''s Calc'!V28*'UR Tax Calculation'!V6</f>
        <v>-8569.4993453754687</v>
      </c>
      <c r="W9" s="33">
        <f>+'Pi''s Calc'!W28*'UR Tax Calculation'!W6</f>
        <v>-8700.7268207057186</v>
      </c>
      <c r="X9" s="33">
        <f>+'Pi''s Calc'!X28*'UR Tax Calculation'!X6</f>
        <v>-8804.3615394697608</v>
      </c>
      <c r="Y9" s="33">
        <f>+'Pi''s Calc'!Y28*'UR Tax Calculation'!Y6</f>
        <v>-9086.5712104278318</v>
      </c>
      <c r="Z9" s="33">
        <f>+'Pi''s Calc'!Z28*'UR Tax Calculation'!Z6</f>
        <v>-9647.8312177924945</v>
      </c>
      <c r="AA9" s="33">
        <f>+'Pi''s Calc'!AA28*'UR Tax Calculation'!AA6</f>
        <v>-9873.5951359068695</v>
      </c>
    </row>
    <row r="10" spans="1:27">
      <c r="A10" s="30" t="s">
        <v>64</v>
      </c>
      <c r="B10" s="33"/>
      <c r="C10" s="33"/>
      <c r="D10" s="33"/>
      <c r="E10" s="33"/>
      <c r="F10" s="33"/>
      <c r="G10" s="33"/>
      <c r="H10" s="33"/>
      <c r="I10" s="33"/>
      <c r="J10" s="33"/>
      <c r="K10" s="33"/>
      <c r="L10" s="68"/>
      <c r="M10" s="78"/>
      <c r="N10" s="78"/>
      <c r="O10" s="78"/>
      <c r="P10" s="78"/>
      <c r="Q10" s="33"/>
      <c r="R10" s="33"/>
      <c r="S10" s="33"/>
      <c r="T10" s="33"/>
      <c r="U10" s="33"/>
      <c r="V10" s="33">
        <f>-Financeability!V25</f>
        <v>-4600.228072050978</v>
      </c>
      <c r="W10" s="33">
        <f>-Financeability!W25</f>
        <v>-4738.3580378651031</v>
      </c>
      <c r="X10" s="33">
        <f>-Financeability!X25</f>
        <v>-4818.7301511253281</v>
      </c>
      <c r="Y10" s="33">
        <f>-Financeability!Y25</f>
        <v>-4875.2671276993669</v>
      </c>
      <c r="Z10" s="33">
        <f>-Financeability!Z25</f>
        <v>-4914.6281638869696</v>
      </c>
      <c r="AA10" s="33">
        <f>-Financeability!AA25</f>
        <v>-4937.7152961464135</v>
      </c>
    </row>
    <row r="11" spans="1:27">
      <c r="A11" s="30" t="s">
        <v>65</v>
      </c>
      <c r="B11" s="33"/>
      <c r="C11" s="33"/>
      <c r="D11" s="33"/>
      <c r="E11" s="33"/>
      <c r="F11" s="33"/>
      <c r="G11" s="33"/>
      <c r="H11" s="33"/>
      <c r="I11" s="33"/>
      <c r="J11" s="33"/>
      <c r="K11" s="33"/>
      <c r="L11" s="68"/>
      <c r="M11" s="78"/>
      <c r="N11" s="78"/>
      <c r="O11" s="33"/>
      <c r="P11" s="33"/>
      <c r="Q11" s="33"/>
      <c r="R11" s="33"/>
      <c r="S11" s="33"/>
      <c r="T11" s="33"/>
      <c r="U11" s="33"/>
      <c r="V11" s="33">
        <f>-V79</f>
        <v>-9690.1815168487374</v>
      </c>
      <c r="W11" s="33">
        <f t="shared" ref="W11:AA11" si="0">-W79</f>
        <v>-9316.400989810445</v>
      </c>
      <c r="X11" s="33">
        <f t="shared" si="0"/>
        <v>-9154.9979443691536</v>
      </c>
      <c r="Y11" s="33">
        <f t="shared" si="0"/>
        <v>-9005.6003560192075</v>
      </c>
      <c r="Z11" s="33">
        <f t="shared" si="0"/>
        <v>-8889.3479893362437</v>
      </c>
      <c r="AA11" s="33">
        <f t="shared" si="0"/>
        <v>-8788.5562535417466</v>
      </c>
    </row>
    <row r="12" spans="1:27">
      <c r="A12" s="30" t="s">
        <v>66</v>
      </c>
      <c r="B12" s="33"/>
      <c r="C12" s="33"/>
      <c r="D12" s="33"/>
      <c r="E12" s="33"/>
      <c r="F12" s="33"/>
      <c r="G12" s="33"/>
      <c r="H12" s="33"/>
      <c r="I12" s="33"/>
      <c r="J12" s="33"/>
      <c r="K12" s="33"/>
      <c r="L12" s="68"/>
      <c r="M12" s="78"/>
      <c r="N12" s="78"/>
      <c r="O12" s="78"/>
      <c r="P12" s="78"/>
      <c r="Q12" s="33"/>
      <c r="R12" s="33"/>
      <c r="S12" s="33"/>
      <c r="T12" s="49"/>
      <c r="U12" s="49"/>
      <c r="V12" s="49">
        <f t="shared" ref="V12:AA12" si="1">SUM(V8:V11)</f>
        <v>973.74044707127177</v>
      </c>
      <c r="W12" s="49">
        <f t="shared" si="1"/>
        <v>2709.659100879293</v>
      </c>
      <c r="X12" s="49">
        <f t="shared" si="1"/>
        <v>4353.8386521660777</v>
      </c>
      <c r="Y12" s="49">
        <f t="shared" si="1"/>
        <v>5837.7103806433988</v>
      </c>
      <c r="Z12" s="49">
        <f t="shared" si="1"/>
        <v>6931.419176183148</v>
      </c>
      <c r="AA12" s="49">
        <f t="shared" si="1"/>
        <v>8339.1403716487821</v>
      </c>
    </row>
    <row r="13" spans="1:2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c r="A14" s="30" t="s">
        <v>187</v>
      </c>
      <c r="B14" s="33"/>
      <c r="C14" s="33"/>
      <c r="D14" s="33"/>
      <c r="E14" s="33"/>
      <c r="F14" s="33"/>
      <c r="G14" s="33"/>
      <c r="H14" s="33"/>
      <c r="I14" s="33"/>
      <c r="J14" s="33"/>
      <c r="K14" s="33"/>
      <c r="L14" s="33"/>
      <c r="M14" s="33"/>
      <c r="N14" s="33"/>
      <c r="O14" s="33"/>
      <c r="P14" s="33"/>
      <c r="Q14" s="33"/>
      <c r="R14" s="33"/>
      <c r="S14" s="33"/>
      <c r="T14" s="33"/>
      <c r="U14" s="33"/>
      <c r="V14" s="33">
        <f>+Inputs!V102</f>
        <v>5000</v>
      </c>
      <c r="W14" s="33">
        <f>+V14</f>
        <v>5000</v>
      </c>
      <c r="X14" s="33">
        <f t="shared" ref="X14:AA14" si="2">+W14</f>
        <v>5000</v>
      </c>
      <c r="Y14" s="33">
        <f t="shared" si="2"/>
        <v>5000</v>
      </c>
      <c r="Z14" s="33">
        <f t="shared" si="2"/>
        <v>5000</v>
      </c>
      <c r="AA14" s="33">
        <f t="shared" si="2"/>
        <v>5000</v>
      </c>
    </row>
    <row r="15" spans="1:27">
      <c r="A15" s="30" t="s">
        <v>188</v>
      </c>
      <c r="B15" s="33"/>
      <c r="C15" s="33"/>
      <c r="D15" s="33"/>
      <c r="E15" s="33"/>
      <c r="F15" s="33"/>
      <c r="G15" s="33"/>
      <c r="H15" s="33"/>
      <c r="I15" s="33"/>
      <c r="J15" s="33"/>
      <c r="K15" s="33"/>
      <c r="L15" s="33"/>
      <c r="M15" s="33"/>
      <c r="N15" s="33"/>
      <c r="O15" s="33"/>
      <c r="P15" s="33"/>
      <c r="Q15" s="33"/>
      <c r="R15" s="33"/>
      <c r="S15" s="33"/>
      <c r="T15" s="33"/>
      <c r="U15" s="33"/>
      <c r="V15" s="33">
        <f>IF(V19&gt;=0,0,IF(V12&lt;0,0,IF(V12-V14&lt;0,0,(V12-V14)*50%)))</f>
        <v>0</v>
      </c>
      <c r="W15" s="33">
        <f t="shared" ref="W15:AA15" si="3">IF(W19&gt;=0,0,IF(W12&lt;0,0,IF(W12-W14&lt;0,0,(W12-W14)*50%)))</f>
        <v>0</v>
      </c>
      <c r="X15" s="33">
        <f t="shared" si="3"/>
        <v>0</v>
      </c>
      <c r="Y15" s="33">
        <f t="shared" si="3"/>
        <v>0</v>
      </c>
      <c r="Z15" s="33">
        <f t="shared" si="3"/>
        <v>0</v>
      </c>
      <c r="AA15" s="33">
        <f t="shared" si="3"/>
        <v>0</v>
      </c>
    </row>
    <row r="16" spans="1:27">
      <c r="A16" s="30" t="s">
        <v>189</v>
      </c>
      <c r="B16" s="33"/>
      <c r="C16" s="33"/>
      <c r="D16" s="33"/>
      <c r="E16" s="33"/>
      <c r="F16" s="33"/>
      <c r="G16" s="33"/>
      <c r="H16" s="33"/>
      <c r="I16" s="33"/>
      <c r="J16" s="33"/>
      <c r="K16" s="33"/>
      <c r="L16" s="33"/>
      <c r="M16" s="33"/>
      <c r="N16" s="33"/>
      <c r="O16" s="33"/>
      <c r="P16" s="33"/>
      <c r="Q16" s="33"/>
      <c r="R16" s="33"/>
      <c r="S16" s="33"/>
      <c r="T16" s="33"/>
      <c r="U16" s="33"/>
      <c r="V16" s="33">
        <f>IF(V19&gt;=0,0,IF(V12&lt;0,0,IF(V12-V14&lt;0,V12,SUM(V14:V15))))</f>
        <v>0</v>
      </c>
      <c r="W16" s="33">
        <f t="shared" ref="W16:AA16" si="4">IF(W19&gt;=0,0,IF(W12&lt;0,0,IF(W12-W14&lt;0,W12,SUM(W14:W15))))</f>
        <v>0</v>
      </c>
      <c r="X16" s="33">
        <f t="shared" si="4"/>
        <v>0</v>
      </c>
      <c r="Y16" s="33">
        <f t="shared" si="4"/>
        <v>0</v>
      </c>
      <c r="Z16" s="33">
        <f t="shared" si="4"/>
        <v>0</v>
      </c>
      <c r="AA16" s="33">
        <f t="shared" si="4"/>
        <v>0</v>
      </c>
    </row>
    <row r="17" spans="1:27">
      <c r="B17" s="33"/>
      <c r="C17" s="33"/>
      <c r="D17" s="33"/>
      <c r="E17" s="33"/>
      <c r="F17" s="33"/>
      <c r="G17" s="33"/>
      <c r="H17" s="33"/>
      <c r="I17" s="33"/>
      <c r="J17" s="33"/>
      <c r="K17" s="33"/>
      <c r="L17" s="68"/>
      <c r="M17" s="78"/>
      <c r="N17" s="33"/>
      <c r="O17" s="33"/>
      <c r="P17" s="33"/>
      <c r="Q17" s="33"/>
      <c r="R17" s="33"/>
      <c r="S17" s="33"/>
      <c r="T17" s="33"/>
      <c r="U17" s="33"/>
      <c r="V17" s="33"/>
      <c r="W17" s="33"/>
      <c r="X17" s="33"/>
      <c r="Y17" s="33"/>
      <c r="Z17" s="33"/>
      <c r="AA17" s="33"/>
    </row>
    <row r="18" spans="1:27">
      <c r="A18" s="1" t="s">
        <v>26</v>
      </c>
      <c r="B18" s="74"/>
      <c r="C18" s="74"/>
      <c r="D18" s="75"/>
      <c r="E18" s="75"/>
      <c r="F18" s="75"/>
      <c r="G18" s="75"/>
      <c r="H18" s="75"/>
      <c r="I18" s="75"/>
      <c r="J18" s="75"/>
      <c r="K18" s="75"/>
      <c r="L18" s="75"/>
      <c r="M18" s="75"/>
      <c r="N18" s="75"/>
      <c r="O18" s="75"/>
      <c r="P18" s="75"/>
      <c r="Q18" s="75"/>
      <c r="R18" s="75"/>
      <c r="S18" s="75"/>
      <c r="T18" s="33"/>
      <c r="U18" s="33"/>
      <c r="V18" s="33"/>
      <c r="W18" s="33"/>
      <c r="X18" s="33"/>
      <c r="Y18" s="33"/>
      <c r="Z18" s="33"/>
      <c r="AA18" s="33"/>
    </row>
    <row r="19" spans="1:27">
      <c r="A19" s="1" t="s">
        <v>86</v>
      </c>
      <c r="B19" s="74"/>
      <c r="C19" s="74"/>
      <c r="D19" s="75"/>
      <c r="E19" s="75"/>
      <c r="F19" s="75"/>
      <c r="G19" s="75"/>
      <c r="H19" s="75"/>
      <c r="I19" s="75"/>
      <c r="J19" s="75"/>
      <c r="K19" s="75"/>
      <c r="L19" s="75"/>
      <c r="M19" s="75"/>
      <c r="N19" s="75"/>
      <c r="O19" s="75"/>
      <c r="P19" s="75"/>
      <c r="Q19" s="75"/>
      <c r="R19" s="75"/>
      <c r="S19" s="75"/>
      <c r="T19" s="33"/>
      <c r="U19" s="33"/>
      <c r="V19" s="33">
        <f>Inputs!T99</f>
        <v>0</v>
      </c>
      <c r="W19" s="33">
        <f>IF(V22&lt;0,V22,0)</f>
        <v>0</v>
      </c>
      <c r="X19" s="33">
        <f>IF(W22&lt;0,W22,0)</f>
        <v>0</v>
      </c>
      <c r="Y19" s="33">
        <f>IF(X22&lt;0,X22,0)</f>
        <v>0</v>
      </c>
      <c r="Z19" s="33">
        <f>IF(Y22&lt;0,Y22,0)</f>
        <v>0</v>
      </c>
      <c r="AA19" s="33">
        <f>IF(Z22&lt;0,Z22,0)</f>
        <v>0</v>
      </c>
    </row>
    <row r="20" spans="1:27">
      <c r="A20" s="1" t="s">
        <v>87</v>
      </c>
      <c r="B20" s="74"/>
      <c r="C20" s="74"/>
      <c r="D20" s="75"/>
      <c r="E20" s="75"/>
      <c r="F20" s="75"/>
      <c r="G20" s="75"/>
      <c r="H20" s="75"/>
      <c r="I20" s="75"/>
      <c r="J20" s="75"/>
      <c r="K20" s="75"/>
      <c r="L20" s="75"/>
      <c r="M20" s="75"/>
      <c r="N20" s="75"/>
      <c r="O20" s="75"/>
      <c r="P20" s="75"/>
      <c r="Q20" s="75"/>
      <c r="R20" s="75"/>
      <c r="S20" s="75"/>
      <c r="T20" s="33"/>
      <c r="U20" s="33"/>
      <c r="V20" s="33">
        <f>IF((V19*-1)&lt;V16,V19*-1,V16)</f>
        <v>0</v>
      </c>
      <c r="W20" s="33">
        <f t="shared" ref="W20:AA20" si="5">IF((W19*-1)&lt;W16,W19*-1,W16)</f>
        <v>0</v>
      </c>
      <c r="X20" s="33">
        <f t="shared" si="5"/>
        <v>0</v>
      </c>
      <c r="Y20" s="33">
        <f t="shared" si="5"/>
        <v>0</v>
      </c>
      <c r="Z20" s="33">
        <f t="shared" si="5"/>
        <v>0</v>
      </c>
      <c r="AA20" s="33">
        <f t="shared" si="5"/>
        <v>0</v>
      </c>
    </row>
    <row r="21" spans="1:27">
      <c r="A21" s="1" t="s">
        <v>190</v>
      </c>
      <c r="B21" s="74"/>
      <c r="C21" s="74"/>
      <c r="D21" s="75"/>
      <c r="E21" s="75"/>
      <c r="F21" s="75"/>
      <c r="G21" s="75"/>
      <c r="H21" s="75"/>
      <c r="I21" s="75"/>
      <c r="J21" s="75"/>
      <c r="K21" s="75"/>
      <c r="L21" s="75"/>
      <c r="M21" s="75"/>
      <c r="N21" s="75"/>
      <c r="O21" s="75"/>
      <c r="P21" s="75"/>
      <c r="Q21" s="75"/>
      <c r="R21" s="75"/>
      <c r="S21" s="75"/>
      <c r="T21" s="33"/>
      <c r="U21" s="33"/>
      <c r="V21" s="33">
        <f>IF(V12&gt;0,0,V12)</f>
        <v>0</v>
      </c>
      <c r="W21" s="33">
        <f t="shared" ref="W21:AA21" si="6">IF(W12&gt;0,0,W12)</f>
        <v>0</v>
      </c>
      <c r="X21" s="33">
        <f t="shared" si="6"/>
        <v>0</v>
      </c>
      <c r="Y21" s="33">
        <f t="shared" si="6"/>
        <v>0</v>
      </c>
      <c r="Z21" s="33">
        <f t="shared" si="6"/>
        <v>0</v>
      </c>
      <c r="AA21" s="33">
        <f t="shared" si="6"/>
        <v>0</v>
      </c>
    </row>
    <row r="22" spans="1:27">
      <c r="A22" s="1" t="s">
        <v>88</v>
      </c>
      <c r="B22" s="74"/>
      <c r="C22" s="74"/>
      <c r="D22" s="75"/>
      <c r="E22" s="75"/>
      <c r="F22" s="75"/>
      <c r="G22" s="75"/>
      <c r="H22" s="75"/>
      <c r="I22" s="75"/>
      <c r="J22" s="75"/>
      <c r="K22" s="75"/>
      <c r="L22" s="75"/>
      <c r="M22" s="75"/>
      <c r="N22" s="75"/>
      <c r="O22" s="75"/>
      <c r="P22" s="75"/>
      <c r="Q22" s="75"/>
      <c r="R22" s="75"/>
      <c r="S22" s="75"/>
      <c r="T22" s="33"/>
      <c r="U22" s="33"/>
      <c r="V22" s="33">
        <f>V19+V20+V21</f>
        <v>0</v>
      </c>
      <c r="W22" s="33">
        <f t="shared" ref="W22:AA22" si="7">W19+W20+W21</f>
        <v>0</v>
      </c>
      <c r="X22" s="33">
        <f t="shared" si="7"/>
        <v>0</v>
      </c>
      <c r="Y22" s="33">
        <f t="shared" si="7"/>
        <v>0</v>
      </c>
      <c r="Z22" s="33">
        <f t="shared" si="7"/>
        <v>0</v>
      </c>
      <c r="AA22" s="33">
        <f t="shared" si="7"/>
        <v>0</v>
      </c>
    </row>
    <row r="23" spans="1:27">
      <c r="A23" s="1"/>
      <c r="B23" s="74"/>
      <c r="C23" s="74"/>
      <c r="D23" s="75"/>
      <c r="E23" s="75"/>
      <c r="F23" s="75"/>
      <c r="G23" s="75"/>
      <c r="H23" s="75"/>
      <c r="I23" s="75"/>
      <c r="J23" s="75"/>
      <c r="K23" s="75"/>
      <c r="L23" s="75"/>
      <c r="M23" s="75"/>
      <c r="N23" s="75"/>
      <c r="O23" s="75"/>
      <c r="P23" s="75"/>
      <c r="Q23" s="75"/>
      <c r="R23" s="75"/>
      <c r="S23" s="75"/>
      <c r="T23" s="33"/>
      <c r="U23" s="33"/>
      <c r="V23" s="33"/>
      <c r="W23" s="33"/>
      <c r="X23" s="33"/>
      <c r="Y23" s="33"/>
      <c r="Z23" s="33"/>
      <c r="AA23" s="33"/>
    </row>
    <row r="24" spans="1:27">
      <c r="A24" s="1" t="s">
        <v>89</v>
      </c>
      <c r="B24" s="74"/>
      <c r="C24" s="74"/>
      <c r="D24" s="75"/>
      <c r="E24" s="75"/>
      <c r="F24" s="75"/>
      <c r="G24" s="75"/>
      <c r="H24" s="75"/>
      <c r="I24" s="75"/>
      <c r="J24" s="75"/>
      <c r="K24" s="75"/>
      <c r="L24" s="75"/>
      <c r="M24" s="75"/>
      <c r="N24" s="75"/>
      <c r="O24" s="75"/>
      <c r="P24" s="75"/>
      <c r="Q24" s="75"/>
      <c r="R24" s="75"/>
      <c r="S24" s="75"/>
      <c r="T24" s="33"/>
      <c r="U24" s="33"/>
      <c r="V24" s="33">
        <f t="shared" ref="V24:AA24" si="8">IF(V12&gt;0,V12,V12+V16+-V14)</f>
        <v>973.74044707127177</v>
      </c>
      <c r="W24" s="33">
        <f t="shared" si="8"/>
        <v>2709.659100879293</v>
      </c>
      <c r="X24" s="33">
        <f t="shared" si="8"/>
        <v>4353.8386521660777</v>
      </c>
      <c r="Y24" s="33">
        <f t="shared" si="8"/>
        <v>5837.7103806433988</v>
      </c>
      <c r="Z24" s="33">
        <f t="shared" si="8"/>
        <v>6931.419176183148</v>
      </c>
      <c r="AA24" s="33">
        <f t="shared" si="8"/>
        <v>8339.1403716487821</v>
      </c>
    </row>
    <row r="25" spans="1:27">
      <c r="A25" s="1" t="s">
        <v>24</v>
      </c>
      <c r="B25" s="74"/>
      <c r="C25" s="74"/>
      <c r="D25" s="75"/>
      <c r="E25" s="75"/>
      <c r="F25" s="75"/>
      <c r="G25" s="75"/>
      <c r="H25" s="75"/>
      <c r="I25" s="75"/>
      <c r="J25" s="75"/>
      <c r="K25" s="75"/>
      <c r="L25" s="75"/>
      <c r="M25" s="75"/>
      <c r="N25" s="75"/>
      <c r="O25" s="75"/>
      <c r="P25" s="75"/>
      <c r="Q25" s="75"/>
      <c r="R25" s="75"/>
      <c r="S25" s="75"/>
      <c r="T25" s="33"/>
      <c r="U25" s="33"/>
      <c r="V25" s="33">
        <f>V24*Inputs!V101</f>
        <v>228.82900506174886</v>
      </c>
      <c r="W25" s="33">
        <f>W24*Inputs!W101</f>
        <v>677.41477521982324</v>
      </c>
      <c r="X25" s="33">
        <f>X24*Inputs!X101</f>
        <v>1088.4596630415194</v>
      </c>
      <c r="Y25" s="33">
        <f>Y24*Inputs!Y101</f>
        <v>1459.4275951608497</v>
      </c>
      <c r="Z25" s="33">
        <f>Z24*Inputs!Z101</f>
        <v>1732.854794045787</v>
      </c>
      <c r="AA25" s="33">
        <f>AA24*Inputs!AA101</f>
        <v>2084.7850929121955</v>
      </c>
    </row>
    <row r="26" spans="1:27">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7">
      <c r="A27" s="23" t="s">
        <v>67</v>
      </c>
      <c r="B27" s="75"/>
      <c r="C27" s="74"/>
      <c r="D27" s="74"/>
      <c r="E27" s="75"/>
      <c r="F27" s="75"/>
      <c r="G27" s="75"/>
      <c r="H27" s="75"/>
      <c r="I27" s="75"/>
      <c r="J27" s="75"/>
      <c r="K27" s="75"/>
      <c r="L27" s="75"/>
      <c r="M27" s="75"/>
      <c r="N27" s="75"/>
      <c r="O27" s="75"/>
      <c r="P27" s="75"/>
      <c r="Q27" s="75"/>
      <c r="R27" s="75"/>
      <c r="S27" s="75"/>
      <c r="T27" s="33"/>
      <c r="U27" s="33"/>
      <c r="V27" s="33"/>
      <c r="W27" s="33"/>
      <c r="X27" s="33"/>
      <c r="Y27" s="33"/>
      <c r="Z27" s="33"/>
      <c r="AA27" s="33"/>
    </row>
    <row r="28" spans="1:27">
      <c r="A28" s="1" t="s">
        <v>68</v>
      </c>
      <c r="B28" s="74"/>
      <c r="C28" s="74"/>
      <c r="D28" s="75"/>
      <c r="E28" s="75"/>
      <c r="F28" s="75"/>
      <c r="G28" s="75"/>
      <c r="H28" s="75"/>
      <c r="I28" s="75"/>
      <c r="J28" s="75"/>
      <c r="K28" s="75"/>
      <c r="L28" s="79"/>
      <c r="M28" s="79"/>
      <c r="N28" s="79"/>
      <c r="O28" s="79"/>
      <c r="P28" s="79"/>
      <c r="Q28" s="79"/>
      <c r="R28" s="79"/>
      <c r="S28" s="68"/>
      <c r="T28" s="33">
        <f>'DAV Pi'!T40*T6</f>
        <v>23477.575907657829</v>
      </c>
      <c r="U28" s="33">
        <f>'DAV Pi'!U40*U6</f>
        <v>23580.140502125701</v>
      </c>
      <c r="V28" s="33">
        <f>'DAV Pi'!V40*V6</f>
        <v>12906.825030639147</v>
      </c>
      <c r="W28" s="33">
        <f>'DAV Pi'!W40*W6</f>
        <v>8624.2401576292687</v>
      </c>
      <c r="X28" s="33">
        <f>'DAV Pi'!X40*X6</f>
        <v>8470.8370492634822</v>
      </c>
      <c r="Y28" s="33">
        <f>'DAV Pi'!Y40*Y6</f>
        <v>8348.8315184202984</v>
      </c>
      <c r="Z28" s="33">
        <f>'DAV Pi'!Z40*Z6</f>
        <v>8559.3522016846764</v>
      </c>
      <c r="AA28" s="33">
        <f>'DAV Pi'!AA40*AA6</f>
        <v>8580.0811804600908</v>
      </c>
    </row>
    <row r="29" spans="1:27">
      <c r="A29" s="1"/>
      <c r="B29" s="74"/>
      <c r="C29" s="74"/>
      <c r="D29" s="75"/>
      <c r="E29" s="75"/>
      <c r="F29" s="75"/>
      <c r="G29" s="75"/>
      <c r="H29" s="75"/>
      <c r="I29" s="75"/>
      <c r="J29" s="75"/>
      <c r="K29" s="75"/>
      <c r="L29" s="79"/>
      <c r="M29" s="79"/>
      <c r="N29" s="79"/>
      <c r="O29" s="79"/>
      <c r="P29" s="79"/>
      <c r="Q29" s="79"/>
      <c r="R29" s="79"/>
      <c r="S29" s="68"/>
      <c r="T29" s="33"/>
      <c r="U29" s="33"/>
      <c r="V29" s="33"/>
      <c r="W29" s="33"/>
      <c r="X29" s="33"/>
      <c r="Y29" s="33"/>
      <c r="Z29" s="33"/>
      <c r="AA29" s="33"/>
    </row>
    <row r="30" spans="1:27">
      <c r="A30" s="58" t="s">
        <v>69</v>
      </c>
      <c r="B30" s="80"/>
      <c r="C30" s="80"/>
      <c r="D30" s="75"/>
      <c r="E30" s="75"/>
      <c r="F30" s="75"/>
      <c r="G30" s="75"/>
      <c r="H30" s="75"/>
      <c r="I30" s="75"/>
      <c r="J30" s="75"/>
      <c r="K30" s="75"/>
      <c r="L30" s="79"/>
      <c r="M30" s="79"/>
      <c r="N30" s="79"/>
      <c r="O30" s="79"/>
      <c r="P30" s="79"/>
      <c r="Q30" s="79"/>
      <c r="R30" s="79"/>
      <c r="S30" s="68"/>
      <c r="T30" s="33"/>
      <c r="U30" s="33"/>
      <c r="V30" s="33"/>
      <c r="W30" s="33"/>
      <c r="X30" s="33"/>
      <c r="Y30" s="33"/>
      <c r="Z30" s="33"/>
      <c r="AA30" s="33"/>
    </row>
    <row r="31" spans="1:27">
      <c r="A31" s="1" t="s">
        <v>70</v>
      </c>
      <c r="B31" s="74"/>
      <c r="C31" s="74"/>
      <c r="D31" s="75"/>
      <c r="E31" s="75"/>
      <c r="F31" s="75"/>
      <c r="G31" s="75"/>
      <c r="H31" s="75"/>
      <c r="I31" s="75"/>
      <c r="J31" s="75"/>
      <c r="K31" s="75"/>
      <c r="L31" s="79"/>
      <c r="M31" s="79"/>
      <c r="N31" s="79"/>
      <c r="O31" s="79"/>
      <c r="P31" s="79"/>
      <c r="Q31" s="79"/>
      <c r="R31" s="79"/>
      <c r="S31" s="68"/>
      <c r="T31" s="10">
        <f>Inputs!$T$86</f>
        <v>0.13720679924239051</v>
      </c>
      <c r="U31" s="10">
        <f>Inputs!$T$86</f>
        <v>0.13720679924239051</v>
      </c>
      <c r="V31" s="10">
        <f>Inputs!$T$86</f>
        <v>0.13720679924239051</v>
      </c>
      <c r="W31" s="10">
        <f>Inputs!$T$86</f>
        <v>0.13720679924239051</v>
      </c>
      <c r="X31" s="10">
        <f>Inputs!$T$86</f>
        <v>0.13720679924239051</v>
      </c>
      <c r="Y31" s="10">
        <f>Inputs!$T$86</f>
        <v>0.13720679924239051</v>
      </c>
      <c r="Z31" s="10">
        <f>Inputs!$T$86</f>
        <v>0.13720679924239051</v>
      </c>
      <c r="AA31" s="10">
        <f>Inputs!$T$86</f>
        <v>0.13720679924239051</v>
      </c>
    </row>
    <row r="32" spans="1:27">
      <c r="A32" s="1" t="s">
        <v>71</v>
      </c>
      <c r="B32" s="74"/>
      <c r="C32" s="74"/>
      <c r="D32" s="75"/>
      <c r="E32" s="75"/>
      <c r="F32" s="75"/>
      <c r="G32" s="75"/>
      <c r="H32" s="75"/>
      <c r="I32" s="75"/>
      <c r="J32" s="75"/>
      <c r="K32" s="75"/>
      <c r="L32" s="79"/>
      <c r="M32" s="79"/>
      <c r="N32" s="79"/>
      <c r="O32" s="79"/>
      <c r="P32" s="79"/>
      <c r="Q32" s="79"/>
      <c r="R32" s="79"/>
      <c r="S32" s="68"/>
      <c r="T32" s="10">
        <f>Inputs!$T$87</f>
        <v>0.76453286136229437</v>
      </c>
      <c r="U32" s="10">
        <f>Inputs!$T$87</f>
        <v>0.76453286136229437</v>
      </c>
      <c r="V32" s="10">
        <f>Inputs!$T$87</f>
        <v>0.76453286136229437</v>
      </c>
      <c r="W32" s="10">
        <f>Inputs!$T$87</f>
        <v>0.76453286136229437</v>
      </c>
      <c r="X32" s="10">
        <f>Inputs!$T$87</f>
        <v>0.76453286136229437</v>
      </c>
      <c r="Y32" s="10">
        <f>Inputs!$T$87</f>
        <v>0.76453286136229437</v>
      </c>
      <c r="Z32" s="10">
        <f>Inputs!$T$87</f>
        <v>0.76453286136229437</v>
      </c>
      <c r="AA32" s="10">
        <f>Inputs!$T$87</f>
        <v>0.76453286136229437</v>
      </c>
    </row>
    <row r="33" spans="1:27">
      <c r="A33" s="1" t="s">
        <v>72</v>
      </c>
      <c r="B33" s="74"/>
      <c r="C33" s="74"/>
      <c r="D33" s="75"/>
      <c r="E33" s="75"/>
      <c r="F33" s="75"/>
      <c r="G33" s="75"/>
      <c r="H33" s="75"/>
      <c r="I33" s="75"/>
      <c r="J33" s="75"/>
      <c r="K33" s="75"/>
      <c r="L33" s="79"/>
      <c r="M33" s="79"/>
      <c r="N33" s="79"/>
      <c r="O33" s="79"/>
      <c r="P33" s="79"/>
      <c r="Q33" s="79"/>
      <c r="R33" s="79"/>
      <c r="S33" s="68"/>
      <c r="T33" s="10">
        <f>Inputs!$T$88</f>
        <v>9.8260339395315158E-2</v>
      </c>
      <c r="U33" s="10">
        <f>Inputs!$T$88</f>
        <v>9.8260339395315158E-2</v>
      </c>
      <c r="V33" s="10">
        <f>Inputs!$T$88</f>
        <v>9.8260339395315158E-2</v>
      </c>
      <c r="W33" s="10">
        <f>Inputs!$T$88</f>
        <v>9.8260339395315158E-2</v>
      </c>
      <c r="X33" s="10">
        <f>Inputs!$T$88</f>
        <v>9.8260339395315158E-2</v>
      </c>
      <c r="Y33" s="10">
        <f>Inputs!$T$88</f>
        <v>9.8260339395315158E-2</v>
      </c>
      <c r="Z33" s="10">
        <f>Inputs!$T$88</f>
        <v>9.8260339395315158E-2</v>
      </c>
      <c r="AA33" s="10">
        <f>Inputs!$T$88</f>
        <v>9.8260339395315158E-2</v>
      </c>
    </row>
    <row r="34" spans="1:27">
      <c r="A34" s="1"/>
      <c r="B34" s="74"/>
      <c r="C34" s="74"/>
      <c r="D34" s="75"/>
      <c r="E34" s="75"/>
      <c r="F34" s="75"/>
      <c r="G34" s="75"/>
      <c r="H34" s="75"/>
      <c r="I34" s="75"/>
      <c r="J34" s="75"/>
      <c r="K34" s="75"/>
      <c r="L34" s="79"/>
      <c r="M34" s="79"/>
      <c r="N34" s="79"/>
      <c r="O34" s="79"/>
      <c r="P34" s="79"/>
      <c r="Q34" s="79"/>
      <c r="R34" s="79"/>
      <c r="S34" s="68"/>
      <c r="T34" s="215">
        <f t="shared" ref="T34:AA34" si="9">SUM(T31:T33)</f>
        <v>1</v>
      </c>
      <c r="U34" s="215">
        <f t="shared" si="9"/>
        <v>1</v>
      </c>
      <c r="V34" s="215">
        <f t="shared" si="9"/>
        <v>1</v>
      </c>
      <c r="W34" s="215">
        <f t="shared" si="9"/>
        <v>1</v>
      </c>
      <c r="X34" s="215">
        <f t="shared" si="9"/>
        <v>1</v>
      </c>
      <c r="Y34" s="215">
        <f t="shared" si="9"/>
        <v>1</v>
      </c>
      <c r="Z34" s="215">
        <f t="shared" si="9"/>
        <v>1</v>
      </c>
      <c r="AA34" s="215">
        <f t="shared" si="9"/>
        <v>1</v>
      </c>
    </row>
    <row r="35" spans="1:27">
      <c r="A35" s="1"/>
      <c r="B35" s="74"/>
      <c r="C35" s="74"/>
      <c r="D35" s="75"/>
      <c r="E35" s="75"/>
      <c r="F35" s="75"/>
      <c r="G35" s="75"/>
      <c r="H35" s="75"/>
      <c r="I35" s="75"/>
      <c r="J35" s="75"/>
      <c r="K35" s="75"/>
      <c r="L35" s="79"/>
      <c r="M35" s="79"/>
      <c r="N35" s="79"/>
      <c r="O35" s="79"/>
      <c r="P35" s="79"/>
      <c r="Q35" s="79"/>
      <c r="R35" s="79"/>
      <c r="S35" s="68"/>
      <c r="T35" s="10"/>
      <c r="U35" s="10"/>
      <c r="V35" s="10"/>
      <c r="W35" s="10"/>
      <c r="X35" s="10"/>
      <c r="Y35" s="10"/>
      <c r="Z35" s="10"/>
      <c r="AA35" s="10"/>
    </row>
    <row r="36" spans="1:27">
      <c r="A36" s="1" t="s">
        <v>175</v>
      </c>
      <c r="B36" s="74"/>
      <c r="C36" s="74"/>
      <c r="D36" s="75"/>
      <c r="E36" s="75"/>
      <c r="F36" s="75"/>
      <c r="G36" s="75"/>
      <c r="H36" s="75"/>
      <c r="I36" s="75"/>
      <c r="J36" s="75"/>
      <c r="K36" s="75"/>
      <c r="L36" s="79"/>
      <c r="M36" s="79"/>
      <c r="N36" s="79"/>
      <c r="O36" s="79"/>
      <c r="P36" s="79"/>
      <c r="Q36" s="79"/>
      <c r="R36" s="79"/>
      <c r="S36" s="68"/>
      <c r="T36" s="10"/>
      <c r="U36" s="10"/>
      <c r="V36" s="10"/>
      <c r="W36" s="10"/>
      <c r="X36" s="10"/>
      <c r="Y36" s="10"/>
      <c r="Z36" s="10"/>
      <c r="AA36" s="10"/>
    </row>
    <row r="37" spans="1:27">
      <c r="A37" s="1" t="s">
        <v>186</v>
      </c>
      <c r="B37" s="74"/>
      <c r="C37" s="74"/>
      <c r="D37" s="75"/>
      <c r="E37" s="75"/>
      <c r="F37" s="75"/>
      <c r="G37" s="75"/>
      <c r="H37" s="75"/>
      <c r="I37" s="75"/>
      <c r="J37" s="75"/>
      <c r="K37" s="75"/>
      <c r="L37" s="79"/>
      <c r="M37" s="79"/>
      <c r="N37" s="79"/>
      <c r="O37" s="79"/>
      <c r="P37" s="79"/>
      <c r="Q37" s="79"/>
      <c r="R37" s="79"/>
      <c r="S37" s="68"/>
      <c r="T37" s="33">
        <f>T28*T31</f>
        <v>3221.283044259992</v>
      </c>
      <c r="U37" s="33">
        <f>U28*U31</f>
        <v>3235.3556039825226</v>
      </c>
      <c r="V37" s="10"/>
      <c r="W37" s="10"/>
      <c r="X37" s="10"/>
      <c r="Y37" s="10"/>
      <c r="Z37" s="10"/>
      <c r="AA37" s="10"/>
    </row>
    <row r="38" spans="1:27">
      <c r="A38" s="1" t="s">
        <v>176</v>
      </c>
      <c r="B38" s="74"/>
      <c r="C38" s="74"/>
      <c r="D38" s="75"/>
      <c r="E38" s="75"/>
      <c r="F38" s="75"/>
      <c r="G38" s="75"/>
      <c r="H38" s="75"/>
      <c r="I38" s="75"/>
      <c r="J38" s="75"/>
      <c r="K38" s="75"/>
      <c r="L38" s="79"/>
      <c r="M38" s="79"/>
      <c r="N38" s="79"/>
      <c r="O38" s="79"/>
      <c r="P38" s="79"/>
      <c r="Q38" s="79"/>
      <c r="R38" s="79"/>
      <c r="S38" s="68"/>
      <c r="T38" s="33">
        <f>T37*Inputs!$T$91</f>
        <v>322.1283044259992</v>
      </c>
      <c r="U38" s="33">
        <f>U37*Inputs!$T$91</f>
        <v>323.5355603982523</v>
      </c>
      <c r="V38" s="10"/>
      <c r="W38" s="10"/>
      <c r="X38" s="10"/>
      <c r="Y38" s="10"/>
      <c r="Z38" s="10"/>
      <c r="AA38" s="10"/>
    </row>
    <row r="39" spans="1:27">
      <c r="A39" s="30" t="s">
        <v>177</v>
      </c>
      <c r="B39" s="74"/>
      <c r="C39" s="74"/>
      <c r="D39" s="75"/>
      <c r="E39" s="75"/>
      <c r="F39" s="75"/>
      <c r="G39" s="75"/>
      <c r="H39" s="75"/>
      <c r="I39" s="75"/>
      <c r="J39" s="75"/>
      <c r="K39" s="75"/>
      <c r="L39" s="79"/>
      <c r="M39" s="79"/>
      <c r="N39" s="79"/>
      <c r="O39" s="79"/>
      <c r="P39" s="79"/>
      <c r="Q39" s="79"/>
      <c r="R39" s="79"/>
      <c r="S39" s="68"/>
      <c r="T39" s="33">
        <f>T37-T38</f>
        <v>2899.1547398339926</v>
      </c>
      <c r="U39" s="33">
        <f>U37-U38</f>
        <v>2911.82004358427</v>
      </c>
      <c r="V39" s="10"/>
      <c r="W39" s="10"/>
      <c r="X39" s="10"/>
      <c r="Y39" s="10"/>
      <c r="Z39" s="10"/>
      <c r="AA39" s="10"/>
    </row>
    <row r="40" spans="1:27">
      <c r="A40" s="1"/>
      <c r="B40" s="74"/>
      <c r="C40" s="74"/>
      <c r="D40" s="75"/>
      <c r="E40" s="75"/>
      <c r="F40" s="75"/>
      <c r="G40" s="75"/>
      <c r="H40" s="75"/>
      <c r="I40" s="75"/>
      <c r="J40" s="75"/>
      <c r="K40" s="75"/>
      <c r="L40" s="79"/>
      <c r="M40" s="79"/>
      <c r="N40" s="79"/>
      <c r="O40" s="79"/>
      <c r="P40" s="79"/>
      <c r="Q40" s="79"/>
      <c r="R40" s="79"/>
      <c r="S40" s="68"/>
      <c r="T40" s="10"/>
      <c r="U40" s="10"/>
      <c r="V40" s="10"/>
      <c r="W40" s="10"/>
      <c r="X40" s="10"/>
      <c r="Y40" s="10"/>
      <c r="Z40" s="10"/>
      <c r="AA40" s="10"/>
    </row>
    <row r="41" spans="1:27">
      <c r="A41" s="1" t="s">
        <v>73</v>
      </c>
      <c r="B41" s="74"/>
      <c r="C41" s="74"/>
      <c r="D41" s="75"/>
      <c r="E41" s="75"/>
      <c r="F41" s="75"/>
      <c r="G41" s="75"/>
      <c r="H41" s="75"/>
      <c r="I41" s="75"/>
      <c r="J41" s="75"/>
      <c r="K41" s="75"/>
      <c r="L41" s="79"/>
      <c r="M41" s="79"/>
      <c r="N41" s="79"/>
      <c r="O41" s="79"/>
      <c r="P41" s="79"/>
      <c r="Q41" s="79"/>
      <c r="R41" s="79"/>
      <c r="S41" s="68"/>
      <c r="T41" s="79"/>
      <c r="U41" s="79"/>
      <c r="V41" s="79"/>
      <c r="W41" s="79"/>
      <c r="X41" s="79"/>
      <c r="Y41" s="79"/>
      <c r="Z41" s="79"/>
      <c r="AA41" s="79"/>
    </row>
    <row r="42" spans="1:27">
      <c r="A42" s="1" t="s">
        <v>74</v>
      </c>
      <c r="B42" s="74"/>
      <c r="C42" s="74"/>
      <c r="D42" s="75"/>
      <c r="E42" s="75"/>
      <c r="F42" s="75"/>
      <c r="G42" s="75"/>
      <c r="H42" s="75"/>
      <c r="I42" s="75"/>
      <c r="J42" s="75"/>
      <c r="K42" s="75"/>
      <c r="L42" s="79"/>
      <c r="M42" s="79"/>
      <c r="N42" s="79"/>
      <c r="O42" s="79"/>
      <c r="P42" s="79"/>
      <c r="Q42" s="79"/>
      <c r="R42" s="79"/>
      <c r="S42" s="68"/>
      <c r="T42" s="33">
        <f>Inputs!T84</f>
        <v>5579.9830000000002</v>
      </c>
      <c r="U42" s="33">
        <f>T47</f>
        <v>6952.8929466638747</v>
      </c>
      <c r="V42" s="33">
        <f t="shared" ref="V42" si="10">U47</f>
        <v>8089.0646520034788</v>
      </c>
      <c r="W42" s="33">
        <f t="shared" ref="W42" si="11">V47</f>
        <v>8085.1744183280171</v>
      </c>
      <c r="X42" s="33">
        <f t="shared" ref="X42" si="12">W47</f>
        <v>7600.1526211282962</v>
      </c>
      <c r="Y42" s="33">
        <f t="shared" ref="Y42" si="13">X47</f>
        <v>7185.1754288405073</v>
      </c>
      <c r="Z42" s="33">
        <f t="shared" ref="Z42" si="14">Y47</f>
        <v>6831.1673406954933</v>
      </c>
      <c r="AA42" s="33">
        <f t="shared" ref="AA42" si="15">Z47</f>
        <v>6564.5663010991038</v>
      </c>
    </row>
    <row r="43" spans="1:27">
      <c r="A43" s="1" t="s">
        <v>155</v>
      </c>
      <c r="B43" s="74"/>
      <c r="C43" s="74"/>
      <c r="D43" s="75"/>
      <c r="E43" s="75"/>
      <c r="F43" s="75"/>
      <c r="G43" s="75"/>
      <c r="H43" s="75"/>
      <c r="I43" s="75"/>
      <c r="J43" s="75"/>
      <c r="K43" s="75"/>
      <c r="L43" s="79"/>
      <c r="M43" s="79"/>
      <c r="N43" s="79"/>
      <c r="O43" s="79"/>
      <c r="P43" s="79"/>
      <c r="Q43" s="79"/>
      <c r="R43" s="79"/>
      <c r="S43" s="68"/>
      <c r="T43" s="33">
        <f>T39</f>
        <v>2899.1547398339926</v>
      </c>
      <c r="U43" s="33">
        <f>U39</f>
        <v>2911.82004358427</v>
      </c>
      <c r="V43" s="33">
        <f t="shared" ref="V43:AA43" si="16">V28*V31</f>
        <v>1770.9041508355663</v>
      </c>
      <c r="W43" s="33">
        <f t="shared" si="16"/>
        <v>1183.3043879260015</v>
      </c>
      <c r="X43" s="33">
        <f t="shared" si="16"/>
        <v>1162.2564384332982</v>
      </c>
      <c r="Y43" s="33">
        <f t="shared" si="16"/>
        <v>1145.5164500564363</v>
      </c>
      <c r="Z43" s="33">
        <f t="shared" si="16"/>
        <v>1174.4013191814627</v>
      </c>
      <c r="AA43" s="33">
        <f t="shared" si="16"/>
        <v>1177.2454760108008</v>
      </c>
    </row>
    <row r="44" spans="1:27">
      <c r="A44" s="1" t="s">
        <v>154</v>
      </c>
      <c r="B44" s="74"/>
      <c r="C44" s="74"/>
      <c r="D44" s="75"/>
      <c r="E44" s="75"/>
      <c r="F44" s="75"/>
      <c r="G44" s="75"/>
      <c r="H44" s="75"/>
      <c r="I44" s="75"/>
      <c r="J44" s="75"/>
      <c r="K44" s="75"/>
      <c r="L44" s="79"/>
      <c r="M44" s="79"/>
      <c r="N44" s="79"/>
      <c r="O44" s="79"/>
      <c r="P44" s="79"/>
      <c r="Q44" s="79"/>
      <c r="R44" s="79"/>
      <c r="S44" s="68"/>
      <c r="T44" s="33"/>
      <c r="U44" s="33"/>
      <c r="V44" s="33"/>
      <c r="W44" s="33"/>
      <c r="X44" s="33"/>
      <c r="Y44" s="33"/>
      <c r="Z44" s="33"/>
      <c r="AA44" s="33"/>
    </row>
    <row r="45" spans="1:27">
      <c r="A45" s="1" t="s">
        <v>75</v>
      </c>
      <c r="B45" s="74"/>
      <c r="C45" s="74"/>
      <c r="D45" s="75"/>
      <c r="E45" s="75"/>
      <c r="F45" s="75"/>
      <c r="G45" s="75"/>
      <c r="H45" s="75"/>
      <c r="I45" s="75"/>
      <c r="J45" s="75"/>
      <c r="K45" s="75"/>
      <c r="L45" s="79"/>
      <c r="M45" s="79"/>
      <c r="N45" s="79"/>
      <c r="O45" s="79"/>
      <c r="P45" s="79"/>
      <c r="Q45" s="79"/>
      <c r="R45" s="79"/>
      <c r="S45" s="68"/>
      <c r="T45" s="33">
        <f>SUM(T42:T44)</f>
        <v>8479.1377398339937</v>
      </c>
      <c r="U45" s="33">
        <f>SUM(U42:U44)</f>
        <v>9864.7129902481447</v>
      </c>
      <c r="V45" s="33">
        <f>SUM(V42:V44)</f>
        <v>9859.9688028390447</v>
      </c>
      <c r="W45" s="33">
        <f t="shared" ref="W45:AA45" si="17">SUM(W42:W44)</f>
        <v>9268.4788062540192</v>
      </c>
      <c r="X45" s="33">
        <f t="shared" si="17"/>
        <v>8762.4090595615944</v>
      </c>
      <c r="Y45" s="33">
        <f t="shared" si="17"/>
        <v>8330.6918788969433</v>
      </c>
      <c r="Z45" s="33">
        <f t="shared" si="17"/>
        <v>8005.5686598769562</v>
      </c>
      <c r="AA45" s="33">
        <f t="shared" si="17"/>
        <v>7741.8117771099041</v>
      </c>
    </row>
    <row r="46" spans="1:27">
      <c r="A46" s="1" t="s">
        <v>76</v>
      </c>
      <c r="B46" s="74"/>
      <c r="C46" s="74"/>
      <c r="D46" s="75"/>
      <c r="E46" s="75"/>
      <c r="F46" s="75"/>
      <c r="G46" s="75"/>
      <c r="H46" s="75"/>
      <c r="I46" s="75"/>
      <c r="J46" s="75"/>
      <c r="K46" s="75"/>
      <c r="L46" s="79"/>
      <c r="M46" s="79"/>
      <c r="N46" s="79"/>
      <c r="O46" s="79"/>
      <c r="P46" s="79"/>
      <c r="Q46" s="79"/>
      <c r="R46" s="79"/>
      <c r="S46" s="68"/>
      <c r="T46" s="33">
        <f>+T45*Inputs!$T$89</f>
        <v>1526.2447931701188</v>
      </c>
      <c r="U46" s="33">
        <f>+U45*Inputs!$T$89</f>
        <v>1775.6483382446661</v>
      </c>
      <c r="V46" s="33">
        <f>+V45*Inputs!$T$89</f>
        <v>1774.7943845110281</v>
      </c>
      <c r="W46" s="33">
        <f>+W45*Inputs!$T$89</f>
        <v>1668.3261851257234</v>
      </c>
      <c r="X46" s="33">
        <f>+X45*Inputs!$T$89</f>
        <v>1577.2336307210869</v>
      </c>
      <c r="Y46" s="33">
        <f>+Y45*Inputs!$T$89</f>
        <v>1499.5245382014498</v>
      </c>
      <c r="Z46" s="33">
        <f>+Z45*Inputs!$T$89</f>
        <v>1441.0023587778521</v>
      </c>
      <c r="AA46" s="33">
        <f>+AA45*Inputs!$T$89</f>
        <v>1393.5261198797828</v>
      </c>
    </row>
    <row r="47" spans="1:27">
      <c r="A47" s="1" t="s">
        <v>77</v>
      </c>
      <c r="B47" s="74"/>
      <c r="C47" s="74"/>
      <c r="D47" s="75"/>
      <c r="E47" s="75"/>
      <c r="F47" s="75"/>
      <c r="G47" s="75"/>
      <c r="H47" s="75"/>
      <c r="I47" s="75"/>
      <c r="J47" s="75"/>
      <c r="K47" s="75"/>
      <c r="L47" s="79"/>
      <c r="M47" s="79"/>
      <c r="N47" s="79"/>
      <c r="O47" s="79"/>
      <c r="P47" s="79"/>
      <c r="Q47" s="79"/>
      <c r="R47" s="79"/>
      <c r="S47" s="68"/>
      <c r="T47" s="49">
        <f>T45-T46</f>
        <v>6952.8929466638747</v>
      </c>
      <c r="U47" s="49">
        <f>U45-U46</f>
        <v>8089.0646520034788</v>
      </c>
      <c r="V47" s="49">
        <f>V45-V46</f>
        <v>8085.1744183280171</v>
      </c>
      <c r="W47" s="49">
        <f t="shared" ref="W47:AA47" si="18">W45-W46</f>
        <v>7600.1526211282962</v>
      </c>
      <c r="X47" s="49">
        <f t="shared" si="18"/>
        <v>7185.1754288405073</v>
      </c>
      <c r="Y47" s="49">
        <f t="shared" si="18"/>
        <v>6831.1673406954933</v>
      </c>
      <c r="Z47" s="49">
        <f t="shared" si="18"/>
        <v>6564.5663010991038</v>
      </c>
      <c r="AA47" s="49">
        <f t="shared" si="18"/>
        <v>6348.2856572301216</v>
      </c>
    </row>
    <row r="48" spans="1:27">
      <c r="A48" s="1"/>
      <c r="B48" s="74"/>
      <c r="C48" s="74"/>
      <c r="D48" s="75"/>
      <c r="E48" s="75"/>
      <c r="F48" s="75"/>
      <c r="G48" s="75"/>
      <c r="H48" s="75"/>
      <c r="I48" s="75"/>
      <c r="J48" s="75"/>
      <c r="K48" s="75"/>
      <c r="L48" s="79"/>
      <c r="M48" s="79"/>
      <c r="N48" s="79"/>
      <c r="O48" s="79"/>
      <c r="P48" s="79"/>
      <c r="Q48" s="79"/>
      <c r="R48" s="79"/>
      <c r="S48" s="68"/>
      <c r="T48" s="33"/>
      <c r="U48" s="33"/>
      <c r="V48" s="33"/>
      <c r="W48" s="33"/>
      <c r="X48" s="33"/>
      <c r="Y48" s="33"/>
      <c r="Z48" s="33"/>
      <c r="AA48" s="33"/>
    </row>
    <row r="49" spans="1:27">
      <c r="A49" s="1" t="s">
        <v>78</v>
      </c>
      <c r="B49" s="74"/>
      <c r="C49" s="74"/>
      <c r="D49" s="75"/>
      <c r="E49" s="75"/>
      <c r="F49" s="75"/>
      <c r="G49" s="75"/>
      <c r="H49" s="75"/>
      <c r="I49" s="75"/>
      <c r="J49" s="75"/>
      <c r="K49" s="75"/>
      <c r="L49" s="79"/>
      <c r="M49" s="79"/>
      <c r="N49" s="79"/>
      <c r="O49" s="79"/>
      <c r="P49" s="79"/>
      <c r="Q49" s="79"/>
      <c r="R49" s="79"/>
      <c r="S49" s="68"/>
      <c r="T49" s="33"/>
      <c r="U49" s="33"/>
      <c r="V49" s="33"/>
      <c r="W49" s="33"/>
      <c r="X49" s="33"/>
      <c r="Y49" s="33"/>
      <c r="Z49" s="33"/>
      <c r="AA49" s="33"/>
    </row>
    <row r="50" spans="1:27">
      <c r="A50" s="1" t="s">
        <v>170</v>
      </c>
      <c r="B50" s="74"/>
      <c r="C50" s="74"/>
      <c r="D50" s="75"/>
      <c r="E50" s="75"/>
      <c r="F50" s="75"/>
      <c r="G50" s="75"/>
      <c r="H50" s="75"/>
      <c r="I50" s="75"/>
      <c r="J50" s="75"/>
      <c r="K50" s="75"/>
      <c r="L50" s="79"/>
      <c r="M50" s="79"/>
      <c r="N50" s="79"/>
      <c r="O50" s="79"/>
      <c r="P50" s="79"/>
      <c r="Q50" s="79"/>
      <c r="R50" s="79"/>
      <c r="S50" s="68"/>
      <c r="T50" s="33">
        <f>T38</f>
        <v>322.1283044259992</v>
      </c>
      <c r="U50" s="33">
        <f>U38</f>
        <v>323.5355603982523</v>
      </c>
      <c r="V50" s="33"/>
      <c r="W50" s="33"/>
      <c r="X50" s="33"/>
      <c r="Y50" s="33"/>
      <c r="Z50" s="33"/>
      <c r="AA50" s="33"/>
    </row>
    <row r="51" spans="1:27">
      <c r="A51" s="1" t="s">
        <v>80</v>
      </c>
      <c r="B51" s="74"/>
      <c r="C51" s="74"/>
      <c r="D51" s="75"/>
      <c r="E51" s="75"/>
      <c r="F51" s="75"/>
      <c r="G51" s="75"/>
      <c r="H51" s="75"/>
      <c r="I51" s="75"/>
      <c r="J51" s="75"/>
      <c r="K51" s="75"/>
      <c r="L51" s="79"/>
      <c r="M51" s="79"/>
      <c r="N51" s="79"/>
      <c r="O51" s="79"/>
      <c r="P51" s="79"/>
      <c r="Q51" s="79"/>
      <c r="R51" s="79"/>
      <c r="S51" s="68"/>
      <c r="T51" s="33">
        <f>T50*Inputs!$T$90</f>
        <v>418.76679575379899</v>
      </c>
      <c r="U51" s="33">
        <f>U50*Inputs!$T$90</f>
        <v>420.59622851772798</v>
      </c>
      <c r="V51" s="33"/>
      <c r="W51" s="33"/>
      <c r="X51" s="33"/>
      <c r="Y51" s="33"/>
      <c r="Z51" s="33"/>
      <c r="AA51" s="33"/>
    </row>
    <row r="52" spans="1:27">
      <c r="A52" s="1"/>
      <c r="B52" s="74"/>
      <c r="C52" s="74"/>
      <c r="D52" s="75"/>
      <c r="E52" s="75"/>
      <c r="F52" s="75"/>
      <c r="G52" s="75"/>
      <c r="H52" s="75"/>
      <c r="I52" s="75"/>
      <c r="J52" s="75"/>
      <c r="K52" s="75"/>
      <c r="L52" s="79"/>
      <c r="M52" s="79"/>
      <c r="N52" s="79"/>
      <c r="O52" s="79"/>
      <c r="P52" s="79"/>
      <c r="Q52" s="79"/>
      <c r="R52" s="79"/>
      <c r="S52" s="68"/>
      <c r="T52" s="33"/>
      <c r="U52" s="33"/>
      <c r="V52" s="33"/>
      <c r="W52" s="33"/>
      <c r="X52" s="33"/>
      <c r="Y52" s="33"/>
      <c r="Z52" s="33"/>
      <c r="AA52" s="33"/>
    </row>
    <row r="53" spans="1:27">
      <c r="A53" s="1" t="s">
        <v>179</v>
      </c>
      <c r="B53" s="74"/>
      <c r="C53" s="74"/>
      <c r="D53" s="75"/>
      <c r="E53" s="75"/>
      <c r="F53" s="75"/>
      <c r="G53" s="75"/>
      <c r="H53" s="75"/>
      <c r="I53" s="75"/>
      <c r="J53" s="75"/>
      <c r="K53" s="75"/>
      <c r="L53" s="79"/>
      <c r="M53" s="79"/>
      <c r="N53" s="79"/>
      <c r="O53" s="79"/>
      <c r="P53" s="79"/>
      <c r="Q53" s="79"/>
      <c r="R53" s="79"/>
      <c r="S53" s="68"/>
      <c r="T53" s="10"/>
      <c r="U53" s="10"/>
      <c r="V53" s="33"/>
      <c r="W53" s="33"/>
      <c r="X53" s="33"/>
      <c r="Y53" s="33"/>
      <c r="Z53" s="33"/>
      <c r="AA53" s="33"/>
    </row>
    <row r="54" spans="1:27">
      <c r="A54" s="1" t="s">
        <v>186</v>
      </c>
      <c r="B54" s="74"/>
      <c r="C54" s="74"/>
      <c r="D54" s="75"/>
      <c r="E54" s="75"/>
      <c r="F54" s="75"/>
      <c r="G54" s="75"/>
      <c r="H54" s="75"/>
      <c r="I54" s="75"/>
      <c r="J54" s="75"/>
      <c r="K54" s="75"/>
      <c r="L54" s="79"/>
      <c r="M54" s="79"/>
      <c r="N54" s="79"/>
      <c r="O54" s="79"/>
      <c r="P54" s="79"/>
      <c r="Q54" s="79"/>
      <c r="R54" s="79"/>
      <c r="S54" s="68"/>
      <c r="T54" s="33">
        <f>T28*T32</f>
        <v>17949.378286532105</v>
      </c>
      <c r="U54" s="33">
        <f>U28*U32</f>
        <v>18027.792289415091</v>
      </c>
      <c r="V54" s="33"/>
      <c r="W54" s="33"/>
      <c r="X54" s="33"/>
      <c r="Y54" s="33"/>
      <c r="Z54" s="33"/>
      <c r="AA54" s="33"/>
    </row>
    <row r="55" spans="1:27">
      <c r="A55" s="1" t="s">
        <v>180</v>
      </c>
      <c r="B55" s="74"/>
      <c r="C55" s="74"/>
      <c r="D55" s="75"/>
      <c r="E55" s="75"/>
      <c r="F55" s="75"/>
      <c r="G55" s="75"/>
      <c r="H55" s="75"/>
      <c r="I55" s="75"/>
      <c r="J55" s="75"/>
      <c r="K55" s="75"/>
      <c r="L55" s="79"/>
      <c r="M55" s="79"/>
      <c r="N55" s="79"/>
      <c r="O55" s="79"/>
      <c r="P55" s="79"/>
      <c r="Q55" s="79"/>
      <c r="R55" s="79"/>
      <c r="S55" s="68"/>
      <c r="T55" s="33">
        <f>T54*Inputs!$T$92</f>
        <v>0</v>
      </c>
      <c r="U55" s="33">
        <f>U54*Inputs!$T$92</f>
        <v>0</v>
      </c>
      <c r="V55" s="33"/>
      <c r="W55" s="33"/>
      <c r="X55" s="33"/>
      <c r="Y55" s="33"/>
      <c r="Z55" s="33"/>
      <c r="AA55" s="33"/>
    </row>
    <row r="56" spans="1:27">
      <c r="A56" s="30" t="s">
        <v>181</v>
      </c>
      <c r="B56" s="74"/>
      <c r="C56" s="74"/>
      <c r="D56" s="75"/>
      <c r="E56" s="75"/>
      <c r="F56" s="75"/>
      <c r="G56" s="75"/>
      <c r="H56" s="75"/>
      <c r="I56" s="75"/>
      <c r="J56" s="75"/>
      <c r="K56" s="75"/>
      <c r="L56" s="79"/>
      <c r="M56" s="79"/>
      <c r="N56" s="79"/>
      <c r="O56" s="79"/>
      <c r="P56" s="79"/>
      <c r="Q56" s="79"/>
      <c r="R56" s="79"/>
      <c r="S56" s="68"/>
      <c r="T56" s="33">
        <f>T54-T55</f>
        <v>17949.378286532105</v>
      </c>
      <c r="U56" s="33">
        <f>U54-U55</f>
        <v>18027.792289415091</v>
      </c>
      <c r="V56" s="33"/>
      <c r="W56" s="33"/>
      <c r="X56" s="33"/>
      <c r="Y56" s="33"/>
      <c r="Z56" s="33"/>
      <c r="AA56" s="33"/>
    </row>
    <row r="57" spans="1:27">
      <c r="B57" s="74"/>
      <c r="C57" s="74"/>
      <c r="D57" s="75"/>
      <c r="E57" s="75"/>
      <c r="F57" s="75"/>
      <c r="G57" s="75"/>
      <c r="H57" s="75"/>
      <c r="I57" s="75"/>
      <c r="J57" s="75"/>
      <c r="K57" s="75"/>
      <c r="L57" s="79"/>
      <c r="M57" s="79"/>
      <c r="N57" s="79"/>
      <c r="O57" s="79"/>
      <c r="P57" s="79"/>
      <c r="Q57" s="79"/>
      <c r="R57" s="79"/>
      <c r="S57" s="68"/>
      <c r="T57" s="33"/>
      <c r="U57" s="33"/>
      <c r="V57" s="33"/>
      <c r="W57" s="33"/>
      <c r="X57" s="33"/>
      <c r="Y57" s="33"/>
      <c r="Z57" s="33"/>
      <c r="AA57" s="33"/>
    </row>
    <row r="58" spans="1:27">
      <c r="A58" s="1" t="s">
        <v>81</v>
      </c>
      <c r="B58" s="74"/>
      <c r="C58" s="74"/>
      <c r="D58" s="75"/>
      <c r="E58" s="75"/>
      <c r="F58" s="75"/>
      <c r="G58" s="75"/>
      <c r="H58" s="75"/>
      <c r="I58" s="75"/>
      <c r="J58" s="75"/>
      <c r="K58" s="75"/>
      <c r="L58" s="79"/>
      <c r="M58" s="79"/>
      <c r="N58" s="79"/>
      <c r="O58" s="79"/>
      <c r="P58" s="79"/>
      <c r="Q58" s="79"/>
      <c r="R58" s="79"/>
      <c r="S58" s="68"/>
      <c r="T58" s="33"/>
      <c r="U58" s="33"/>
      <c r="V58" s="33"/>
      <c r="W58" s="33"/>
      <c r="X58" s="33"/>
      <c r="Y58" s="33"/>
      <c r="Z58" s="33"/>
      <c r="AA58" s="33"/>
    </row>
    <row r="59" spans="1:27">
      <c r="A59" s="1" t="s">
        <v>82</v>
      </c>
      <c r="B59" s="74"/>
      <c r="C59" s="74"/>
      <c r="D59" s="75"/>
      <c r="E59" s="75"/>
      <c r="F59" s="75"/>
      <c r="G59" s="75"/>
      <c r="H59" s="75"/>
      <c r="I59" s="75"/>
      <c r="J59" s="75"/>
      <c r="K59" s="75"/>
      <c r="L59" s="79"/>
      <c r="M59" s="79"/>
      <c r="N59" s="79"/>
      <c r="O59" s="79"/>
      <c r="P59" s="79"/>
      <c r="Q59" s="79"/>
      <c r="R59" s="79"/>
      <c r="S59" s="68"/>
      <c r="T59" s="33">
        <f>Inputs!T93</f>
        <v>95978.004671595205</v>
      </c>
      <c r="U59" s="33">
        <f>T67</f>
        <v>106151.73998063966</v>
      </c>
      <c r="V59" s="33">
        <f>+U67</f>
        <v>115788.76033385146</v>
      </c>
      <c r="W59" s="33">
        <f t="shared" ref="W59:AA59" si="19">+V67</f>
        <v>117741.06507329078</v>
      </c>
      <c r="X59" s="33">
        <f t="shared" si="19"/>
        <v>116686.50527339398</v>
      </c>
      <c r="Y59" s="33">
        <f t="shared" si="19"/>
        <v>115584.97424715306</v>
      </c>
      <c r="Z59" s="33">
        <f t="shared" si="19"/>
        <v>114461.85447914488</v>
      </c>
      <c r="AA59" s="33">
        <f t="shared" si="19"/>
        <v>113557.41487874812</v>
      </c>
    </row>
    <row r="60" spans="1:27">
      <c r="A60" s="1" t="s">
        <v>155</v>
      </c>
      <c r="B60" s="74"/>
      <c r="C60" s="74"/>
      <c r="D60" s="75"/>
      <c r="E60" s="75"/>
      <c r="F60" s="75"/>
      <c r="G60" s="75"/>
      <c r="H60" s="75"/>
      <c r="I60" s="75"/>
      <c r="J60" s="75"/>
      <c r="K60" s="75"/>
      <c r="L60" s="79"/>
      <c r="M60" s="79"/>
      <c r="N60" s="79"/>
      <c r="O60" s="79"/>
      <c r="P60" s="79"/>
      <c r="Q60" s="79"/>
      <c r="R60" s="79"/>
      <c r="S60" s="68"/>
      <c r="T60" s="33">
        <f>T56</f>
        <v>17949.378286532105</v>
      </c>
      <c r="U60" s="33">
        <f>U56</f>
        <v>18027.792289415091</v>
      </c>
      <c r="V60" s="33">
        <f t="shared" ref="V60:AA60" si="20">V28*V32</f>
        <v>9867.6918717770295</v>
      </c>
      <c r="W60" s="33">
        <f t="shared" si="20"/>
        <v>6593.5150047879097</v>
      </c>
      <c r="X60" s="33">
        <f t="shared" si="20"/>
        <v>6476.2332874071444</v>
      </c>
      <c r="Y60" s="33">
        <f t="shared" si="20"/>
        <v>6382.9560498095798</v>
      </c>
      <c r="Z60" s="33">
        <f t="shared" si="20"/>
        <v>6543.90603016164</v>
      </c>
      <c r="AA60" s="33">
        <f t="shared" si="20"/>
        <v>6559.7540156179257</v>
      </c>
    </row>
    <row r="61" spans="1:27">
      <c r="A61" s="1" t="s">
        <v>117</v>
      </c>
      <c r="B61" s="74"/>
      <c r="C61" s="74"/>
      <c r="D61" s="75"/>
      <c r="E61" s="75"/>
      <c r="F61" s="75"/>
      <c r="G61" s="75"/>
      <c r="H61" s="75"/>
      <c r="I61" s="75"/>
      <c r="J61" s="75"/>
      <c r="K61" s="75"/>
      <c r="L61" s="79"/>
      <c r="M61" s="79"/>
      <c r="N61" s="79"/>
      <c r="O61" s="79"/>
      <c r="P61" s="79"/>
      <c r="Q61" s="79"/>
      <c r="R61" s="79"/>
      <c r="S61" s="68"/>
      <c r="T61" s="33">
        <f>Inputs!T94</f>
        <v>-1000</v>
      </c>
      <c r="U61" s="33">
        <f>Inputs!U94</f>
        <v>-1000</v>
      </c>
      <c r="V61" s="33">
        <f>Inputs!V94</f>
        <v>-400</v>
      </c>
      <c r="W61" s="33">
        <f>Inputs!W94</f>
        <v>-200</v>
      </c>
      <c r="X61" s="33">
        <f>Inputs!X94</f>
        <v>-200</v>
      </c>
      <c r="Y61" s="33">
        <f>Inputs!Y94</f>
        <v>-200</v>
      </c>
      <c r="Z61" s="33">
        <f>Inputs!Z94</f>
        <v>-200</v>
      </c>
      <c r="AA61" s="33">
        <f>Inputs!AA94</f>
        <v>-200</v>
      </c>
    </row>
    <row r="62" spans="1:27">
      <c r="A62" s="1" t="s">
        <v>121</v>
      </c>
      <c r="B62" s="74"/>
      <c r="C62" s="74"/>
      <c r="D62" s="75"/>
      <c r="E62" s="75"/>
      <c r="F62" s="75"/>
      <c r="G62" s="75"/>
      <c r="H62" s="75"/>
      <c r="I62" s="75"/>
      <c r="J62" s="75"/>
      <c r="K62" s="75"/>
      <c r="L62" s="79"/>
      <c r="M62" s="79"/>
      <c r="N62" s="79"/>
      <c r="O62" s="79"/>
      <c r="P62" s="79"/>
      <c r="Q62" s="79"/>
      <c r="R62" s="79"/>
      <c r="S62" s="68"/>
      <c r="T62" s="33">
        <f>SUM(T60:T61)</f>
        <v>16949.378286532105</v>
      </c>
      <c r="U62" s="33">
        <f>SUM(U60:U61)</f>
        <v>17027.792289415091</v>
      </c>
      <c r="V62" s="33">
        <f t="shared" ref="V62:AA62" si="21">SUM(V60:V61)</f>
        <v>9467.6918717770295</v>
      </c>
      <c r="W62" s="33">
        <f t="shared" si="21"/>
        <v>6393.5150047879097</v>
      </c>
      <c r="X62" s="33">
        <f t="shared" si="21"/>
        <v>6276.2332874071444</v>
      </c>
      <c r="Y62" s="33">
        <f t="shared" si="21"/>
        <v>6182.9560498095798</v>
      </c>
      <c r="Z62" s="33">
        <f t="shared" si="21"/>
        <v>6343.90603016164</v>
      </c>
      <c r="AA62" s="33">
        <f t="shared" si="21"/>
        <v>6359.7540156179257</v>
      </c>
    </row>
    <row r="63" spans="1:27">
      <c r="A63" s="1" t="s">
        <v>120</v>
      </c>
      <c r="B63" s="74"/>
      <c r="C63" s="74"/>
      <c r="D63" s="75"/>
      <c r="E63" s="75"/>
      <c r="F63" s="75"/>
      <c r="G63" s="75"/>
      <c r="H63" s="75"/>
      <c r="I63" s="75"/>
      <c r="J63" s="75"/>
      <c r="K63" s="75"/>
      <c r="L63" s="79"/>
      <c r="M63" s="79"/>
      <c r="N63" s="79"/>
      <c r="O63" s="79"/>
      <c r="P63" s="79"/>
      <c r="Q63" s="79"/>
      <c r="R63" s="79"/>
      <c r="S63" s="68"/>
      <c r="T63" s="33"/>
      <c r="U63" s="33"/>
      <c r="V63" s="33"/>
      <c r="W63" s="33"/>
      <c r="X63" s="33"/>
      <c r="Y63" s="33"/>
      <c r="Z63" s="33"/>
      <c r="AA63" s="33"/>
    </row>
    <row r="64" spans="1:27">
      <c r="A64" s="1" t="s">
        <v>75</v>
      </c>
      <c r="B64" s="74"/>
      <c r="C64" s="74"/>
      <c r="D64" s="75"/>
      <c r="E64" s="75"/>
      <c r="F64" s="75"/>
      <c r="G64" s="75"/>
      <c r="H64" s="75"/>
      <c r="I64" s="75"/>
      <c r="J64" s="75"/>
      <c r="K64" s="75"/>
      <c r="L64" s="79"/>
      <c r="M64" s="79"/>
      <c r="N64" s="79"/>
      <c r="O64" s="79"/>
      <c r="P64" s="79"/>
      <c r="Q64" s="79"/>
      <c r="R64" s="79"/>
      <c r="S64" s="68"/>
      <c r="T64" s="33">
        <f>T59+T62</f>
        <v>112927.3829581273</v>
      </c>
      <c r="U64" s="33">
        <f t="shared" ref="U64" si="22">U59+U62</f>
        <v>123179.53227005474</v>
      </c>
      <c r="V64" s="33">
        <f>V59+V62</f>
        <v>125256.45220562849</v>
      </c>
      <c r="W64" s="33">
        <f t="shared" ref="W64:AA64" si="23">W59+W62</f>
        <v>124134.5800780787</v>
      </c>
      <c r="X64" s="33">
        <f t="shared" si="23"/>
        <v>122962.73856080112</v>
      </c>
      <c r="Y64" s="33">
        <f t="shared" si="23"/>
        <v>121767.93029696264</v>
      </c>
      <c r="Z64" s="33">
        <f t="shared" si="23"/>
        <v>120805.76050930652</v>
      </c>
      <c r="AA64" s="33">
        <f t="shared" si="23"/>
        <v>119917.16889436606</v>
      </c>
    </row>
    <row r="65" spans="1:27">
      <c r="A65" s="1" t="s">
        <v>83</v>
      </c>
      <c r="B65" s="74"/>
      <c r="C65" s="74"/>
      <c r="D65" s="75"/>
      <c r="E65" s="75"/>
      <c r="F65" s="75"/>
      <c r="G65" s="75"/>
      <c r="H65" s="75"/>
      <c r="I65" s="75"/>
      <c r="J65" s="75"/>
      <c r="K65" s="75"/>
      <c r="L65" s="79"/>
      <c r="M65" s="79"/>
      <c r="N65" s="79"/>
      <c r="O65" s="79"/>
      <c r="P65" s="79"/>
      <c r="Q65" s="79"/>
      <c r="R65" s="79"/>
      <c r="S65" s="68"/>
      <c r="T65" s="33">
        <f>T64*Inputs!$T$95</f>
        <v>6775.6429774876378</v>
      </c>
      <c r="U65" s="33">
        <f>U64*Inputs!$T$95</f>
        <v>7390.771936203284</v>
      </c>
      <c r="V65" s="33">
        <f>V64*Inputs!$T$95</f>
        <v>7515.3871323377089</v>
      </c>
      <c r="W65" s="33">
        <f>W64*Inputs!$T$95</f>
        <v>7448.0748046847211</v>
      </c>
      <c r="X65" s="33">
        <f>X64*Inputs!$T$95</f>
        <v>7377.7643136480674</v>
      </c>
      <c r="Y65" s="33">
        <f>Y64*Inputs!$T$95</f>
        <v>7306.0758178177584</v>
      </c>
      <c r="Z65" s="33">
        <f>Z64*Inputs!$T$95</f>
        <v>7248.3456305583913</v>
      </c>
      <c r="AA65" s="33">
        <f>AA64*Inputs!$T$95</f>
        <v>7195.0301336619632</v>
      </c>
    </row>
    <row r="66" spans="1:27">
      <c r="A66" s="1" t="s">
        <v>123</v>
      </c>
      <c r="B66" s="74"/>
      <c r="C66" s="74"/>
      <c r="D66" s="75"/>
      <c r="E66" s="75"/>
      <c r="F66" s="75"/>
      <c r="G66" s="75"/>
      <c r="H66" s="75"/>
      <c r="I66" s="75"/>
      <c r="J66" s="75"/>
      <c r="K66" s="75"/>
      <c r="L66" s="79"/>
      <c r="M66" s="79"/>
      <c r="N66" s="79"/>
      <c r="O66" s="79"/>
      <c r="P66" s="79"/>
      <c r="Q66" s="79"/>
      <c r="R66" s="79"/>
      <c r="S66" s="68"/>
      <c r="T66" s="33">
        <f>T71</f>
        <v>0</v>
      </c>
      <c r="U66" s="33">
        <f>U71</f>
        <v>0</v>
      </c>
      <c r="V66" s="33"/>
      <c r="W66" s="33"/>
      <c r="X66" s="33"/>
      <c r="Y66" s="33"/>
      <c r="Z66" s="33"/>
      <c r="AA66" s="33"/>
    </row>
    <row r="67" spans="1:27">
      <c r="A67" s="1" t="s">
        <v>84</v>
      </c>
      <c r="B67" s="74"/>
      <c r="C67" s="74"/>
      <c r="D67" s="75"/>
      <c r="E67" s="75"/>
      <c r="F67" s="75"/>
      <c r="G67" s="75"/>
      <c r="H67" s="75"/>
      <c r="I67" s="75"/>
      <c r="J67" s="75"/>
      <c r="K67" s="75"/>
      <c r="L67" s="79"/>
      <c r="M67" s="79"/>
      <c r="N67" s="79"/>
      <c r="O67" s="79"/>
      <c r="P67" s="79"/>
      <c r="Q67" s="79"/>
      <c r="R67" s="79"/>
      <c r="S67" s="68"/>
      <c r="T67" s="49">
        <f>(T64-T65)+T66</f>
        <v>106151.73998063966</v>
      </c>
      <c r="U67" s="49">
        <f>(U64-U65)+U66</f>
        <v>115788.76033385146</v>
      </c>
      <c r="V67" s="49">
        <f>V64-V65</f>
        <v>117741.06507329078</v>
      </c>
      <c r="W67" s="49">
        <f t="shared" ref="W67:AA67" si="24">W64-W65</f>
        <v>116686.50527339398</v>
      </c>
      <c r="X67" s="49">
        <f t="shared" si="24"/>
        <v>115584.97424715306</v>
      </c>
      <c r="Y67" s="49">
        <f t="shared" si="24"/>
        <v>114461.85447914488</v>
      </c>
      <c r="Z67" s="49">
        <f t="shared" si="24"/>
        <v>113557.41487874812</v>
      </c>
      <c r="AA67" s="49">
        <f t="shared" si="24"/>
        <v>112722.1387607041</v>
      </c>
    </row>
    <row r="68" spans="1:27">
      <c r="A68" s="1"/>
      <c r="B68" s="74"/>
      <c r="C68" s="74"/>
      <c r="D68" s="75"/>
      <c r="E68" s="75"/>
      <c r="F68" s="75"/>
      <c r="G68" s="75"/>
      <c r="H68" s="75"/>
      <c r="I68" s="75"/>
      <c r="J68" s="75"/>
      <c r="K68" s="75"/>
      <c r="L68" s="79"/>
      <c r="M68" s="79"/>
      <c r="N68" s="79"/>
      <c r="O68" s="79"/>
      <c r="P68" s="79"/>
      <c r="Q68" s="79"/>
      <c r="R68" s="79"/>
      <c r="S68" s="68"/>
      <c r="T68" s="33"/>
      <c r="U68" s="33"/>
      <c r="V68" s="33"/>
      <c r="W68" s="33"/>
      <c r="X68" s="33"/>
      <c r="Y68" s="33"/>
      <c r="Z68" s="33"/>
      <c r="AA68" s="33"/>
    </row>
    <row r="69" spans="1:27">
      <c r="A69" s="1" t="s">
        <v>119</v>
      </c>
      <c r="B69" s="74"/>
      <c r="C69" s="74"/>
      <c r="D69" s="75"/>
      <c r="E69" s="75"/>
      <c r="F69" s="75"/>
      <c r="G69" s="75"/>
      <c r="H69" s="75"/>
      <c r="I69" s="75"/>
      <c r="J69" s="75"/>
      <c r="K69" s="75"/>
      <c r="L69" s="79"/>
      <c r="M69" s="79"/>
      <c r="N69" s="79"/>
      <c r="O69" s="79"/>
      <c r="P69" s="79"/>
      <c r="Q69" s="79"/>
      <c r="R69" s="79"/>
      <c r="S69" s="68"/>
      <c r="T69" s="33"/>
      <c r="U69" s="33"/>
      <c r="V69" s="33"/>
      <c r="W69" s="33"/>
      <c r="X69" s="33"/>
      <c r="Y69" s="33"/>
      <c r="Z69" s="33"/>
      <c r="AA69" s="33"/>
    </row>
    <row r="70" spans="1:27">
      <c r="A70" s="1" t="s">
        <v>79</v>
      </c>
      <c r="B70" s="74"/>
      <c r="C70" s="74"/>
      <c r="D70" s="75"/>
      <c r="E70" s="75"/>
      <c r="F70" s="75"/>
      <c r="G70" s="75"/>
      <c r="H70" s="75"/>
      <c r="I70" s="75"/>
      <c r="J70" s="75"/>
      <c r="K70" s="75"/>
      <c r="L70" s="79"/>
      <c r="M70" s="79"/>
      <c r="N70" s="79"/>
      <c r="O70" s="79"/>
      <c r="P70" s="79"/>
      <c r="Q70" s="79"/>
      <c r="R70" s="79"/>
      <c r="S70" s="68"/>
      <c r="T70" s="33">
        <f>T55</f>
        <v>0</v>
      </c>
      <c r="U70" s="33">
        <f>U55</f>
        <v>0</v>
      </c>
      <c r="V70" s="33"/>
      <c r="W70" s="33"/>
      <c r="X70" s="33"/>
      <c r="Y70" s="33"/>
      <c r="Z70" s="33"/>
      <c r="AA70" s="33"/>
    </row>
    <row r="71" spans="1:27">
      <c r="A71" s="1" t="s">
        <v>122</v>
      </c>
      <c r="B71" s="74"/>
      <c r="C71" s="74"/>
      <c r="D71" s="75"/>
      <c r="E71" s="75"/>
      <c r="F71" s="75"/>
      <c r="G71" s="75"/>
      <c r="H71" s="75"/>
      <c r="I71" s="75"/>
      <c r="J71" s="75"/>
      <c r="K71" s="75"/>
      <c r="L71" s="79"/>
      <c r="M71" s="79"/>
      <c r="N71" s="79"/>
      <c r="O71" s="79"/>
      <c r="P71" s="79"/>
      <c r="Q71" s="79"/>
      <c r="R71" s="79"/>
      <c r="S71" s="68"/>
      <c r="T71" s="33">
        <f>T70*Inputs!T96</f>
        <v>0</v>
      </c>
      <c r="U71" s="33">
        <f>U70*Inputs!T96</f>
        <v>0</v>
      </c>
      <c r="V71" s="33"/>
      <c r="W71" s="33"/>
      <c r="X71" s="33"/>
      <c r="Y71" s="33"/>
      <c r="Z71" s="33"/>
      <c r="AA71" s="33"/>
    </row>
    <row r="72" spans="1:27">
      <c r="A72" s="1"/>
      <c r="B72" s="74"/>
      <c r="C72" s="74"/>
      <c r="D72" s="75"/>
      <c r="E72" s="75"/>
      <c r="F72" s="75"/>
      <c r="G72" s="75"/>
      <c r="H72" s="75"/>
      <c r="I72" s="75"/>
      <c r="J72" s="75"/>
      <c r="K72" s="75"/>
      <c r="L72" s="79"/>
      <c r="M72" s="79"/>
      <c r="N72" s="79"/>
      <c r="O72" s="79"/>
      <c r="P72" s="79"/>
      <c r="Q72" s="79"/>
      <c r="R72" s="79"/>
      <c r="S72" s="33"/>
      <c r="T72" s="33"/>
      <c r="U72" s="33"/>
      <c r="V72" s="33"/>
      <c r="W72" s="33"/>
      <c r="X72" s="33"/>
      <c r="Y72" s="33"/>
      <c r="Z72" s="33"/>
      <c r="AA72" s="33"/>
    </row>
    <row r="73" spans="1:27">
      <c r="A73" s="1" t="s">
        <v>126</v>
      </c>
      <c r="B73" s="74"/>
      <c r="C73" s="74"/>
      <c r="D73" s="75"/>
      <c r="E73" s="75"/>
      <c r="F73" s="75"/>
      <c r="G73" s="75"/>
      <c r="H73" s="75"/>
      <c r="I73" s="75"/>
      <c r="J73" s="75"/>
      <c r="K73" s="75"/>
      <c r="L73" s="79"/>
      <c r="M73" s="79"/>
      <c r="N73" s="79"/>
      <c r="O73" s="79"/>
      <c r="P73" s="79"/>
      <c r="Q73" s="79"/>
      <c r="R73" s="79"/>
      <c r="S73" s="33"/>
      <c r="T73" s="33"/>
      <c r="U73" s="33"/>
      <c r="V73" s="33"/>
      <c r="W73" s="33"/>
      <c r="X73" s="33"/>
      <c r="Y73" s="33"/>
      <c r="Z73" s="33"/>
      <c r="AA73" s="33"/>
    </row>
    <row r="74" spans="1:27">
      <c r="A74" s="1" t="s">
        <v>102</v>
      </c>
      <c r="B74" s="74"/>
      <c r="C74" s="74"/>
      <c r="D74" s="75"/>
      <c r="E74" s="75"/>
      <c r="F74" s="75"/>
      <c r="G74" s="75"/>
      <c r="H74" s="75"/>
      <c r="I74" s="75"/>
      <c r="J74" s="75"/>
      <c r="K74" s="75"/>
      <c r="L74" s="79"/>
      <c r="M74" s="79"/>
      <c r="N74" s="79"/>
      <c r="O74" s="79"/>
      <c r="P74" s="79"/>
      <c r="Q74" s="79"/>
      <c r="R74" s="79"/>
      <c r="S74" s="33"/>
      <c r="T74" s="33">
        <f>T46</f>
        <v>1526.2447931701188</v>
      </c>
      <c r="U74" s="33">
        <f t="shared" ref="U74:AA74" si="25">U46</f>
        <v>1775.6483382446661</v>
      </c>
      <c r="V74" s="33">
        <f t="shared" si="25"/>
        <v>1774.7943845110281</v>
      </c>
      <c r="W74" s="33">
        <f t="shared" si="25"/>
        <v>1668.3261851257234</v>
      </c>
      <c r="X74" s="33">
        <f t="shared" si="25"/>
        <v>1577.2336307210869</v>
      </c>
      <c r="Y74" s="33">
        <f t="shared" si="25"/>
        <v>1499.5245382014498</v>
      </c>
      <c r="Z74" s="33">
        <f t="shared" si="25"/>
        <v>1441.0023587778521</v>
      </c>
      <c r="AA74" s="33">
        <f t="shared" si="25"/>
        <v>1393.5261198797828</v>
      </c>
    </row>
    <row r="75" spans="1:27">
      <c r="A75" s="1" t="s">
        <v>124</v>
      </c>
      <c r="B75" s="74"/>
      <c r="C75" s="74"/>
      <c r="D75" s="75"/>
      <c r="E75" s="75"/>
      <c r="F75" s="75"/>
      <c r="G75" s="75"/>
      <c r="H75" s="75"/>
      <c r="I75" s="75"/>
      <c r="J75" s="75"/>
      <c r="K75" s="75"/>
      <c r="L75" s="79"/>
      <c r="M75" s="79"/>
      <c r="N75" s="79"/>
      <c r="O75" s="79"/>
      <c r="P75" s="79"/>
      <c r="Q75" s="79"/>
      <c r="R75" s="79"/>
      <c r="S75" s="33"/>
      <c r="T75" s="33">
        <f>T51</f>
        <v>418.76679575379899</v>
      </c>
      <c r="U75" s="33">
        <f t="shared" ref="U75:AA75" si="26">U51</f>
        <v>420.59622851772798</v>
      </c>
      <c r="V75" s="33">
        <f t="shared" si="26"/>
        <v>0</v>
      </c>
      <c r="W75" s="33">
        <f t="shared" si="26"/>
        <v>0</v>
      </c>
      <c r="X75" s="33">
        <f t="shared" si="26"/>
        <v>0</v>
      </c>
      <c r="Y75" s="33">
        <f t="shared" si="26"/>
        <v>0</v>
      </c>
      <c r="Z75" s="33">
        <f t="shared" si="26"/>
        <v>0</v>
      </c>
      <c r="AA75" s="33">
        <f t="shared" si="26"/>
        <v>0</v>
      </c>
    </row>
    <row r="76" spans="1:27">
      <c r="A76" s="1" t="s">
        <v>103</v>
      </c>
      <c r="B76" s="74"/>
      <c r="C76" s="74"/>
      <c r="D76" s="75"/>
      <c r="E76" s="75"/>
      <c r="F76" s="75"/>
      <c r="G76" s="75"/>
      <c r="H76" s="75"/>
      <c r="I76" s="75"/>
      <c r="J76" s="75"/>
      <c r="K76" s="75"/>
      <c r="L76" s="79"/>
      <c r="M76" s="79"/>
      <c r="N76" s="79"/>
      <c r="O76" s="79"/>
      <c r="P76" s="79"/>
      <c r="Q76" s="79"/>
      <c r="R76" s="79"/>
      <c r="S76" s="33"/>
      <c r="T76" s="33">
        <f>T65</f>
        <v>6775.6429774876378</v>
      </c>
      <c r="U76" s="33">
        <f t="shared" ref="U76:AA76" si="27">U65</f>
        <v>7390.771936203284</v>
      </c>
      <c r="V76" s="33">
        <f t="shared" si="27"/>
        <v>7515.3871323377089</v>
      </c>
      <c r="W76" s="33">
        <f t="shared" si="27"/>
        <v>7448.0748046847211</v>
      </c>
      <c r="X76" s="33">
        <f t="shared" si="27"/>
        <v>7377.7643136480674</v>
      </c>
      <c r="Y76" s="33">
        <f t="shared" si="27"/>
        <v>7306.0758178177584</v>
      </c>
      <c r="Z76" s="33">
        <f t="shared" si="27"/>
        <v>7248.3456305583913</v>
      </c>
      <c r="AA76" s="33">
        <f t="shared" si="27"/>
        <v>7195.0301336619632</v>
      </c>
    </row>
    <row r="77" spans="1:27">
      <c r="A77" s="1" t="s">
        <v>125</v>
      </c>
      <c r="B77" s="74"/>
      <c r="C77" s="74"/>
      <c r="D77" s="75"/>
      <c r="E77" s="75"/>
      <c r="F77" s="75"/>
      <c r="G77" s="75"/>
      <c r="H77" s="75"/>
      <c r="I77" s="75"/>
      <c r="J77" s="75"/>
      <c r="K77" s="75"/>
      <c r="L77" s="79"/>
      <c r="M77" s="79"/>
      <c r="N77" s="79"/>
      <c r="O77" s="79"/>
      <c r="P77" s="79"/>
      <c r="Q77" s="79"/>
      <c r="R77" s="79"/>
      <c r="S77" s="33"/>
      <c r="T77" s="33">
        <f>T71</f>
        <v>0</v>
      </c>
      <c r="U77" s="33">
        <f t="shared" ref="U77:AA77" si="28">U71</f>
        <v>0</v>
      </c>
      <c r="V77" s="33">
        <f t="shared" si="28"/>
        <v>0</v>
      </c>
      <c r="W77" s="33">
        <f t="shared" si="28"/>
        <v>0</v>
      </c>
      <c r="X77" s="33">
        <f t="shared" si="28"/>
        <v>0</v>
      </c>
      <c r="Y77" s="33">
        <f t="shared" si="28"/>
        <v>0</v>
      </c>
      <c r="Z77" s="33">
        <f t="shared" si="28"/>
        <v>0</v>
      </c>
      <c r="AA77" s="33">
        <f t="shared" si="28"/>
        <v>0</v>
      </c>
    </row>
    <row r="78" spans="1:27">
      <c r="A78" s="1" t="s">
        <v>118</v>
      </c>
      <c r="B78" s="74"/>
      <c r="C78" s="74"/>
      <c r="D78" s="75"/>
      <c r="E78" s="75"/>
      <c r="F78" s="75"/>
      <c r="G78" s="75"/>
      <c r="H78" s="75"/>
      <c r="I78" s="75"/>
      <c r="J78" s="75"/>
      <c r="K78" s="75"/>
      <c r="L78" s="79"/>
      <c r="M78" s="79"/>
      <c r="N78" s="79"/>
      <c r="O78" s="79"/>
      <c r="P78" s="79"/>
      <c r="Q78" s="79"/>
      <c r="R78" s="79"/>
      <c r="S78" s="33"/>
      <c r="T78" s="33">
        <f>-T61</f>
        <v>1000</v>
      </c>
      <c r="U78" s="33">
        <f t="shared" ref="U78:AA78" si="29">-U61</f>
        <v>1000</v>
      </c>
      <c r="V78" s="33">
        <f t="shared" si="29"/>
        <v>400</v>
      </c>
      <c r="W78" s="33">
        <f t="shared" si="29"/>
        <v>200</v>
      </c>
      <c r="X78" s="33">
        <f t="shared" si="29"/>
        <v>200</v>
      </c>
      <c r="Y78" s="33">
        <f t="shared" si="29"/>
        <v>200</v>
      </c>
      <c r="Z78" s="33">
        <f t="shared" si="29"/>
        <v>200</v>
      </c>
      <c r="AA78" s="33">
        <f t="shared" si="29"/>
        <v>200</v>
      </c>
    </row>
    <row r="79" spans="1:27">
      <c r="A79" s="1" t="s">
        <v>85</v>
      </c>
      <c r="B79" s="74"/>
      <c r="C79" s="74"/>
      <c r="D79" s="75"/>
      <c r="E79" s="75"/>
      <c r="F79" s="75"/>
      <c r="G79" s="75"/>
      <c r="H79" s="75"/>
      <c r="I79" s="75"/>
      <c r="J79" s="75"/>
      <c r="K79" s="75"/>
      <c r="L79" s="79"/>
      <c r="M79" s="79"/>
      <c r="N79" s="79"/>
      <c r="O79" s="79"/>
      <c r="P79" s="79"/>
      <c r="Q79" s="79"/>
      <c r="R79" s="79"/>
      <c r="S79" s="33"/>
      <c r="T79" s="49">
        <f>SUM(T74:T78)</f>
        <v>9720.6545664115547</v>
      </c>
      <c r="U79" s="49">
        <f t="shared" ref="U79:AA79" si="30">SUM(U74:U78)</f>
        <v>10587.016502965678</v>
      </c>
      <c r="V79" s="49">
        <f t="shared" si="30"/>
        <v>9690.1815168487374</v>
      </c>
      <c r="W79" s="49">
        <f t="shared" si="30"/>
        <v>9316.400989810445</v>
      </c>
      <c r="X79" s="49">
        <f t="shared" si="30"/>
        <v>9154.9979443691536</v>
      </c>
      <c r="Y79" s="49">
        <f t="shared" si="30"/>
        <v>9005.6003560192075</v>
      </c>
      <c r="Z79" s="49">
        <f t="shared" si="30"/>
        <v>8889.3479893362437</v>
      </c>
      <c r="AA79" s="49">
        <f t="shared" si="30"/>
        <v>8788.5562535417466</v>
      </c>
    </row>
    <row r="80" spans="1:27">
      <c r="A80" s="1"/>
      <c r="B80" s="3"/>
      <c r="C80" s="2"/>
      <c r="D80" s="1"/>
      <c r="E80" s="1"/>
      <c r="F80" s="1"/>
      <c r="G80" s="1"/>
      <c r="H80" s="1"/>
      <c r="I80" s="1"/>
      <c r="J80" s="1"/>
      <c r="K80" s="1"/>
      <c r="L80" s="4"/>
      <c r="M80" s="4"/>
      <c r="N80" s="4"/>
      <c r="O80" s="4"/>
      <c r="P80" s="4"/>
      <c r="Q80" s="4"/>
      <c r="R80" s="4"/>
      <c r="T80" s="4"/>
      <c r="U80" s="4"/>
      <c r="V80" s="4"/>
      <c r="W80" s="4"/>
      <c r="X80" s="4"/>
      <c r="Y80" s="4"/>
      <c r="Z80" s="4"/>
      <c r="AA80" s="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68"/>
  <sheetViews>
    <sheetView zoomScaleNormal="100" workbookViewId="0">
      <pane xSplit="20" ySplit="1" topLeftCell="U47" activePane="bottomRight" state="frozen"/>
      <selection pane="topRight" activeCell="U1" sqref="U1"/>
      <selection pane="bottomLeft" activeCell="A2" sqref="A2"/>
      <selection pane="bottomRight" activeCell="V62" sqref="V62"/>
    </sheetView>
  </sheetViews>
  <sheetFormatPr defaultColWidth="9.25" defaultRowHeight="14.95"/>
  <cols>
    <col min="1" max="1" width="23.625" style="25" bestFit="1" customWidth="1"/>
    <col min="2" max="13" width="0.5" style="72" hidden="1" customWidth="1"/>
    <col min="14" max="14" width="0.5" style="136" hidden="1" customWidth="1"/>
    <col min="15" max="15" width="0.5" style="72" hidden="1" customWidth="1"/>
    <col min="16" max="20" width="0.5" style="56" hidden="1" customWidth="1"/>
    <col min="21" max="27" width="6.125" style="56" bestFit="1" customWidth="1"/>
    <col min="28" max="28" width="7.125" style="137" bestFit="1" customWidth="1"/>
    <col min="29" max="16384" width="9.25" style="25"/>
  </cols>
  <sheetData>
    <row r="1" spans="1:27" s="137" customFormat="1">
      <c r="A1" s="137" t="s">
        <v>53</v>
      </c>
      <c r="B1" s="71"/>
      <c r="C1" s="71"/>
      <c r="D1" s="71"/>
      <c r="E1" s="71"/>
      <c r="F1" s="71"/>
      <c r="G1" s="71"/>
      <c r="H1" s="71"/>
      <c r="I1" s="71"/>
      <c r="J1" s="71"/>
      <c r="K1" s="71"/>
      <c r="L1" s="71"/>
      <c r="M1" s="71"/>
      <c r="N1" s="71"/>
      <c r="O1" s="71"/>
      <c r="P1" s="138"/>
      <c r="Q1" s="138"/>
      <c r="R1" s="138"/>
      <c r="S1" s="138"/>
      <c r="T1" s="138"/>
      <c r="U1" s="138">
        <f>+Inputs!U1</f>
        <v>2022</v>
      </c>
      <c r="V1" s="138">
        <f>+Inputs!V1</f>
        <v>2023</v>
      </c>
      <c r="W1" s="138">
        <f>+Inputs!W1</f>
        <v>2024</v>
      </c>
      <c r="X1" s="138">
        <f>+Inputs!X1</f>
        <v>2025</v>
      </c>
      <c r="Y1" s="138">
        <f>+Inputs!Y1</f>
        <v>2026</v>
      </c>
      <c r="Z1" s="138">
        <f>+Inputs!Z1</f>
        <v>2027</v>
      </c>
      <c r="AA1" s="138">
        <f>+Inputs!AA1</f>
        <v>2028</v>
      </c>
    </row>
    <row r="2" spans="1:27" s="137" customFormat="1">
      <c r="B2" s="71"/>
      <c r="C2" s="71"/>
      <c r="D2" s="71"/>
      <c r="E2" s="71"/>
      <c r="F2" s="71"/>
      <c r="G2" s="71"/>
      <c r="H2" s="71"/>
      <c r="I2" s="71"/>
      <c r="J2" s="71"/>
      <c r="K2" s="71"/>
      <c r="L2" s="71"/>
      <c r="M2" s="71"/>
      <c r="N2" s="71"/>
      <c r="O2" s="71"/>
      <c r="P2" s="138"/>
      <c r="Q2" s="138"/>
      <c r="R2" s="138"/>
      <c r="S2" s="138"/>
      <c r="T2" s="138"/>
      <c r="U2" s="138"/>
      <c r="V2" s="138"/>
      <c r="W2" s="138"/>
      <c r="X2" s="138"/>
      <c r="Y2" s="138"/>
      <c r="Z2" s="138"/>
      <c r="AA2" s="138"/>
    </row>
    <row r="3" spans="1:27" s="137" customFormat="1">
      <c r="A3" s="192" t="s">
        <v>290</v>
      </c>
      <c r="B3" s="193"/>
      <c r="C3" s="193"/>
      <c r="D3" s="193"/>
      <c r="E3" s="193"/>
      <c r="F3" s="193"/>
      <c r="G3" s="194"/>
      <c r="H3" s="194"/>
      <c r="I3" s="194"/>
      <c r="J3" s="194"/>
      <c r="K3" s="194"/>
      <c r="L3" s="194"/>
      <c r="M3" s="194"/>
      <c r="N3" s="194"/>
      <c r="O3" s="194"/>
      <c r="P3" s="194"/>
      <c r="Q3" s="194"/>
      <c r="R3" s="194"/>
      <c r="S3" s="194"/>
      <c r="T3" s="194"/>
      <c r="U3" s="194"/>
      <c r="V3" s="138"/>
      <c r="W3" s="138"/>
      <c r="X3" s="138"/>
      <c r="Y3" s="138"/>
      <c r="Z3" s="138"/>
      <c r="AA3" s="138"/>
    </row>
    <row r="4" spans="1:27" s="137" customFormat="1">
      <c r="A4" s="195" t="s">
        <v>0</v>
      </c>
      <c r="B4" s="193"/>
      <c r="C4" s="193"/>
      <c r="D4" s="193"/>
      <c r="E4" s="193"/>
      <c r="F4" s="193"/>
      <c r="G4" s="194"/>
      <c r="H4" s="194"/>
      <c r="I4" s="194"/>
      <c r="J4" s="194"/>
      <c r="K4" s="194"/>
      <c r="L4" s="194"/>
      <c r="M4" s="194"/>
      <c r="N4" s="194"/>
      <c r="O4" s="194"/>
      <c r="P4" s="194"/>
      <c r="Q4" s="194"/>
      <c r="R4" s="194"/>
      <c r="S4" s="194"/>
      <c r="T4" s="194"/>
      <c r="U4" s="56">
        <f>+'Pi''s Calc'!U52</f>
        <v>248910.82617562899</v>
      </c>
      <c r="V4" s="56">
        <f>+'Pi''s Calc'!V52</f>
        <v>253708.45622266308</v>
      </c>
      <c r="W4" s="56">
        <f>+'Pi''s Calc'!W52</f>
        <v>253407.94924646628</v>
      </c>
      <c r="X4" s="56">
        <f>+'Pi''s Calc'!X52</f>
        <v>251717.30411495513</v>
      </c>
      <c r="Y4" s="56">
        <f>+'Pi''s Calc'!Y52</f>
        <v>248835.64612592873</v>
      </c>
      <c r="Z4" s="56">
        <f>+'Pi''s Calc'!Z52</f>
        <v>245386.32464679834</v>
      </c>
      <c r="AA4" s="56">
        <f>+'Pi''s Calc'!AA52</f>
        <v>240955.15074715408</v>
      </c>
    </row>
    <row r="5" spans="1:27" s="137" customFormat="1">
      <c r="A5" s="195" t="s">
        <v>90</v>
      </c>
      <c r="B5" s="193"/>
      <c r="C5" s="193"/>
      <c r="D5" s="193"/>
      <c r="E5" s="193"/>
      <c r="F5" s="193"/>
      <c r="G5" s="194"/>
      <c r="H5" s="194"/>
      <c r="I5" s="194"/>
      <c r="J5" s="194"/>
      <c r="K5" s="194"/>
      <c r="L5" s="194"/>
      <c r="M5" s="194"/>
      <c r="N5" s="194"/>
      <c r="O5" s="194"/>
      <c r="P5" s="194"/>
      <c r="Q5" s="194"/>
      <c r="R5" s="194"/>
      <c r="S5" s="194"/>
      <c r="T5" s="194"/>
      <c r="U5" s="56"/>
      <c r="V5" s="56">
        <f>+'Pi''s Calc'!V26</f>
        <v>21902.573675692904</v>
      </c>
      <c r="W5" s="56">
        <f>+'Pi''s Calc'!W26</f>
        <v>22920.54891867538</v>
      </c>
      <c r="X5" s="56">
        <f>+'Pi''s Calc'!X26</f>
        <v>23918.491178256154</v>
      </c>
      <c r="Y5" s="56">
        <f>+'Pi''s Calc'!Y26</f>
        <v>24871.243799036834</v>
      </c>
      <c r="Z5" s="56">
        <f>+'Pi''s Calc'!Z26</f>
        <v>25694.22526383321</v>
      </c>
      <c r="AA5" s="56">
        <f>+'Pi''s Calc'!AA26</f>
        <v>26454.362705142295</v>
      </c>
    </row>
    <row r="6" spans="1:27" s="137" customFormat="1">
      <c r="A6" s="195" t="s">
        <v>291</v>
      </c>
      <c r="B6" s="193"/>
      <c r="C6" s="193"/>
      <c r="D6" s="193"/>
      <c r="E6" s="193"/>
      <c r="F6" s="193"/>
      <c r="G6" s="194"/>
      <c r="H6" s="194"/>
      <c r="I6" s="194"/>
      <c r="J6" s="194"/>
      <c r="K6" s="194"/>
      <c r="L6" s="194"/>
      <c r="M6" s="194"/>
      <c r="N6" s="194"/>
      <c r="O6" s="194"/>
      <c r="P6" s="194"/>
      <c r="Q6" s="194"/>
      <c r="R6" s="194"/>
      <c r="S6" s="194"/>
      <c r="T6" s="194"/>
      <c r="U6" s="56"/>
      <c r="V6" s="56">
        <f>+'Pi''s Calc'!V28</f>
        <v>-7875.1721053171241</v>
      </c>
      <c r="W6" s="56">
        <f>+'Pi''s Calc'!W28</f>
        <v>-7831.3096241695312</v>
      </c>
      <c r="X6" s="56">
        <f>+'Pi''s Calc'!X28</f>
        <v>-7761.5951797968764</v>
      </c>
      <c r="Y6" s="56">
        <f>+'Pi''s Calc'!Y28</f>
        <v>-7845.6225755015967</v>
      </c>
      <c r="Z6" s="56">
        <f>+'Pi''s Calc'!Z28</f>
        <v>-8158.8947846704868</v>
      </c>
      <c r="AA6" s="56">
        <f>+'Pi''s Calc'!AA28</f>
        <v>-8178.0772477010569</v>
      </c>
    </row>
    <row r="7" spans="1:27" s="137" customFormat="1">
      <c r="A7" s="195" t="s">
        <v>292</v>
      </c>
      <c r="B7" s="193"/>
      <c r="C7" s="193"/>
      <c r="D7" s="193"/>
      <c r="E7" s="193"/>
      <c r="F7" s="193"/>
      <c r="G7" s="194"/>
      <c r="H7" s="194"/>
      <c r="I7" s="194"/>
      <c r="J7" s="194"/>
      <c r="K7" s="194"/>
      <c r="L7" s="194"/>
      <c r="M7" s="194"/>
      <c r="N7" s="194"/>
      <c r="O7" s="194"/>
      <c r="P7" s="194"/>
      <c r="Q7" s="194"/>
      <c r="R7" s="194"/>
      <c r="S7" s="194"/>
      <c r="T7" s="194"/>
      <c r="U7" s="56"/>
      <c r="V7" s="56">
        <f>+'DAV Pi'!V53</f>
        <v>8242.0144159165029</v>
      </c>
      <c r="W7" s="56">
        <f>+'DAV Pi'!W53</f>
        <v>8429.0508665721572</v>
      </c>
      <c r="X7" s="56">
        <f>+'DAV Pi'!X53</f>
        <v>8603.5066792094203</v>
      </c>
      <c r="Y7" s="56">
        <f>+'DAV Pi'!Y53</f>
        <v>8735.4648679515285</v>
      </c>
      <c r="Z7" s="56">
        <f>+'DAV Pi'!Z53</f>
        <v>8861.4411432537981</v>
      </c>
      <c r="AA7" s="56">
        <f>+'DAV Pi'!AA53</f>
        <v>8940.4744460560814</v>
      </c>
    </row>
    <row r="8" spans="1:27" s="137" customFormat="1">
      <c r="A8" s="195" t="s">
        <v>293</v>
      </c>
      <c r="B8" s="193"/>
      <c r="C8" s="193"/>
      <c r="D8" s="193"/>
      <c r="E8" s="193"/>
      <c r="F8" s="193"/>
      <c r="G8" s="194"/>
      <c r="H8" s="194"/>
      <c r="I8" s="194"/>
      <c r="J8" s="194"/>
      <c r="K8" s="194"/>
      <c r="L8" s="194"/>
      <c r="M8" s="194"/>
      <c r="N8" s="194"/>
      <c r="O8" s="194"/>
      <c r="P8" s="194"/>
      <c r="Q8" s="194"/>
      <c r="R8" s="194"/>
      <c r="S8" s="194"/>
      <c r="T8" s="194"/>
      <c r="U8" s="56">
        <f>+'Pi''s Calc'!U50</f>
        <v>38899.322923750093</v>
      </c>
      <c r="V8" s="56">
        <f>+'Pi''s Calc'!V50</f>
        <v>40077.893086677504</v>
      </c>
      <c r="W8" s="56">
        <f>+'Pi''s Calc'!W50</f>
        <v>40443.971111918014</v>
      </c>
      <c r="X8" s="56">
        <f>+'Pi''s Calc'!X50</f>
        <v>39889.26017117803</v>
      </c>
      <c r="Y8" s="56">
        <f>+'Pi''s Calc'!Y50</f>
        <v>38534.431413725019</v>
      </c>
      <c r="Z8" s="56">
        <f>+'Pi''s Calc'!Z50</f>
        <v>36708.15184987543</v>
      </c>
      <c r="AA8" s="56">
        <f>+'Pi''s Calc'!AA50</f>
        <v>34110.763726202975</v>
      </c>
    </row>
    <row r="10" spans="1:27">
      <c r="A10" s="25" t="s">
        <v>265</v>
      </c>
      <c r="U10" s="216">
        <f>+Inputs!U36</f>
        <v>1.065785123966942</v>
      </c>
      <c r="V10" s="216">
        <f>+Inputs!V36</f>
        <v>1.0881666115702477</v>
      </c>
      <c r="W10" s="216">
        <f>+Inputs!W36</f>
        <v>1.1110181104132228</v>
      </c>
      <c r="X10" s="216">
        <f>+Inputs!X36</f>
        <v>1.1343494907319005</v>
      </c>
      <c r="Y10" s="216">
        <f>+Inputs!Y36</f>
        <v>1.1581708300372704</v>
      </c>
      <c r="Z10" s="216">
        <f>+Inputs!Z36</f>
        <v>1.1824924174680531</v>
      </c>
      <c r="AA10" s="216">
        <f>+Inputs!AA36</f>
        <v>1.2073247582348823</v>
      </c>
    </row>
    <row r="11" spans="1:27">
      <c r="U11" s="216"/>
      <c r="V11" s="216"/>
      <c r="W11" s="216"/>
      <c r="X11" s="216"/>
      <c r="Y11" s="216"/>
      <c r="Z11" s="216"/>
      <c r="AA11" s="216"/>
    </row>
    <row r="12" spans="1:27">
      <c r="A12" s="192" t="s">
        <v>294</v>
      </c>
      <c r="B12" s="193"/>
      <c r="C12" s="193"/>
      <c r="D12" s="193"/>
      <c r="E12" s="136"/>
      <c r="F12" s="193"/>
      <c r="G12" s="194"/>
      <c r="H12" s="194"/>
      <c r="I12" s="194"/>
      <c r="J12" s="194"/>
      <c r="K12" s="194"/>
      <c r="L12" s="194"/>
      <c r="M12" s="194"/>
      <c r="N12" s="194"/>
      <c r="O12" s="196"/>
      <c r="P12" s="196"/>
      <c r="Q12" s="196"/>
      <c r="R12" s="196"/>
      <c r="S12" s="196"/>
      <c r="T12" s="196"/>
      <c r="U12" s="196"/>
      <c r="V12" s="216"/>
      <c r="W12" s="216"/>
      <c r="X12" s="216"/>
      <c r="Y12" s="216"/>
      <c r="Z12" s="216"/>
      <c r="AA12" s="216"/>
    </row>
    <row r="13" spans="1:27">
      <c r="A13" s="195" t="s">
        <v>0</v>
      </c>
      <c r="B13" s="193"/>
      <c r="C13" s="193"/>
      <c r="D13" s="193"/>
      <c r="E13" s="136"/>
      <c r="F13" s="193"/>
      <c r="G13" s="194"/>
      <c r="H13" s="194"/>
      <c r="I13" s="194"/>
      <c r="J13" s="194"/>
      <c r="K13" s="194"/>
      <c r="L13" s="194"/>
      <c r="M13" s="194"/>
      <c r="N13" s="194"/>
      <c r="O13" s="194"/>
      <c r="P13" s="194"/>
      <c r="Q13" s="194"/>
      <c r="R13" s="194"/>
      <c r="S13" s="194"/>
      <c r="T13" s="194"/>
      <c r="U13" s="194">
        <f>+U4*U$10</f>
        <v>265285.4557323067</v>
      </c>
      <c r="V13" s="194">
        <f t="shared" ref="V13:AA13" si="0">+V4*V$10</f>
        <v>276077.07113453385</v>
      </c>
      <c r="W13" s="194">
        <f t="shared" si="0"/>
        <v>281540.82093549886</v>
      </c>
      <c r="X13" s="194">
        <f t="shared" si="0"/>
        <v>285535.39573120628</v>
      </c>
      <c r="Y13" s="194">
        <f t="shared" si="0"/>
        <v>288194.18681652739</v>
      </c>
      <c r="Z13" s="194">
        <f t="shared" si="0"/>
        <v>290167.46824519307</v>
      </c>
      <c r="AA13" s="194">
        <f t="shared" si="0"/>
        <v>290911.11912125739</v>
      </c>
    </row>
    <row r="14" spans="1:27">
      <c r="A14" s="195" t="s">
        <v>90</v>
      </c>
      <c r="B14" s="193"/>
      <c r="C14" s="193"/>
      <c r="D14" s="193"/>
      <c r="E14" s="136"/>
      <c r="F14" s="193"/>
      <c r="G14" s="194"/>
      <c r="H14" s="194"/>
      <c r="I14" s="194"/>
      <c r="J14" s="194"/>
      <c r="K14" s="194"/>
      <c r="L14" s="194"/>
      <c r="M14" s="194"/>
      <c r="N14" s="194"/>
      <c r="O14" s="194"/>
      <c r="P14" s="194"/>
      <c r="Q14" s="194"/>
      <c r="R14" s="194"/>
      <c r="S14" s="194"/>
      <c r="T14" s="194"/>
      <c r="U14" s="194"/>
      <c r="V14" s="194">
        <f t="shared" ref="U14:AA17" si="1">+V5*V$10</f>
        <v>23833.649381346455</v>
      </c>
      <c r="W14" s="194">
        <f t="shared" si="1"/>
        <v>25465.144949260561</v>
      </c>
      <c r="X14" s="194">
        <f t="shared" si="1"/>
        <v>27131.928287130322</v>
      </c>
      <c r="Y14" s="194">
        <f t="shared" si="1"/>
        <v>28805.149074789806</v>
      </c>
      <c r="Z14" s="194">
        <f t="shared" si="1"/>
        <v>30383.226547198858</v>
      </c>
      <c r="AA14" s="194">
        <f t="shared" si="1"/>
        <v>31939.007057243809</v>
      </c>
    </row>
    <row r="15" spans="1:27">
      <c r="A15" s="195" t="s">
        <v>291</v>
      </c>
      <c r="B15" s="193"/>
      <c r="C15" s="193"/>
      <c r="D15" s="193"/>
      <c r="E15" s="136"/>
      <c r="F15" s="193"/>
      <c r="G15" s="194"/>
      <c r="H15" s="194"/>
      <c r="I15" s="194"/>
      <c r="J15" s="194"/>
      <c r="K15" s="194"/>
      <c r="L15" s="194"/>
      <c r="M15" s="194"/>
      <c r="N15" s="194"/>
      <c r="O15" s="194"/>
      <c r="P15" s="194"/>
      <c r="Q15" s="194"/>
      <c r="R15" s="194"/>
      <c r="S15" s="194"/>
      <c r="T15" s="194"/>
      <c r="U15" s="194"/>
      <c r="V15" s="194">
        <f t="shared" si="1"/>
        <v>-8569.4993453754687</v>
      </c>
      <c r="W15" s="194">
        <f t="shared" si="1"/>
        <v>-8700.7268207057186</v>
      </c>
      <c r="X15" s="194">
        <f t="shared" si="1"/>
        <v>-8804.3615394697608</v>
      </c>
      <c r="Y15" s="194">
        <f t="shared" si="1"/>
        <v>-9086.5712104278318</v>
      </c>
      <c r="Z15" s="194">
        <f t="shared" si="1"/>
        <v>-9647.8312177924945</v>
      </c>
      <c r="AA15" s="194">
        <f t="shared" si="1"/>
        <v>-9873.5951359068695</v>
      </c>
    </row>
    <row r="16" spans="1:27">
      <c r="A16" s="195" t="s">
        <v>292</v>
      </c>
      <c r="B16" s="193"/>
      <c r="C16" s="193"/>
      <c r="D16" s="193"/>
      <c r="E16" s="136"/>
      <c r="F16" s="193"/>
      <c r="G16" s="194"/>
      <c r="H16" s="194"/>
      <c r="I16" s="194"/>
      <c r="J16" s="194"/>
      <c r="K16" s="194"/>
      <c r="L16" s="194"/>
      <c r="M16" s="194"/>
      <c r="N16" s="194"/>
      <c r="O16" s="194"/>
      <c r="P16" s="194"/>
      <c r="Q16" s="194"/>
      <c r="R16" s="194"/>
      <c r="S16" s="194"/>
      <c r="T16" s="194"/>
      <c r="U16" s="194"/>
      <c r="V16" s="194">
        <f t="shared" si="1"/>
        <v>8968.6848994809952</v>
      </c>
      <c r="W16" s="194">
        <f t="shared" si="1"/>
        <v>9364.8281663559374</v>
      </c>
      <c r="X16" s="194">
        <f t="shared" si="1"/>
        <v>9759.3834200697111</v>
      </c>
      <c r="Y16" s="194">
        <f t="shared" si="1"/>
        <v>10117.160596876836</v>
      </c>
      <c r="Z16" s="194">
        <f t="shared" si="1"/>
        <v>10478.586959737053</v>
      </c>
      <c r="AA16" s="194">
        <f t="shared" si="1"/>
        <v>10794.056149089802</v>
      </c>
    </row>
    <row r="17" spans="1:27">
      <c r="A17" s="195" t="s">
        <v>293</v>
      </c>
      <c r="B17" s="193"/>
      <c r="C17" s="193"/>
      <c r="D17" s="193"/>
      <c r="E17" s="136"/>
      <c r="F17" s="193"/>
      <c r="G17" s="194"/>
      <c r="H17" s="194"/>
      <c r="I17" s="194"/>
      <c r="J17" s="194"/>
      <c r="K17" s="194"/>
      <c r="L17" s="194"/>
      <c r="M17" s="194"/>
      <c r="N17" s="194"/>
      <c r="O17" s="194"/>
      <c r="P17" s="194"/>
      <c r="Q17" s="194"/>
      <c r="R17" s="194"/>
      <c r="S17" s="194"/>
      <c r="T17" s="194"/>
      <c r="U17" s="194">
        <f t="shared" si="1"/>
        <v>41458.319704519105</v>
      </c>
      <c r="V17" s="194">
        <f t="shared" si="1"/>
        <v>43611.425119004518</v>
      </c>
      <c r="W17" s="194">
        <f t="shared" si="1"/>
        <v>44933.984362370124</v>
      </c>
      <c r="X17" s="194">
        <f t="shared" si="1"/>
        <v>45248.36196084808</v>
      </c>
      <c r="Y17" s="194">
        <f t="shared" si="1"/>
        <v>44629.45441544817</v>
      </c>
      <c r="Z17" s="194">
        <f t="shared" si="1"/>
        <v>43407.11122174358</v>
      </c>
      <c r="AA17" s="194">
        <f t="shared" si="1"/>
        <v>41182.769568945201</v>
      </c>
    </row>
    <row r="18" spans="1:27">
      <c r="U18" s="216"/>
      <c r="V18" s="216"/>
      <c r="W18" s="216"/>
      <c r="X18" s="216"/>
      <c r="Y18" s="216"/>
      <c r="Z18" s="216"/>
      <c r="AA18" s="216"/>
    </row>
    <row r="19" spans="1:27">
      <c r="N19" s="72"/>
    </row>
    <row r="20" spans="1:27">
      <c r="A20" s="25" t="s">
        <v>0</v>
      </c>
      <c r="N20" s="72"/>
      <c r="U20" s="56">
        <f t="shared" ref="U20:Z20" si="2">+U13</f>
        <v>265285.4557323067</v>
      </c>
      <c r="V20" s="56">
        <f t="shared" si="2"/>
        <v>276077.07113453385</v>
      </c>
      <c r="W20" s="56">
        <f t="shared" si="2"/>
        <v>281540.82093549886</v>
      </c>
      <c r="X20" s="56">
        <f t="shared" si="2"/>
        <v>285535.39573120628</v>
      </c>
      <c r="Y20" s="56">
        <f t="shared" si="2"/>
        <v>288194.18681652739</v>
      </c>
      <c r="Z20" s="56">
        <f t="shared" si="2"/>
        <v>290167.46824519307</v>
      </c>
      <c r="AA20" s="56">
        <f>+AA13</f>
        <v>290911.11912125739</v>
      </c>
    </row>
    <row r="21" spans="1:27">
      <c r="A21" s="25" t="s">
        <v>29</v>
      </c>
      <c r="N21" s="72"/>
      <c r="V21" s="56">
        <f>(U20+V20)/2</f>
        <v>270681.26343342027</v>
      </c>
      <c r="W21" s="56">
        <f t="shared" ref="W21:AA21" si="3">(V20+W20)/2</f>
        <v>278808.94603501633</v>
      </c>
      <c r="X21" s="56">
        <f t="shared" si="3"/>
        <v>283538.1083333526</v>
      </c>
      <c r="Y21" s="56">
        <f t="shared" si="3"/>
        <v>286864.79127386684</v>
      </c>
      <c r="Z21" s="56">
        <f t="shared" si="3"/>
        <v>289180.8275308602</v>
      </c>
      <c r="AA21" s="56">
        <f t="shared" si="3"/>
        <v>290539.29368322523</v>
      </c>
    </row>
    <row r="22" spans="1:27">
      <c r="A22" s="25" t="s">
        <v>152</v>
      </c>
      <c r="N22" s="72"/>
      <c r="T22" s="73"/>
      <c r="U22" s="73"/>
      <c r="V22" s="85">
        <f>+Inputs!V6</f>
        <v>0.55000000000000004</v>
      </c>
      <c r="W22" s="85">
        <f>+V22</f>
        <v>0.55000000000000004</v>
      </c>
      <c r="X22" s="85">
        <f t="shared" ref="X22:AA22" si="4">+W22</f>
        <v>0.55000000000000004</v>
      </c>
      <c r="Y22" s="85">
        <f t="shared" si="4"/>
        <v>0.55000000000000004</v>
      </c>
      <c r="Z22" s="85">
        <f t="shared" si="4"/>
        <v>0.55000000000000004</v>
      </c>
      <c r="AA22" s="85">
        <f t="shared" si="4"/>
        <v>0.55000000000000004</v>
      </c>
    </row>
    <row r="23" spans="1:27">
      <c r="A23" s="25" t="s">
        <v>28</v>
      </c>
      <c r="N23" s="72"/>
      <c r="V23" s="56">
        <f>+V21*V22</f>
        <v>148874.69488838117</v>
      </c>
      <c r="W23" s="56">
        <f t="shared" ref="W23:AA23" si="5">+W21*W22</f>
        <v>153344.92031925899</v>
      </c>
      <c r="X23" s="56">
        <f t="shared" si="5"/>
        <v>155945.95958334394</v>
      </c>
      <c r="Y23" s="56">
        <f t="shared" si="5"/>
        <v>157775.63520062677</v>
      </c>
      <c r="Z23" s="56">
        <f t="shared" si="5"/>
        <v>159049.45514197313</v>
      </c>
      <c r="AA23" s="56">
        <f t="shared" si="5"/>
        <v>159796.61152577389</v>
      </c>
    </row>
    <row r="24" spans="1:27">
      <c r="A24" s="25" t="s">
        <v>153</v>
      </c>
      <c r="N24" s="72"/>
      <c r="T24" s="73"/>
      <c r="U24" s="73"/>
      <c r="V24" s="85">
        <f>+Inputs!V7</f>
        <v>3.09E-2</v>
      </c>
      <c r="W24" s="85">
        <f>+V24</f>
        <v>3.09E-2</v>
      </c>
      <c r="X24" s="85">
        <f t="shared" ref="X24:AA24" si="6">+W24</f>
        <v>3.09E-2</v>
      </c>
      <c r="Y24" s="85">
        <f t="shared" si="6"/>
        <v>3.09E-2</v>
      </c>
      <c r="Z24" s="85">
        <f t="shared" si="6"/>
        <v>3.09E-2</v>
      </c>
      <c r="AA24" s="85">
        <f t="shared" si="6"/>
        <v>3.09E-2</v>
      </c>
    </row>
    <row r="25" spans="1:27">
      <c r="A25" s="137" t="s">
        <v>25</v>
      </c>
      <c r="N25" s="72"/>
      <c r="V25" s="56">
        <f>+V23*V24</f>
        <v>4600.228072050978</v>
      </c>
      <c r="W25" s="56">
        <f t="shared" ref="W25:AA25" si="7">+W23*W24</f>
        <v>4738.3580378651031</v>
      </c>
      <c r="X25" s="56">
        <f t="shared" si="7"/>
        <v>4818.7301511253281</v>
      </c>
      <c r="Y25" s="56">
        <f t="shared" si="7"/>
        <v>4875.2671276993669</v>
      </c>
      <c r="Z25" s="56">
        <f t="shared" si="7"/>
        <v>4914.6281638869696</v>
      </c>
      <c r="AA25" s="56">
        <f t="shared" si="7"/>
        <v>4937.7152961464135</v>
      </c>
    </row>
    <row r="27" spans="1:27">
      <c r="A27" s="1" t="s">
        <v>90</v>
      </c>
      <c r="B27" s="74"/>
      <c r="C27" s="74"/>
      <c r="D27" s="74"/>
      <c r="E27" s="74"/>
      <c r="F27" s="74"/>
      <c r="G27" s="74"/>
      <c r="H27" s="74"/>
      <c r="I27" s="74"/>
      <c r="J27" s="74"/>
      <c r="K27" s="74"/>
      <c r="L27" s="74"/>
      <c r="M27" s="75"/>
      <c r="O27" s="75"/>
      <c r="P27" s="75"/>
      <c r="Q27" s="75"/>
      <c r="R27" s="75"/>
      <c r="S27" s="75"/>
      <c r="V27" s="56">
        <f t="shared" ref="V27:Z27" si="8">+V14</f>
        <v>23833.649381346455</v>
      </c>
      <c r="W27" s="56">
        <f t="shared" si="8"/>
        <v>25465.144949260561</v>
      </c>
      <c r="X27" s="56">
        <f t="shared" si="8"/>
        <v>27131.928287130322</v>
      </c>
      <c r="Y27" s="56">
        <f t="shared" si="8"/>
        <v>28805.149074789806</v>
      </c>
      <c r="Z27" s="56">
        <f t="shared" si="8"/>
        <v>30383.226547198858</v>
      </c>
      <c r="AA27" s="56">
        <f>+AA14</f>
        <v>31939.007057243809</v>
      </c>
    </row>
    <row r="28" spans="1:27">
      <c r="A28" s="5" t="s">
        <v>101</v>
      </c>
      <c r="B28" s="74"/>
      <c r="C28" s="74"/>
      <c r="D28" s="74"/>
      <c r="E28" s="74"/>
      <c r="F28" s="74"/>
      <c r="G28" s="74"/>
      <c r="H28" s="74"/>
      <c r="I28" s="74"/>
      <c r="J28" s="74"/>
      <c r="K28" s="74"/>
      <c r="L28" s="74"/>
      <c r="M28" s="75"/>
      <c r="O28" s="75"/>
      <c r="P28" s="75"/>
      <c r="Q28" s="75"/>
      <c r="R28" s="75"/>
      <c r="S28" s="75"/>
      <c r="V28" s="56">
        <f t="shared" ref="V28:Z28" si="9">+V15</f>
        <v>-8569.4993453754687</v>
      </c>
      <c r="W28" s="56">
        <f t="shared" si="9"/>
        <v>-8700.7268207057186</v>
      </c>
      <c r="X28" s="56">
        <f t="shared" si="9"/>
        <v>-8804.3615394697608</v>
      </c>
      <c r="Y28" s="56">
        <f t="shared" si="9"/>
        <v>-9086.5712104278318</v>
      </c>
      <c r="Z28" s="56">
        <f t="shared" si="9"/>
        <v>-9647.8312177924945</v>
      </c>
      <c r="AA28" s="56">
        <f>+AA15</f>
        <v>-9873.5951359068695</v>
      </c>
    </row>
    <row r="29" spans="1:27">
      <c r="A29" s="1" t="s">
        <v>24</v>
      </c>
      <c r="B29" s="74"/>
      <c r="C29" s="74"/>
      <c r="D29" s="74"/>
      <c r="E29" s="74"/>
      <c r="F29" s="74"/>
      <c r="G29" s="74"/>
      <c r="H29" s="74"/>
      <c r="I29" s="74"/>
      <c r="J29" s="74"/>
      <c r="K29" s="74"/>
      <c r="L29" s="74"/>
      <c r="M29" s="75"/>
      <c r="O29" s="75"/>
      <c r="P29" s="75"/>
      <c r="Q29" s="75"/>
      <c r="R29" s="75"/>
      <c r="S29" s="75"/>
      <c r="V29" s="56">
        <f>-'UR Tax Calculation'!V25</f>
        <v>-228.82900506174886</v>
      </c>
      <c r="W29" s="56">
        <f>-'UR Tax Calculation'!W25</f>
        <v>-677.41477521982324</v>
      </c>
      <c r="X29" s="56">
        <f>-'UR Tax Calculation'!X25</f>
        <v>-1088.4596630415194</v>
      </c>
      <c r="Y29" s="56">
        <f>-'UR Tax Calculation'!Y25</f>
        <v>-1459.4275951608497</v>
      </c>
      <c r="Z29" s="56">
        <f>-'UR Tax Calculation'!Z25</f>
        <v>-1732.854794045787</v>
      </c>
      <c r="AA29" s="56">
        <f>-'UR Tax Calculation'!AA25</f>
        <v>-2084.7850929121955</v>
      </c>
    </row>
    <row r="30" spans="1:27">
      <c r="A30" s="1" t="s">
        <v>25</v>
      </c>
      <c r="B30" s="74"/>
      <c r="C30" s="74"/>
      <c r="D30" s="74"/>
      <c r="E30" s="74"/>
      <c r="F30" s="74"/>
      <c r="G30" s="74"/>
      <c r="H30" s="74"/>
      <c r="I30" s="74"/>
      <c r="J30" s="74"/>
      <c r="K30" s="74"/>
      <c r="L30" s="74"/>
      <c r="M30" s="75"/>
      <c r="O30" s="75"/>
      <c r="P30" s="75"/>
      <c r="Q30" s="75"/>
      <c r="R30" s="75"/>
      <c r="S30" s="75"/>
      <c r="V30" s="56">
        <f t="shared" ref="V30:AA30" si="10">-V25</f>
        <v>-4600.228072050978</v>
      </c>
      <c r="W30" s="56">
        <f t="shared" si="10"/>
        <v>-4738.3580378651031</v>
      </c>
      <c r="X30" s="56">
        <f t="shared" si="10"/>
        <v>-4818.7301511253281</v>
      </c>
      <c r="Y30" s="56">
        <f t="shared" si="10"/>
        <v>-4875.2671276993669</v>
      </c>
      <c r="Z30" s="56">
        <f t="shared" si="10"/>
        <v>-4914.6281638869696</v>
      </c>
      <c r="AA30" s="56">
        <f t="shared" si="10"/>
        <v>-4937.7152961464135</v>
      </c>
    </row>
    <row r="31" spans="1:27">
      <c r="A31" s="139" t="s">
        <v>91</v>
      </c>
      <c r="B31" s="74"/>
      <c r="C31" s="74"/>
      <c r="D31" s="74"/>
      <c r="E31" s="74"/>
      <c r="F31" s="74"/>
      <c r="G31" s="74"/>
      <c r="H31" s="74"/>
      <c r="I31" s="74"/>
      <c r="J31" s="74"/>
      <c r="K31" s="74"/>
      <c r="L31" s="74"/>
      <c r="M31" s="75"/>
      <c r="O31" s="75"/>
      <c r="P31" s="75"/>
      <c r="Q31" s="75"/>
      <c r="R31" s="75"/>
      <c r="S31" s="75"/>
      <c r="V31" s="217">
        <f t="shared" ref="V31:AA31" si="11">SUM(V27:V30)</f>
        <v>10435.092958858258</v>
      </c>
      <c r="W31" s="217">
        <f t="shared" si="11"/>
        <v>11348.645315469916</v>
      </c>
      <c r="X31" s="217">
        <f t="shared" si="11"/>
        <v>12420.376933493713</v>
      </c>
      <c r="Y31" s="217">
        <f t="shared" si="11"/>
        <v>13383.883141501756</v>
      </c>
      <c r="Z31" s="217">
        <f t="shared" si="11"/>
        <v>14087.912371473605</v>
      </c>
      <c r="AA31" s="217">
        <f t="shared" si="11"/>
        <v>15042.911532278333</v>
      </c>
    </row>
    <row r="32" spans="1:27">
      <c r="A32" s="1"/>
      <c r="B32" s="74"/>
      <c r="C32" s="74"/>
      <c r="D32" s="74"/>
      <c r="E32" s="74"/>
      <c r="F32" s="74"/>
      <c r="G32" s="74"/>
      <c r="H32" s="74"/>
      <c r="I32" s="74"/>
      <c r="J32" s="74"/>
      <c r="K32" s="74"/>
      <c r="L32" s="74"/>
      <c r="M32" s="75"/>
      <c r="O32" s="75"/>
      <c r="P32" s="75"/>
      <c r="Q32" s="75"/>
      <c r="R32" s="75"/>
      <c r="S32" s="75"/>
      <c r="T32" s="75"/>
      <c r="U32" s="75"/>
      <c r="V32" s="75"/>
      <c r="W32" s="75"/>
      <c r="X32" s="75"/>
      <c r="Y32" s="75"/>
      <c r="Z32" s="75"/>
      <c r="AA32" s="75"/>
    </row>
    <row r="33" spans="1:27">
      <c r="A33" s="1" t="s">
        <v>92</v>
      </c>
      <c r="B33" s="74"/>
      <c r="C33" s="74"/>
      <c r="D33" s="74"/>
      <c r="E33" s="74"/>
      <c r="F33" s="74"/>
      <c r="G33" s="74"/>
      <c r="H33" s="74"/>
      <c r="I33" s="74"/>
      <c r="J33" s="74"/>
      <c r="K33" s="74"/>
      <c r="L33" s="74"/>
      <c r="M33" s="75"/>
      <c r="O33" s="75"/>
      <c r="P33" s="75"/>
      <c r="Q33" s="75"/>
      <c r="R33" s="75"/>
      <c r="S33" s="75"/>
      <c r="V33" s="56">
        <f t="shared" ref="V33" si="12">+V31</f>
        <v>10435.092958858258</v>
      </c>
      <c r="W33" s="56">
        <f t="shared" ref="W33:AA33" si="13">+W31</f>
        <v>11348.645315469916</v>
      </c>
      <c r="X33" s="56">
        <f t="shared" si="13"/>
        <v>12420.376933493713</v>
      </c>
      <c r="Y33" s="56">
        <f t="shared" si="13"/>
        <v>13383.883141501756</v>
      </c>
      <c r="Z33" s="56">
        <f t="shared" si="13"/>
        <v>14087.912371473605</v>
      </c>
      <c r="AA33" s="56">
        <f t="shared" si="13"/>
        <v>15042.911532278333</v>
      </c>
    </row>
    <row r="34" spans="1:27">
      <c r="A34" s="1" t="s">
        <v>25</v>
      </c>
      <c r="B34" s="74"/>
      <c r="C34" s="74"/>
      <c r="D34" s="74"/>
      <c r="E34" s="74"/>
      <c r="F34" s="74"/>
      <c r="G34" s="74"/>
      <c r="H34" s="74"/>
      <c r="I34" s="74"/>
      <c r="J34" s="74"/>
      <c r="K34" s="74"/>
      <c r="L34" s="74"/>
      <c r="M34" s="75"/>
      <c r="O34" s="75"/>
      <c r="P34" s="75"/>
      <c r="Q34" s="75"/>
      <c r="R34" s="75"/>
      <c r="S34" s="75"/>
      <c r="V34" s="56">
        <f t="shared" ref="V34" si="14">-V30</f>
        <v>4600.228072050978</v>
      </c>
      <c r="W34" s="56">
        <f t="shared" ref="W34:AA34" si="15">-W30</f>
        <v>4738.3580378651031</v>
      </c>
      <c r="X34" s="56">
        <f t="shared" si="15"/>
        <v>4818.7301511253281</v>
      </c>
      <c r="Y34" s="56">
        <f t="shared" si="15"/>
        <v>4875.2671276993669</v>
      </c>
      <c r="Z34" s="56">
        <f t="shared" si="15"/>
        <v>4914.6281638869696</v>
      </c>
      <c r="AA34" s="56">
        <f t="shared" si="15"/>
        <v>4937.7152961464135</v>
      </c>
    </row>
    <row r="35" spans="1:27">
      <c r="A35" s="1" t="s">
        <v>93</v>
      </c>
      <c r="B35" s="74"/>
      <c r="C35" s="74"/>
      <c r="D35" s="74"/>
      <c r="E35" s="74"/>
      <c r="F35" s="74"/>
      <c r="G35" s="74"/>
      <c r="H35" s="74"/>
      <c r="I35" s="74"/>
      <c r="J35" s="74"/>
      <c r="K35" s="74"/>
      <c r="L35" s="74"/>
      <c r="M35" s="75"/>
      <c r="O35" s="75"/>
      <c r="P35" s="75"/>
      <c r="Q35" s="75"/>
      <c r="R35" s="75"/>
      <c r="S35" s="75"/>
      <c r="V35" s="56">
        <f t="shared" ref="V35" si="16">+V33+V34</f>
        <v>15035.321030909236</v>
      </c>
      <c r="W35" s="56">
        <f t="shared" ref="W35:AA35" si="17">+W33+W34</f>
        <v>16087.003353335018</v>
      </c>
      <c r="X35" s="56">
        <f t="shared" si="17"/>
        <v>17239.107084619041</v>
      </c>
      <c r="Y35" s="56">
        <f t="shared" si="17"/>
        <v>18259.150269201124</v>
      </c>
      <c r="Z35" s="56">
        <f t="shared" si="17"/>
        <v>19002.540535360575</v>
      </c>
      <c r="AA35" s="56">
        <f t="shared" si="17"/>
        <v>19980.626828424745</v>
      </c>
    </row>
    <row r="36" spans="1:27">
      <c r="A36" s="1" t="s">
        <v>25</v>
      </c>
      <c r="B36" s="74"/>
      <c r="C36" s="74"/>
      <c r="D36" s="74"/>
      <c r="E36" s="74"/>
      <c r="F36" s="74"/>
      <c r="G36" s="74"/>
      <c r="H36" s="74"/>
      <c r="I36" s="74"/>
      <c r="J36" s="74"/>
      <c r="K36" s="74"/>
      <c r="L36" s="74"/>
      <c r="M36" s="75"/>
      <c r="O36" s="75"/>
      <c r="P36" s="75"/>
      <c r="Q36" s="75"/>
      <c r="R36" s="75"/>
      <c r="S36" s="75"/>
      <c r="V36" s="56">
        <f>+V34</f>
        <v>4600.228072050978</v>
      </c>
      <c r="W36" s="56">
        <f t="shared" ref="W36:AA36" si="18">+W34</f>
        <v>4738.3580378651031</v>
      </c>
      <c r="X36" s="56">
        <f t="shared" si="18"/>
        <v>4818.7301511253281</v>
      </c>
      <c r="Y36" s="56">
        <f t="shared" si="18"/>
        <v>4875.2671276993669</v>
      </c>
      <c r="Z36" s="56">
        <f t="shared" si="18"/>
        <v>4914.6281638869696</v>
      </c>
      <c r="AA36" s="56">
        <f t="shared" si="18"/>
        <v>4937.7152961464135</v>
      </c>
    </row>
    <row r="37" spans="1:27">
      <c r="A37" s="139" t="s">
        <v>94</v>
      </c>
      <c r="B37" s="74"/>
      <c r="C37" s="74"/>
      <c r="D37" s="74"/>
      <c r="E37" s="74"/>
      <c r="F37" s="74"/>
      <c r="G37" s="74"/>
      <c r="H37" s="74"/>
      <c r="I37" s="74"/>
      <c r="J37" s="74"/>
      <c r="K37" s="74"/>
      <c r="L37" s="74"/>
      <c r="M37" s="75"/>
      <c r="O37" s="75"/>
      <c r="P37" s="75"/>
      <c r="Q37" s="75"/>
      <c r="R37" s="75"/>
      <c r="S37" s="75"/>
      <c r="V37" s="218">
        <f t="shared" ref="V37" si="19">+V35/V36</f>
        <v>3.2683860007414474</v>
      </c>
      <c r="W37" s="218">
        <f t="shared" ref="W37:AA37" si="20">+W35/W36</f>
        <v>3.3950586310238213</v>
      </c>
      <c r="X37" s="218">
        <f t="shared" si="20"/>
        <v>3.577520745915427</v>
      </c>
      <c r="Y37" s="218">
        <f t="shared" si="20"/>
        <v>3.7452614986899389</v>
      </c>
      <c r="Z37" s="218">
        <f t="shared" si="20"/>
        <v>3.8665266021532552</v>
      </c>
      <c r="AA37" s="218">
        <f t="shared" si="20"/>
        <v>4.0465327849133805</v>
      </c>
    </row>
    <row r="38" spans="1:27">
      <c r="A38" s="1"/>
      <c r="B38" s="74"/>
      <c r="C38" s="74"/>
      <c r="D38" s="74"/>
      <c r="E38" s="74"/>
      <c r="F38" s="74"/>
      <c r="G38" s="74"/>
      <c r="H38" s="74"/>
      <c r="I38" s="74"/>
      <c r="J38" s="74"/>
      <c r="K38" s="74"/>
      <c r="L38" s="74"/>
      <c r="M38" s="75"/>
      <c r="O38" s="75"/>
      <c r="P38" s="75"/>
      <c r="Q38" s="75"/>
      <c r="R38" s="75"/>
      <c r="S38" s="75"/>
      <c r="T38" s="75"/>
      <c r="U38" s="75"/>
      <c r="V38" s="75"/>
      <c r="W38" s="75"/>
      <c r="X38" s="75"/>
      <c r="Y38" s="75"/>
      <c r="Z38" s="75"/>
      <c r="AA38" s="75"/>
    </row>
    <row r="39" spans="1:27">
      <c r="A39" s="1" t="s">
        <v>92</v>
      </c>
      <c r="B39" s="74"/>
      <c r="C39" s="74"/>
      <c r="D39" s="74"/>
      <c r="E39" s="74"/>
      <c r="F39" s="74"/>
      <c r="G39" s="74"/>
      <c r="H39" s="74"/>
      <c r="I39" s="74"/>
      <c r="J39" s="74"/>
      <c r="K39" s="74"/>
      <c r="L39" s="74"/>
      <c r="M39" s="75"/>
      <c r="O39" s="75"/>
      <c r="P39" s="75"/>
      <c r="Q39" s="75"/>
      <c r="R39" s="75"/>
      <c r="S39" s="75"/>
      <c r="V39" s="56">
        <f t="shared" ref="V39" si="21">+V31</f>
        <v>10435.092958858258</v>
      </c>
      <c r="W39" s="56">
        <f t="shared" ref="W39:AA39" si="22">+W31</f>
        <v>11348.645315469916</v>
      </c>
      <c r="X39" s="56">
        <f t="shared" si="22"/>
        <v>12420.376933493713</v>
      </c>
      <c r="Y39" s="56">
        <f t="shared" si="22"/>
        <v>13383.883141501756</v>
      </c>
      <c r="Z39" s="56">
        <f t="shared" si="22"/>
        <v>14087.912371473605</v>
      </c>
      <c r="AA39" s="56">
        <f t="shared" si="22"/>
        <v>15042.911532278333</v>
      </c>
    </row>
    <row r="40" spans="1:27">
      <c r="A40" s="52" t="s">
        <v>22</v>
      </c>
      <c r="B40" s="75"/>
      <c r="C40" s="75"/>
      <c r="D40" s="75"/>
      <c r="E40" s="75"/>
      <c r="F40" s="75"/>
      <c r="G40" s="75"/>
      <c r="H40" s="75"/>
      <c r="I40" s="75"/>
      <c r="J40" s="75"/>
      <c r="K40" s="75"/>
      <c r="L40" s="75"/>
      <c r="M40" s="75"/>
      <c r="O40" s="75"/>
      <c r="P40" s="75"/>
      <c r="Q40" s="75"/>
      <c r="R40" s="75"/>
      <c r="S40" s="75"/>
      <c r="V40" s="56">
        <f t="shared" ref="V40:Z40" si="23">-V16</f>
        <v>-8968.6848994809952</v>
      </c>
      <c r="W40" s="56">
        <f t="shared" si="23"/>
        <v>-9364.8281663559374</v>
      </c>
      <c r="X40" s="56">
        <f t="shared" si="23"/>
        <v>-9759.3834200697111</v>
      </c>
      <c r="Y40" s="56">
        <f t="shared" si="23"/>
        <v>-10117.160596876836</v>
      </c>
      <c r="Z40" s="56">
        <f t="shared" si="23"/>
        <v>-10478.586959737053</v>
      </c>
      <c r="AA40" s="56">
        <f>-AA16</f>
        <v>-10794.056149089802</v>
      </c>
    </row>
    <row r="41" spans="1:27">
      <c r="A41" s="52" t="s">
        <v>59</v>
      </c>
      <c r="B41" s="75"/>
      <c r="C41" s="75"/>
      <c r="D41" s="75"/>
      <c r="E41" s="75"/>
      <c r="F41" s="75"/>
      <c r="G41" s="75"/>
      <c r="H41" s="75"/>
      <c r="I41" s="75"/>
      <c r="J41" s="75"/>
      <c r="K41" s="75"/>
      <c r="L41" s="75"/>
      <c r="M41" s="75"/>
      <c r="O41" s="75"/>
      <c r="P41" s="75"/>
      <c r="Q41" s="75"/>
      <c r="R41" s="75"/>
      <c r="S41" s="75"/>
      <c r="V41" s="56">
        <f t="shared" ref="V41:Z41" si="24">+V17-U17</f>
        <v>2153.1054144854133</v>
      </c>
      <c r="W41" s="56">
        <f t="shared" si="24"/>
        <v>1322.5592433656057</v>
      </c>
      <c r="X41" s="56">
        <f t="shared" si="24"/>
        <v>314.37759847795678</v>
      </c>
      <c r="Y41" s="56">
        <f t="shared" si="24"/>
        <v>-618.9075453999103</v>
      </c>
      <c r="Z41" s="56">
        <f t="shared" si="24"/>
        <v>-1222.3431937045898</v>
      </c>
      <c r="AA41" s="56">
        <f>+AA17-Z17</f>
        <v>-2224.3416527983791</v>
      </c>
    </row>
    <row r="42" spans="1:27">
      <c r="A42" s="1" t="s">
        <v>25</v>
      </c>
      <c r="B42" s="74"/>
      <c r="C42" s="74"/>
      <c r="D42" s="74"/>
      <c r="E42" s="74"/>
      <c r="F42" s="74"/>
      <c r="G42" s="74"/>
      <c r="H42" s="74"/>
      <c r="I42" s="74"/>
      <c r="J42" s="74"/>
      <c r="K42" s="74"/>
      <c r="L42" s="74"/>
      <c r="M42" s="75"/>
      <c r="O42" s="75"/>
      <c r="P42" s="75"/>
      <c r="Q42" s="75"/>
      <c r="R42" s="75"/>
      <c r="S42" s="75"/>
      <c r="V42" s="56">
        <f t="shared" ref="V42:AA42" si="25">-V30</f>
        <v>4600.228072050978</v>
      </c>
      <c r="W42" s="56">
        <f t="shared" si="25"/>
        <v>4738.3580378651031</v>
      </c>
      <c r="X42" s="56">
        <f t="shared" si="25"/>
        <v>4818.7301511253281</v>
      </c>
      <c r="Y42" s="56">
        <f t="shared" si="25"/>
        <v>4875.2671276993669</v>
      </c>
      <c r="Z42" s="56">
        <f t="shared" si="25"/>
        <v>4914.6281638869696</v>
      </c>
      <c r="AA42" s="56">
        <f t="shared" si="25"/>
        <v>4937.7152961464135</v>
      </c>
    </row>
    <row r="43" spans="1:27">
      <c r="A43" s="1" t="s">
        <v>95</v>
      </c>
      <c r="B43" s="74"/>
      <c r="C43" s="74"/>
      <c r="D43" s="74"/>
      <c r="E43" s="74"/>
      <c r="F43" s="74"/>
      <c r="G43" s="74"/>
      <c r="H43" s="74"/>
      <c r="I43" s="74"/>
      <c r="J43" s="74"/>
      <c r="K43" s="74"/>
      <c r="L43" s="74"/>
      <c r="M43" s="75"/>
      <c r="O43" s="75"/>
      <c r="P43" s="75"/>
      <c r="Q43" s="75"/>
      <c r="R43" s="75"/>
      <c r="S43" s="75"/>
      <c r="V43" s="217">
        <f t="shared" ref="V43:AA43" si="26">SUM(V39:V42)</f>
        <v>8219.7415459136537</v>
      </c>
      <c r="W43" s="217">
        <f t="shared" si="26"/>
        <v>8044.7344303446871</v>
      </c>
      <c r="X43" s="217">
        <f t="shared" si="26"/>
        <v>7794.1012630272871</v>
      </c>
      <c r="Y43" s="217">
        <f t="shared" si="26"/>
        <v>7523.0821269243761</v>
      </c>
      <c r="Z43" s="217">
        <f t="shared" si="26"/>
        <v>7301.610381918932</v>
      </c>
      <c r="AA43" s="217">
        <f t="shared" si="26"/>
        <v>6962.2290265365655</v>
      </c>
    </row>
    <row r="44" spans="1:27">
      <c r="A44" s="1" t="s">
        <v>25</v>
      </c>
      <c r="B44" s="74"/>
      <c r="C44" s="74"/>
      <c r="D44" s="74"/>
      <c r="E44" s="74"/>
      <c r="F44" s="74"/>
      <c r="G44" s="74"/>
      <c r="H44" s="74"/>
      <c r="I44" s="74"/>
      <c r="J44" s="74"/>
      <c r="K44" s="74"/>
      <c r="L44" s="74"/>
      <c r="M44" s="75"/>
      <c r="O44" s="75"/>
      <c r="P44" s="75"/>
      <c r="Q44" s="75"/>
      <c r="R44" s="75"/>
      <c r="S44" s="75"/>
      <c r="V44" s="56">
        <f t="shared" ref="V44:AA44" si="27">+V42</f>
        <v>4600.228072050978</v>
      </c>
      <c r="W44" s="56">
        <f t="shared" si="27"/>
        <v>4738.3580378651031</v>
      </c>
      <c r="X44" s="56">
        <f t="shared" si="27"/>
        <v>4818.7301511253281</v>
      </c>
      <c r="Y44" s="56">
        <f t="shared" si="27"/>
        <v>4875.2671276993669</v>
      </c>
      <c r="Z44" s="56">
        <f t="shared" si="27"/>
        <v>4914.6281638869696</v>
      </c>
      <c r="AA44" s="56">
        <f t="shared" si="27"/>
        <v>4937.7152961464135</v>
      </c>
    </row>
    <row r="45" spans="1:27">
      <c r="A45" s="139" t="s">
        <v>23</v>
      </c>
      <c r="B45" s="74"/>
      <c r="C45" s="74"/>
      <c r="D45" s="74"/>
      <c r="E45" s="74"/>
      <c r="F45" s="74"/>
      <c r="G45" s="74"/>
      <c r="H45" s="74"/>
      <c r="I45" s="74"/>
      <c r="J45" s="74"/>
      <c r="K45" s="74"/>
      <c r="L45" s="74"/>
      <c r="M45" s="75"/>
      <c r="O45" s="75"/>
      <c r="P45" s="75"/>
      <c r="Q45" s="75"/>
      <c r="R45" s="75"/>
      <c r="S45" s="75"/>
      <c r="V45" s="218">
        <f t="shared" ref="V45:AA45" si="28">+V43/V44</f>
        <v>1.7868117443683487</v>
      </c>
      <c r="W45" s="218">
        <f t="shared" si="28"/>
        <v>1.6977894802498488</v>
      </c>
      <c r="X45" s="218">
        <f t="shared" si="28"/>
        <v>1.6174595834562586</v>
      </c>
      <c r="Y45" s="218">
        <f t="shared" si="28"/>
        <v>1.543111778261576</v>
      </c>
      <c r="Z45" s="218">
        <f t="shared" si="28"/>
        <v>1.4856892807418625</v>
      </c>
      <c r="AA45" s="218">
        <f t="shared" si="28"/>
        <v>1.4100102190926564</v>
      </c>
    </row>
    <row r="46" spans="1:27">
      <c r="A46" s="139"/>
      <c r="B46" s="74"/>
      <c r="C46" s="74"/>
      <c r="D46" s="74"/>
      <c r="E46" s="74"/>
      <c r="F46" s="74"/>
      <c r="G46" s="74"/>
      <c r="H46" s="74"/>
      <c r="I46" s="74"/>
      <c r="J46" s="74"/>
      <c r="K46" s="74"/>
      <c r="L46" s="74"/>
      <c r="M46" s="75"/>
      <c r="O46" s="75"/>
      <c r="P46" s="75"/>
      <c r="Q46" s="75"/>
      <c r="R46" s="75"/>
      <c r="S46" s="75"/>
      <c r="V46" s="219"/>
      <c r="W46" s="219"/>
      <c r="X46" s="219"/>
      <c r="Y46" s="219"/>
      <c r="Z46" s="219"/>
      <c r="AA46" s="219"/>
    </row>
    <row r="47" spans="1:27">
      <c r="A47" s="142" t="s">
        <v>95</v>
      </c>
      <c r="B47" s="142"/>
      <c r="C47" s="142"/>
      <c r="D47" s="142"/>
      <c r="E47" s="142"/>
      <c r="F47" s="142"/>
      <c r="G47" s="142"/>
      <c r="H47" s="142"/>
      <c r="I47" s="142"/>
      <c r="J47" s="142"/>
      <c r="K47" s="142"/>
      <c r="L47" s="142"/>
      <c r="M47" s="142"/>
      <c r="N47" s="142"/>
      <c r="O47" s="142"/>
      <c r="P47" s="142"/>
      <c r="Q47" s="142"/>
      <c r="R47" s="142"/>
      <c r="S47" s="142"/>
      <c r="T47" s="142"/>
      <c r="U47" s="142"/>
      <c r="V47" s="220">
        <f t="shared" ref="V47:AA47" si="29">+V43</f>
        <v>8219.7415459136537</v>
      </c>
      <c r="W47" s="220">
        <f t="shared" si="29"/>
        <v>8044.7344303446871</v>
      </c>
      <c r="X47" s="220">
        <f t="shared" si="29"/>
        <v>7794.1012630272871</v>
      </c>
      <c r="Y47" s="220">
        <f t="shared" si="29"/>
        <v>7523.0821269243761</v>
      </c>
      <c r="Z47" s="220">
        <f t="shared" si="29"/>
        <v>7301.610381918932</v>
      </c>
      <c r="AA47" s="220">
        <f t="shared" si="29"/>
        <v>6962.2290265365655</v>
      </c>
    </row>
    <row r="48" spans="1:27">
      <c r="A48" s="142" t="s">
        <v>266</v>
      </c>
      <c r="B48" s="142"/>
      <c r="C48" s="142"/>
      <c r="D48" s="142"/>
      <c r="E48" s="142"/>
      <c r="F48" s="142"/>
      <c r="G48" s="142"/>
      <c r="H48" s="142"/>
      <c r="I48" s="142"/>
      <c r="J48" s="142"/>
      <c r="K48" s="142"/>
      <c r="L48" s="142"/>
      <c r="M48" s="142"/>
      <c r="N48" s="142"/>
      <c r="O48" s="142"/>
      <c r="P48" s="142"/>
      <c r="Q48" s="142"/>
      <c r="R48" s="142"/>
      <c r="S48" s="142"/>
      <c r="T48" s="142"/>
      <c r="U48" s="142"/>
      <c r="V48" s="220">
        <f t="shared" ref="V48:AA48" si="30">+U20*(V10/U10)-U20</f>
        <v>5570.9945703783887</v>
      </c>
      <c r="W48" s="220">
        <f t="shared" si="30"/>
        <v>5797.6184938251972</v>
      </c>
      <c r="X48" s="220">
        <f t="shared" si="30"/>
        <v>5912.3572396454401</v>
      </c>
      <c r="Y48" s="220">
        <f t="shared" si="30"/>
        <v>5996.2433103552903</v>
      </c>
      <c r="Z48" s="220">
        <f t="shared" si="30"/>
        <v>6052.0779231471242</v>
      </c>
      <c r="AA48" s="220">
        <f t="shared" si="30"/>
        <v>6093.5168331490713</v>
      </c>
    </row>
    <row r="49" spans="1:28">
      <c r="A49" s="142" t="s">
        <v>267</v>
      </c>
      <c r="B49" s="142"/>
      <c r="C49" s="142"/>
      <c r="D49" s="142"/>
      <c r="E49" s="142"/>
      <c r="F49" s="142"/>
      <c r="G49" s="142"/>
      <c r="H49" s="142"/>
      <c r="I49" s="142"/>
      <c r="J49" s="142"/>
      <c r="K49" s="142"/>
      <c r="L49" s="142"/>
      <c r="M49" s="142"/>
      <c r="N49" s="142"/>
      <c r="O49" s="142"/>
      <c r="P49" s="142"/>
      <c r="Q49" s="142"/>
      <c r="R49" s="142"/>
      <c r="S49" s="142"/>
      <c r="T49" s="142"/>
      <c r="U49" s="142"/>
      <c r="V49" s="221">
        <f t="shared" ref="V49:AA49" si="31">+V47+V48</f>
        <v>13790.736116292042</v>
      </c>
      <c r="W49" s="221">
        <f t="shared" si="31"/>
        <v>13842.352924169885</v>
      </c>
      <c r="X49" s="221">
        <f t="shared" si="31"/>
        <v>13706.458502672727</v>
      </c>
      <c r="Y49" s="221">
        <f t="shared" si="31"/>
        <v>13519.325437279665</v>
      </c>
      <c r="Z49" s="221">
        <f t="shared" si="31"/>
        <v>13353.688305066056</v>
      </c>
      <c r="AA49" s="221">
        <f t="shared" si="31"/>
        <v>13055.745859685638</v>
      </c>
    </row>
    <row r="50" spans="1:28">
      <c r="A50" s="142" t="s">
        <v>25</v>
      </c>
      <c r="B50" s="142"/>
      <c r="C50" s="142"/>
      <c r="D50" s="142"/>
      <c r="E50" s="142"/>
      <c r="F50" s="142"/>
      <c r="G50" s="142"/>
      <c r="H50" s="142"/>
      <c r="I50" s="142"/>
      <c r="J50" s="142"/>
      <c r="K50" s="142"/>
      <c r="L50" s="142"/>
      <c r="M50" s="142"/>
      <c r="N50" s="142"/>
      <c r="O50" s="142"/>
      <c r="P50" s="142"/>
      <c r="Q50" s="142"/>
      <c r="R50" s="142"/>
      <c r="S50" s="142"/>
      <c r="T50" s="142"/>
      <c r="U50" s="142"/>
      <c r="V50" s="194">
        <f t="shared" ref="V50:AA50" si="32">+V44</f>
        <v>4600.228072050978</v>
      </c>
      <c r="W50" s="194">
        <f t="shared" si="32"/>
        <v>4738.3580378651031</v>
      </c>
      <c r="X50" s="194">
        <f t="shared" si="32"/>
        <v>4818.7301511253281</v>
      </c>
      <c r="Y50" s="194">
        <f t="shared" si="32"/>
        <v>4875.2671276993669</v>
      </c>
      <c r="Z50" s="194">
        <f t="shared" si="32"/>
        <v>4914.6281638869696</v>
      </c>
      <c r="AA50" s="194">
        <f t="shared" si="32"/>
        <v>4937.7152961464135</v>
      </c>
    </row>
    <row r="51" spans="1:28">
      <c r="A51" s="143" t="s">
        <v>268</v>
      </c>
      <c r="B51" s="142"/>
      <c r="C51" s="142"/>
      <c r="D51" s="142"/>
      <c r="E51" s="142"/>
      <c r="F51" s="142"/>
      <c r="G51" s="142"/>
      <c r="H51" s="142"/>
      <c r="I51" s="142"/>
      <c r="J51" s="142"/>
      <c r="K51" s="142"/>
      <c r="L51" s="142"/>
      <c r="M51" s="142"/>
      <c r="N51" s="142"/>
      <c r="O51" s="142"/>
      <c r="P51" s="142"/>
      <c r="Q51" s="142"/>
      <c r="R51" s="142"/>
      <c r="S51" s="142"/>
      <c r="T51" s="142"/>
      <c r="U51" s="142"/>
      <c r="V51" s="222">
        <f t="shared" ref="V51:AA51" si="33">+V49/V50</f>
        <v>2.9978374768152625</v>
      </c>
      <c r="W51" s="222">
        <f t="shared" si="33"/>
        <v>2.9213395892739764</v>
      </c>
      <c r="X51" s="222">
        <f t="shared" si="33"/>
        <v>2.8444129620895722</v>
      </c>
      <c r="Y51" s="222">
        <f t="shared" si="33"/>
        <v>2.773043011421493</v>
      </c>
      <c r="Z51" s="222">
        <f t="shared" si="33"/>
        <v>2.7171309526913734</v>
      </c>
      <c r="AA51" s="222">
        <f t="shared" si="33"/>
        <v>2.644086399609725</v>
      </c>
    </row>
    <row r="52" spans="1:28">
      <c r="A52" s="1"/>
      <c r="B52" s="74"/>
      <c r="C52" s="74"/>
      <c r="D52" s="74"/>
      <c r="E52" s="74"/>
      <c r="F52" s="74"/>
      <c r="G52" s="74"/>
      <c r="H52" s="74"/>
      <c r="I52" s="74"/>
      <c r="J52" s="74"/>
      <c r="K52" s="74"/>
      <c r="L52" s="74"/>
      <c r="M52" s="75"/>
      <c r="O52" s="75"/>
      <c r="P52" s="75"/>
      <c r="Q52" s="75"/>
      <c r="R52" s="75"/>
      <c r="S52" s="75"/>
      <c r="T52" s="75"/>
      <c r="U52" s="75"/>
      <c r="V52" s="75"/>
      <c r="W52" s="75"/>
      <c r="X52" s="75"/>
      <c r="Y52" s="75"/>
      <c r="Z52" s="75"/>
      <c r="AA52" s="75"/>
    </row>
    <row r="53" spans="1:28">
      <c r="A53" s="1" t="s">
        <v>92</v>
      </c>
      <c r="B53" s="74"/>
      <c r="C53" s="74"/>
      <c r="D53" s="74"/>
      <c r="E53" s="74"/>
      <c r="F53" s="74"/>
      <c r="G53" s="74"/>
      <c r="H53" s="74"/>
      <c r="I53" s="74"/>
      <c r="J53" s="74"/>
      <c r="K53" s="74"/>
      <c r="L53" s="74"/>
      <c r="M53" s="75"/>
      <c r="O53" s="75"/>
      <c r="P53" s="75"/>
      <c r="Q53" s="75"/>
      <c r="R53" s="75"/>
      <c r="S53" s="75"/>
      <c r="V53" s="56">
        <f t="shared" ref="V53:AA53" si="34">+V31</f>
        <v>10435.092958858258</v>
      </c>
      <c r="W53" s="56">
        <f t="shared" si="34"/>
        <v>11348.645315469916</v>
      </c>
      <c r="X53" s="56">
        <f t="shared" si="34"/>
        <v>12420.376933493713</v>
      </c>
      <c r="Y53" s="56">
        <f t="shared" si="34"/>
        <v>13383.883141501756</v>
      </c>
      <c r="Z53" s="56">
        <f t="shared" si="34"/>
        <v>14087.912371473605</v>
      </c>
      <c r="AA53" s="56">
        <f t="shared" si="34"/>
        <v>15042.911532278333</v>
      </c>
    </row>
    <row r="54" spans="1:28">
      <c r="A54" s="1" t="s">
        <v>27</v>
      </c>
      <c r="B54" s="74"/>
      <c r="C54" s="74"/>
      <c r="D54" s="74"/>
      <c r="E54" s="74"/>
      <c r="F54" s="74"/>
      <c r="G54" s="74"/>
      <c r="H54" s="74"/>
      <c r="I54" s="74"/>
      <c r="J54" s="74"/>
      <c r="K54" s="74"/>
      <c r="L54" s="74"/>
      <c r="M54" s="75"/>
      <c r="O54" s="75"/>
      <c r="P54" s="75"/>
      <c r="Q54" s="75"/>
      <c r="R54" s="75"/>
      <c r="S54" s="75"/>
      <c r="V54" s="56">
        <f t="shared" ref="V54:AA54" si="35">+V23</f>
        <v>148874.69488838117</v>
      </c>
      <c r="W54" s="56">
        <f t="shared" si="35"/>
        <v>153344.92031925899</v>
      </c>
      <c r="X54" s="56">
        <f t="shared" si="35"/>
        <v>155945.95958334394</v>
      </c>
      <c r="Y54" s="56">
        <f t="shared" si="35"/>
        <v>157775.63520062677</v>
      </c>
      <c r="Z54" s="56">
        <f t="shared" si="35"/>
        <v>159049.45514197313</v>
      </c>
      <c r="AA54" s="56">
        <f t="shared" si="35"/>
        <v>159796.61152577389</v>
      </c>
    </row>
    <row r="55" spans="1:28">
      <c r="A55" s="139" t="s">
        <v>97</v>
      </c>
      <c r="B55" s="74"/>
      <c r="C55" s="74"/>
      <c r="D55" s="74"/>
      <c r="E55" s="74"/>
      <c r="F55" s="74"/>
      <c r="G55" s="74"/>
      <c r="H55" s="74"/>
      <c r="I55" s="74"/>
      <c r="J55" s="74"/>
      <c r="K55" s="74"/>
      <c r="L55" s="74"/>
      <c r="M55" s="75"/>
      <c r="O55" s="75"/>
      <c r="P55" s="75"/>
      <c r="Q55" s="75"/>
      <c r="R55" s="75"/>
      <c r="S55" s="75"/>
      <c r="T55" s="76"/>
      <c r="U55" s="76"/>
      <c r="V55" s="223">
        <f>+V53/V54</f>
        <v>7.0093127422910739E-2</v>
      </c>
      <c r="W55" s="223">
        <f t="shared" ref="W55:AA55" si="36">+W53/W54</f>
        <v>7.40073116986361E-2</v>
      </c>
      <c r="X55" s="223">
        <f t="shared" si="36"/>
        <v>7.9645391048786693E-2</v>
      </c>
      <c r="Y55" s="223">
        <f t="shared" si="36"/>
        <v>8.4828580309519092E-2</v>
      </c>
      <c r="Z55" s="223">
        <f t="shared" si="36"/>
        <v>8.8575672006535572E-2</v>
      </c>
      <c r="AA55" s="223">
        <f t="shared" si="36"/>
        <v>9.4137863053823476E-2</v>
      </c>
    </row>
    <row r="56" spans="1:28">
      <c r="A56" s="1"/>
      <c r="B56" s="74"/>
      <c r="C56" s="74"/>
      <c r="D56" s="74"/>
      <c r="E56" s="74"/>
      <c r="F56" s="74"/>
      <c r="G56" s="74"/>
      <c r="H56" s="74"/>
      <c r="I56" s="74"/>
      <c r="J56" s="74"/>
      <c r="K56" s="74"/>
      <c r="L56" s="74"/>
      <c r="M56" s="75"/>
      <c r="O56" s="75"/>
      <c r="P56" s="75"/>
      <c r="Q56" s="75"/>
      <c r="R56" s="75"/>
      <c r="S56" s="75"/>
      <c r="T56" s="77"/>
      <c r="U56" s="77"/>
      <c r="V56" s="77"/>
      <c r="W56" s="77"/>
      <c r="X56" s="77"/>
      <c r="Y56" s="77"/>
      <c r="Z56" s="77"/>
      <c r="AA56" s="77"/>
    </row>
    <row r="57" spans="1:28">
      <c r="A57" s="1" t="s">
        <v>96</v>
      </c>
      <c r="B57" s="74"/>
      <c r="C57" s="74"/>
      <c r="D57" s="74"/>
      <c r="E57" s="74"/>
      <c r="F57" s="74"/>
      <c r="G57" s="74"/>
      <c r="H57" s="74"/>
      <c r="I57" s="74"/>
      <c r="J57" s="74"/>
      <c r="K57" s="74"/>
      <c r="L57" s="74"/>
      <c r="M57" s="75"/>
      <c r="O57" s="75"/>
      <c r="P57" s="75"/>
      <c r="Q57" s="75"/>
      <c r="R57" s="75"/>
      <c r="S57" s="75"/>
      <c r="V57" s="56">
        <f>+V54</f>
        <v>148874.69488838117</v>
      </c>
      <c r="W57" s="56">
        <f t="shared" ref="W57:AA57" si="37">+W54</f>
        <v>153344.92031925899</v>
      </c>
      <c r="X57" s="56">
        <f t="shared" si="37"/>
        <v>155945.95958334394</v>
      </c>
      <c r="Y57" s="56">
        <f t="shared" si="37"/>
        <v>157775.63520062677</v>
      </c>
      <c r="Z57" s="56">
        <f t="shared" si="37"/>
        <v>159049.45514197313</v>
      </c>
      <c r="AA57" s="56">
        <f t="shared" si="37"/>
        <v>159796.61152577389</v>
      </c>
    </row>
    <row r="58" spans="1:28">
      <c r="A58" s="1" t="s">
        <v>98</v>
      </c>
      <c r="B58" s="74"/>
      <c r="C58" s="74"/>
      <c r="D58" s="74"/>
      <c r="E58" s="74"/>
      <c r="F58" s="74"/>
      <c r="G58" s="74"/>
      <c r="H58" s="74"/>
      <c r="I58" s="74"/>
      <c r="J58" s="74"/>
      <c r="K58" s="74"/>
      <c r="L58" s="74"/>
      <c r="M58" s="75"/>
      <c r="O58" s="75"/>
      <c r="P58" s="75"/>
      <c r="Q58" s="75"/>
      <c r="R58" s="75"/>
      <c r="S58" s="75"/>
      <c r="V58" s="56">
        <f t="shared" ref="V58:AA58" si="38">+V21</f>
        <v>270681.26343342027</v>
      </c>
      <c r="W58" s="56">
        <f t="shared" si="38"/>
        <v>278808.94603501633</v>
      </c>
      <c r="X58" s="56">
        <f t="shared" si="38"/>
        <v>283538.1083333526</v>
      </c>
      <c r="Y58" s="56">
        <f t="shared" si="38"/>
        <v>286864.79127386684</v>
      </c>
      <c r="Z58" s="56">
        <f t="shared" si="38"/>
        <v>289180.8275308602</v>
      </c>
      <c r="AA58" s="56">
        <f t="shared" si="38"/>
        <v>290539.29368322523</v>
      </c>
    </row>
    <row r="59" spans="1:28">
      <c r="A59" s="139" t="s">
        <v>99</v>
      </c>
      <c r="B59" s="74"/>
      <c r="C59" s="74"/>
      <c r="D59" s="74"/>
      <c r="E59" s="74"/>
      <c r="F59" s="74"/>
      <c r="G59" s="74"/>
      <c r="H59" s="74"/>
      <c r="I59" s="74"/>
      <c r="J59" s="74"/>
      <c r="K59" s="74"/>
      <c r="L59" s="74"/>
      <c r="M59" s="75"/>
      <c r="O59" s="75"/>
      <c r="P59" s="75"/>
      <c r="Q59" s="75"/>
      <c r="R59" s="75"/>
      <c r="S59" s="75"/>
      <c r="T59" s="76"/>
      <c r="U59" s="76"/>
      <c r="V59" s="223">
        <f t="shared" ref="V59" si="39">+V57/V58</f>
        <v>0.55000000000000004</v>
      </c>
      <c r="W59" s="223">
        <f t="shared" ref="W59:AA59" si="40">+W57/W58</f>
        <v>0.55000000000000004</v>
      </c>
      <c r="X59" s="223">
        <f t="shared" si="40"/>
        <v>0.55000000000000004</v>
      </c>
      <c r="Y59" s="223">
        <f t="shared" si="40"/>
        <v>0.55000000000000004</v>
      </c>
      <c r="Z59" s="223">
        <f t="shared" si="40"/>
        <v>0.55000000000000004</v>
      </c>
      <c r="AA59" s="223">
        <f t="shared" si="40"/>
        <v>0.55000000000000004</v>
      </c>
    </row>
    <row r="60" spans="1:28">
      <c r="A60" s="1"/>
      <c r="B60" s="74"/>
      <c r="C60" s="74"/>
      <c r="D60" s="74"/>
      <c r="E60" s="74"/>
      <c r="F60" s="74"/>
      <c r="G60" s="74"/>
      <c r="H60" s="74"/>
      <c r="I60" s="74"/>
      <c r="J60" s="74"/>
      <c r="K60" s="74"/>
      <c r="L60" s="74"/>
      <c r="M60" s="75"/>
      <c r="O60" s="75"/>
      <c r="P60" s="75"/>
      <c r="Q60" s="75"/>
      <c r="R60" s="75"/>
      <c r="S60" s="75"/>
      <c r="T60" s="77"/>
      <c r="U60" s="77"/>
      <c r="V60" s="77"/>
      <c r="W60" s="77"/>
      <c r="X60" s="77"/>
      <c r="Y60" s="77"/>
      <c r="Z60" s="77"/>
      <c r="AA60" s="77"/>
    </row>
    <row r="61" spans="1:28">
      <c r="A61" s="139" t="s">
        <v>100</v>
      </c>
      <c r="B61" s="74"/>
      <c r="C61" s="74"/>
      <c r="D61" s="74"/>
      <c r="E61" s="74"/>
      <c r="F61" s="74"/>
      <c r="G61" s="74"/>
      <c r="H61" s="74"/>
      <c r="I61" s="74"/>
      <c r="J61" s="74"/>
      <c r="K61" s="74"/>
      <c r="L61" s="74"/>
      <c r="M61" s="75"/>
      <c r="O61" s="75"/>
      <c r="P61" s="75"/>
      <c r="Q61" s="75"/>
      <c r="R61" s="75"/>
      <c r="S61" s="75"/>
      <c r="T61" s="75"/>
      <c r="U61" s="75"/>
      <c r="V61" s="75"/>
      <c r="W61" s="75"/>
      <c r="X61" s="75"/>
      <c r="Y61" s="75"/>
      <c r="Z61" s="75"/>
      <c r="AA61" s="75"/>
      <c r="AB61" s="190" t="s">
        <v>157</v>
      </c>
    </row>
    <row r="62" spans="1:28">
      <c r="A62" s="1" t="s">
        <v>94</v>
      </c>
      <c r="B62" s="74"/>
      <c r="C62" s="74"/>
      <c r="D62" s="74"/>
      <c r="E62" s="74"/>
      <c r="F62" s="74"/>
      <c r="G62" s="74"/>
      <c r="H62" s="74"/>
      <c r="I62" s="74"/>
      <c r="J62" s="74"/>
      <c r="K62" s="74"/>
      <c r="L62" s="74"/>
      <c r="M62" s="75"/>
      <c r="O62" s="75"/>
      <c r="P62" s="75"/>
      <c r="Q62" s="75"/>
      <c r="R62" s="75"/>
      <c r="S62" s="75"/>
      <c r="V62" s="219">
        <f t="shared" ref="V62:AA62" si="41">+V37</f>
        <v>3.2683860007414474</v>
      </c>
      <c r="W62" s="219">
        <f t="shared" si="41"/>
        <v>3.3950586310238213</v>
      </c>
      <c r="X62" s="219">
        <f t="shared" si="41"/>
        <v>3.577520745915427</v>
      </c>
      <c r="Y62" s="219">
        <f t="shared" si="41"/>
        <v>3.7452614986899389</v>
      </c>
      <c r="Z62" s="219">
        <f t="shared" si="41"/>
        <v>3.8665266021532552</v>
      </c>
      <c r="AA62" s="219">
        <f t="shared" si="41"/>
        <v>4.0465327849133805</v>
      </c>
      <c r="AB62" s="219">
        <f>AVERAGE(V62:AA62)</f>
        <v>3.6498810439062113</v>
      </c>
    </row>
    <row r="63" spans="1:28">
      <c r="A63" s="1" t="s">
        <v>23</v>
      </c>
      <c r="B63" s="74"/>
      <c r="C63" s="74"/>
      <c r="D63" s="74"/>
      <c r="E63" s="74"/>
      <c r="F63" s="74"/>
      <c r="G63" s="74"/>
      <c r="H63" s="74"/>
      <c r="I63" s="74"/>
      <c r="J63" s="74"/>
      <c r="K63" s="74"/>
      <c r="L63" s="74"/>
      <c r="M63" s="75"/>
      <c r="O63" s="75"/>
      <c r="P63" s="75"/>
      <c r="Q63" s="75"/>
      <c r="R63" s="75"/>
      <c r="S63" s="75"/>
      <c r="V63" s="219">
        <f t="shared" ref="V63:AA63" si="42">+V45</f>
        <v>1.7868117443683487</v>
      </c>
      <c r="W63" s="219">
        <f t="shared" si="42"/>
        <v>1.6977894802498488</v>
      </c>
      <c r="X63" s="219">
        <f t="shared" si="42"/>
        <v>1.6174595834562586</v>
      </c>
      <c r="Y63" s="219">
        <f t="shared" si="42"/>
        <v>1.543111778261576</v>
      </c>
      <c r="Z63" s="219">
        <f t="shared" si="42"/>
        <v>1.4856892807418625</v>
      </c>
      <c r="AA63" s="219">
        <f t="shared" si="42"/>
        <v>1.4100102190926564</v>
      </c>
      <c r="AB63" s="219">
        <f t="shared" ref="AB63:AB66" si="43">AVERAGE(V63:AA63)</f>
        <v>1.5901453476950917</v>
      </c>
    </row>
    <row r="64" spans="1:28">
      <c r="A64" s="1" t="s">
        <v>268</v>
      </c>
      <c r="B64" s="74"/>
      <c r="C64" s="74"/>
      <c r="D64" s="74"/>
      <c r="E64" s="74"/>
      <c r="F64" s="74"/>
      <c r="G64" s="74"/>
      <c r="H64" s="74"/>
      <c r="I64" s="74"/>
      <c r="J64" s="74"/>
      <c r="K64" s="74"/>
      <c r="L64" s="74"/>
      <c r="M64" s="75"/>
      <c r="O64" s="75"/>
      <c r="P64" s="75"/>
      <c r="Q64" s="75"/>
      <c r="R64" s="75"/>
      <c r="S64" s="75"/>
      <c r="V64" s="219">
        <f>+V51</f>
        <v>2.9978374768152625</v>
      </c>
      <c r="W64" s="219">
        <f t="shared" ref="W64:AA64" si="44">+W51</f>
        <v>2.9213395892739764</v>
      </c>
      <c r="X64" s="219">
        <f t="shared" si="44"/>
        <v>2.8444129620895722</v>
      </c>
      <c r="Y64" s="219">
        <f t="shared" si="44"/>
        <v>2.773043011421493</v>
      </c>
      <c r="Z64" s="219">
        <f t="shared" si="44"/>
        <v>2.7171309526913734</v>
      </c>
      <c r="AA64" s="219">
        <f t="shared" si="44"/>
        <v>2.644086399609725</v>
      </c>
      <c r="AB64" s="219">
        <f t="shared" si="43"/>
        <v>2.816308398650234</v>
      </c>
    </row>
    <row r="65" spans="1:34">
      <c r="A65" s="1" t="s">
        <v>97</v>
      </c>
      <c r="B65" s="74"/>
      <c r="C65" s="74"/>
      <c r="D65" s="74"/>
      <c r="E65" s="74"/>
      <c r="F65" s="74"/>
      <c r="G65" s="74"/>
      <c r="H65" s="74"/>
      <c r="I65" s="74"/>
      <c r="J65" s="74"/>
      <c r="K65" s="74"/>
      <c r="L65" s="74"/>
      <c r="M65" s="75"/>
      <c r="O65" s="75"/>
      <c r="P65" s="75"/>
      <c r="Q65" s="75"/>
      <c r="R65" s="75"/>
      <c r="S65" s="75"/>
      <c r="T65" s="76"/>
      <c r="U65" s="76"/>
      <c r="V65" s="224">
        <f t="shared" ref="V65:AA65" si="45">+V55</f>
        <v>7.0093127422910739E-2</v>
      </c>
      <c r="W65" s="224">
        <f t="shared" si="45"/>
        <v>7.40073116986361E-2</v>
      </c>
      <c r="X65" s="224">
        <f t="shared" si="45"/>
        <v>7.9645391048786693E-2</v>
      </c>
      <c r="Y65" s="224">
        <f t="shared" si="45"/>
        <v>8.4828580309519092E-2</v>
      </c>
      <c r="Z65" s="224">
        <f t="shared" si="45"/>
        <v>8.8575672006535572E-2</v>
      </c>
      <c r="AA65" s="224">
        <f t="shared" si="45"/>
        <v>9.4137863053823476E-2</v>
      </c>
      <c r="AB65" s="224">
        <f t="shared" si="43"/>
        <v>8.1881324256701957E-2</v>
      </c>
    </row>
    <row r="66" spans="1:34">
      <c r="A66" s="1" t="s">
        <v>99</v>
      </c>
      <c r="B66" s="74"/>
      <c r="C66" s="74"/>
      <c r="D66" s="74"/>
      <c r="E66" s="74"/>
      <c r="F66" s="74"/>
      <c r="G66" s="74"/>
      <c r="H66" s="74"/>
      <c r="I66" s="74"/>
      <c r="J66" s="74"/>
      <c r="K66" s="74"/>
      <c r="L66" s="74"/>
      <c r="M66" s="75"/>
      <c r="O66" s="75"/>
      <c r="P66" s="75"/>
      <c r="Q66" s="75"/>
      <c r="R66" s="75"/>
      <c r="S66" s="75"/>
      <c r="T66" s="76"/>
      <c r="U66" s="76"/>
      <c r="V66" s="224">
        <f t="shared" ref="V66:AA66" si="46">+V59</f>
        <v>0.55000000000000004</v>
      </c>
      <c r="W66" s="224">
        <f t="shared" si="46"/>
        <v>0.55000000000000004</v>
      </c>
      <c r="X66" s="224">
        <f t="shared" si="46"/>
        <v>0.55000000000000004</v>
      </c>
      <c r="Y66" s="224">
        <f t="shared" si="46"/>
        <v>0.55000000000000004</v>
      </c>
      <c r="Z66" s="224">
        <f t="shared" si="46"/>
        <v>0.55000000000000004</v>
      </c>
      <c r="AA66" s="224">
        <f t="shared" si="46"/>
        <v>0.55000000000000004</v>
      </c>
      <c r="AB66" s="224">
        <f t="shared" si="43"/>
        <v>0.54999999999999993</v>
      </c>
    </row>
    <row r="68" spans="1:34">
      <c r="AH68" s="19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Inputs</vt:lpstr>
      <vt:lpstr>DAV Inputs</vt:lpstr>
      <vt:lpstr>CRI GD14</vt:lpstr>
      <vt:lpstr>CRI GD17</vt:lpstr>
      <vt:lpstr>DAV Pi</vt:lpstr>
      <vt:lpstr>Pi's Calc</vt:lpstr>
      <vt:lpstr>UR Tax Calculation</vt:lpstr>
      <vt:lpstr>Financeability</vt:lpstr>
      <vt:lpstr>DP &amp; DV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Alan</dc:creator>
  <cp:lastModifiedBy>Alan Craig</cp:lastModifiedBy>
  <dcterms:created xsi:type="dcterms:W3CDTF">2021-11-25T17:13:33Z</dcterms:created>
  <dcterms:modified xsi:type="dcterms:W3CDTF">2022-03-09T10:46:07Z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