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160" windowHeight="5450" tabRatio="674"/>
  </bookViews>
  <sheets>
    <sheet name="Title" sheetId="61" r:id="rId1"/>
    <sheet name="Inputs" sheetId="55" r:id="rId2"/>
    <sheet name="DAV Inputs" sheetId="59" r:id="rId3"/>
    <sheet name="CRI GD14" sheetId="63" r:id="rId4"/>
    <sheet name="CRI GD17" sheetId="62" r:id="rId5"/>
    <sheet name="DAV Pi" sheetId="38" r:id="rId6"/>
    <sheet name="Pi's Calc" sheetId="41" r:id="rId7"/>
    <sheet name="UR Tax Calculation" sheetId="57" r:id="rId8"/>
    <sheet name="Financeability" sheetId="56" r:id="rId9"/>
    <sheet name="DP &amp; DV" sheetId="6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hom1" localSheetId="3" hidden="1">{#N/A,#N/A,FALSE,"Assessment";#N/A,#N/A,FALSE,"Staffing";#N/A,#N/A,FALSE,"Hires";#N/A,#N/A,FALSE,"Assumptions"}</definedName>
    <definedName name="________hom1" hidden="1">{#N/A,#N/A,FALSE,"Assessment";#N/A,#N/A,FALSE,"Staffing";#N/A,#N/A,FALSE,"Hires";#N/A,#N/A,FALSE,"Assumptions"}</definedName>
    <definedName name="________k1" localSheetId="3" hidden="1">{#N/A,#N/A,FALSE,"Assessment";#N/A,#N/A,FALSE,"Staffing";#N/A,#N/A,FALSE,"Hires";#N/A,#N/A,FALSE,"Assumptions"}</definedName>
    <definedName name="________k1" hidden="1">{#N/A,#N/A,FALSE,"Assessment";#N/A,#N/A,FALSE,"Staffing";#N/A,#N/A,FALSE,"Hires";#N/A,#N/A,FALSE,"Assumptions"}</definedName>
    <definedName name="________kk1" localSheetId="3" hidden="1">{#N/A,#N/A,FALSE,"Assessment";#N/A,#N/A,FALSE,"Staffing";#N/A,#N/A,FALSE,"Hires";#N/A,#N/A,FALSE,"Assumptions"}</definedName>
    <definedName name="________kk1" hidden="1">{#N/A,#N/A,FALSE,"Assessment";#N/A,#N/A,FALSE,"Staffing";#N/A,#N/A,FALSE,"Hires";#N/A,#N/A,FALSE,"Assumptions"}</definedName>
    <definedName name="________KKK1" localSheetId="3" hidden="1">{#N/A,#N/A,FALSE,"Assessment";#N/A,#N/A,FALSE,"Staffing";#N/A,#N/A,FALSE,"Hires";#N/A,#N/A,FALSE,"Assumptions"}</definedName>
    <definedName name="________KKK1" hidden="1">{#N/A,#N/A,FALSE,"Assessment";#N/A,#N/A,FALSE,"Staffing";#N/A,#N/A,FALSE,"Hires";#N/A,#N/A,FALSE,"Assumptions"}</definedName>
    <definedName name="________w2" localSheetId="3" hidden="1">{"Model Summary",#N/A,FALSE,"Print Chart";"Holdco",#N/A,FALSE,"Print Chart";"Genco",#N/A,FALSE,"Print Chart";"Servco",#N/A,FALSE,"Print Chart";"Genco_Detail",#N/A,FALSE,"Summary Financials";"Servco_Detail",#N/A,FALSE,"Summary Financials"}</definedName>
    <definedName name="________w2" hidden="1">{"Model Summary",#N/A,FALSE,"Print Chart";"Holdco",#N/A,FALSE,"Print Chart";"Genco",#N/A,FALSE,"Print Chart";"Servco",#N/A,FALSE,"Print Chart";"Genco_Detail",#N/A,FALSE,"Summary Financials";"Servco_Detail",#N/A,FALSE,"Summary Financials"}</definedName>
    <definedName name="________wr6" localSheetId="3"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localSheetId="3" hidden="1">{"holdco",#N/A,FALSE,"Summary Financials";"holdco",#N/A,FALSE,"Summary Financials"}</definedName>
    <definedName name="________wr9" hidden="1">{"holdco",#N/A,FALSE,"Summary Financials";"holdco",#N/A,FALSE,"Summary Financials"}</definedName>
    <definedName name="________wrn1" localSheetId="3" hidden="1">{"holdco",#N/A,FALSE,"Summary Financials";"holdco",#N/A,FALSE,"Summary Financials"}</definedName>
    <definedName name="________wrn1" hidden="1">{"holdco",#N/A,FALSE,"Summary Financials";"holdco",#N/A,FALSE,"Summary Financials"}</definedName>
    <definedName name="________wrn2" localSheetId="3" hidden="1">{"holdco",#N/A,FALSE,"Summary Financials";"holdco",#N/A,FALSE,"Summary Financials"}</definedName>
    <definedName name="________wrn2" hidden="1">{"holdco",#N/A,FALSE,"Summary Financials";"holdco",#N/A,FALSE,"Summary Financials"}</definedName>
    <definedName name="________wrn3" localSheetId="3" hidden="1">{"holdco",#N/A,FALSE,"Summary Financials";"holdco",#N/A,FALSE,"Summary Financials"}</definedName>
    <definedName name="________wrn3" hidden="1">{"holdco",#N/A,FALSE,"Summary Financials";"holdco",#N/A,FALSE,"Summary Financials"}</definedName>
    <definedName name="________wrn7" localSheetId="3" hidden="1">{"Model Summary",#N/A,FALSE,"Print Chart";"Holdco",#N/A,FALSE,"Print Chart";"Genco",#N/A,FALSE,"Print Chart";"Servco",#N/A,FALSE,"Print Chart";"Genco_Detail",#N/A,FALSE,"Summary Financials";"Servco_Detail",#N/A,FALSE,"Summary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localSheetId="3" hidden="1">{"holdco",#N/A,FALSE,"Summary Financials";"holdco",#N/A,FALSE,"Summary Financials"}</definedName>
    <definedName name="________wrn8" hidden="1">{"holdco",#N/A,FALSE,"Summary Financials";"holdco",#N/A,FALSE,"Summary Financials"}</definedName>
    <definedName name="_______bb2" localSheetId="3" hidden="1">{#N/A,#N/A,FALSE,"PRJCTED MNTHLY QTY's"}</definedName>
    <definedName name="_______bb2" hidden="1">{#N/A,#N/A,FALSE,"PRJCTED MNTHLY QTY's"}</definedName>
    <definedName name="_______Lee5" localSheetId="3" hidden="1">{#VALUE!,#N/A,FALSE,0}</definedName>
    <definedName name="_______Lee5" hidden="1">{#VALUE!,#N/A,FALSE,0}</definedName>
    <definedName name="______hom1" localSheetId="3" hidden="1">{#N/A,#N/A,FALSE,"Assessment";#N/A,#N/A,FALSE,"Staffing";#N/A,#N/A,FALSE,"Hires";#N/A,#N/A,FALSE,"Assumptions"}</definedName>
    <definedName name="______hom1" hidden="1">{#N/A,#N/A,FALSE,"Assessment";#N/A,#N/A,FALSE,"Staffing";#N/A,#N/A,FALSE,"Hires";#N/A,#N/A,FALSE,"Assumptions"}</definedName>
    <definedName name="______k1" localSheetId="3" hidden="1">{#N/A,#N/A,FALSE,"Assessment";#N/A,#N/A,FALSE,"Staffing";#N/A,#N/A,FALSE,"Hires";#N/A,#N/A,FALSE,"Assumptions"}</definedName>
    <definedName name="______k1" hidden="1">{#N/A,#N/A,FALSE,"Assessment";#N/A,#N/A,FALSE,"Staffing";#N/A,#N/A,FALSE,"Hires";#N/A,#N/A,FALSE,"Assumptions"}</definedName>
    <definedName name="______kk1" localSheetId="3" hidden="1">{#N/A,#N/A,FALSE,"Assessment";#N/A,#N/A,FALSE,"Staffing";#N/A,#N/A,FALSE,"Hires";#N/A,#N/A,FALSE,"Assumptions"}</definedName>
    <definedName name="______kk1" hidden="1">{#N/A,#N/A,FALSE,"Assessment";#N/A,#N/A,FALSE,"Staffing";#N/A,#N/A,FALSE,"Hires";#N/A,#N/A,FALSE,"Assumptions"}</definedName>
    <definedName name="______KKK1" localSheetId="3" hidden="1">{#N/A,#N/A,FALSE,"Assessment";#N/A,#N/A,FALSE,"Staffing";#N/A,#N/A,FALSE,"Hires";#N/A,#N/A,FALSE,"Assumptions"}</definedName>
    <definedName name="______KKK1" hidden="1">{#N/A,#N/A,FALSE,"Assessment";#N/A,#N/A,FALSE,"Staffing";#N/A,#N/A,FALSE,"Hires";#N/A,#N/A,FALSE,"Assumptions"}</definedName>
    <definedName name="______New1" hidden="1">{#N/A,#N/A,FALSE,"Aging Summary";#N/A,#N/A,FALSE,"Ratio Analysis";#N/A,#N/A,FALSE,"Test 120 Day Accts";#N/A,#N/A,FALSE,"Tickmarks"}</definedName>
    <definedName name="______w2" localSheetId="3" hidden="1">{"Model Summary",#N/A,FALSE,"Print Chart";"Holdco",#N/A,FALSE,"Print Chart";"Genco",#N/A,FALSE,"Print Chart";"Servco",#N/A,FALSE,"Print Chart";"Genco_Detail",#N/A,FALSE,"Summary Financials";"Servco_Detail",#N/A,FALSE,"Summary Financials"}</definedName>
    <definedName name="______w2" hidden="1">{"Model Summary",#N/A,FALSE,"Print Chart";"Holdco",#N/A,FALSE,"Print Chart";"Genco",#N/A,FALSE,"Print Chart";"Servco",#N/A,FALSE,"Print Chart";"Genco_Detail",#N/A,FALSE,"Summary Financials";"Servco_Detail",#N/A,FALSE,"Summary Financials"}</definedName>
    <definedName name="______wr6" localSheetId="3"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localSheetId="3" hidden="1">{"holdco",#N/A,FALSE,"Summary Financials";"holdco",#N/A,FALSE,"Summary Financials"}</definedName>
    <definedName name="______wr9" hidden="1">{"holdco",#N/A,FALSE,"Summary Financials";"holdco",#N/A,FALSE,"Summary Financials"}</definedName>
    <definedName name="______wrn1" localSheetId="3" hidden="1">{"holdco",#N/A,FALSE,"Summary Financials";"holdco",#N/A,FALSE,"Summary Financials"}</definedName>
    <definedName name="______wrn1" hidden="1">{"holdco",#N/A,FALSE,"Summary Financials";"holdco",#N/A,FALSE,"Summary Financials"}</definedName>
    <definedName name="______wrn2" localSheetId="3" hidden="1">{"holdco",#N/A,FALSE,"Summary Financials";"holdco",#N/A,FALSE,"Summary Financials"}</definedName>
    <definedName name="______wrn2" hidden="1">{"holdco",#N/A,FALSE,"Summary Financials";"holdco",#N/A,FALSE,"Summary Financials"}</definedName>
    <definedName name="______wrn3" localSheetId="3" hidden="1">{"holdco",#N/A,FALSE,"Summary Financials";"holdco",#N/A,FALSE,"Summary Financials"}</definedName>
    <definedName name="______wrn3" hidden="1">{"holdco",#N/A,FALSE,"Summary Financials";"holdco",#N/A,FALSE,"Summary Financials"}</definedName>
    <definedName name="______wrn7" localSheetId="3" hidden="1">{"Model Summary",#N/A,FALSE,"Print Chart";"Holdco",#N/A,FALSE,"Print Chart";"Genco",#N/A,FALSE,"Print Chart";"Servco",#N/A,FALSE,"Print Chart";"Genco_Detail",#N/A,FALSE,"Summary Financials";"Servco_Detail",#N/A,FALSE,"Summary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localSheetId="3" hidden="1">{"holdco",#N/A,FALSE,"Summary Financials";"holdco",#N/A,FALSE,"Summary Financials"}</definedName>
    <definedName name="______wrn8" hidden="1">{"holdco",#N/A,FALSE,"Summary Financials";"holdco",#N/A,FALSE,"Summary Financials"}</definedName>
    <definedName name="_____KKK1" localSheetId="3" hidden="1">{#N/A,#N/A,FALSE,"Assessment";#N/A,#N/A,FALSE,"Staffing";#N/A,#N/A,FALSE,"Hires";#N/A,#N/A,FALSE,"Assumptions"}</definedName>
    <definedName name="_____KKK1" hidden="1">{#N/A,#N/A,FALSE,"Assessment";#N/A,#N/A,FALSE,"Staffing";#N/A,#N/A,FALSE,"Hires";#N/A,#N/A,FALSE,"Assumptions"}</definedName>
    <definedName name="_____New1" hidden="1">{#N/A,#N/A,FALSE,"Aging Summary";#N/A,#N/A,FALSE,"Ratio Analysis";#N/A,#N/A,FALSE,"Test 120 Day Accts";#N/A,#N/A,FALSE,"Tickmarks"}</definedName>
    <definedName name="_____wrn1" localSheetId="3" hidden="1">{"holdco",#N/A,FALSE,"Summary Financials";"holdco",#N/A,FALSE,"Summary Financials"}</definedName>
    <definedName name="_____wrn1" hidden="1">{"holdco",#N/A,FALSE,"Summary Financials";"holdco",#N/A,FALSE,"Summary Financials"}</definedName>
    <definedName name="_____wrn2" localSheetId="3" hidden="1">{"holdco",#N/A,FALSE,"Summary Financials";"holdco",#N/A,FALSE,"Summary Financials"}</definedName>
    <definedName name="_____wrn2" hidden="1">{"holdco",#N/A,FALSE,"Summary Financials";"holdco",#N/A,FALSE,"Summary Financials"}</definedName>
    <definedName name="_____wrn3" localSheetId="3" hidden="1">{"holdco",#N/A,FALSE,"Summary Financials";"holdco",#N/A,FALSE,"Summary Financials"}</definedName>
    <definedName name="_____wrn3" hidden="1">{"holdco",#N/A,FALSE,"Summary Financials";"holdco",#N/A,FALSE,"Summary Financials"}</definedName>
    <definedName name="_____wrn7" localSheetId="3" hidden="1">{"Model Summary",#N/A,FALSE,"Print Chart";"Holdco",#N/A,FALSE,"Print Chart";"Genco",#N/A,FALSE,"Print Chart";"Servco",#N/A,FALSE,"Print Chart";"Genco_Detail",#N/A,FALSE,"Summary Financials";"Servco_Detail",#N/A,FALSE,"Summary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localSheetId="3" hidden="1">{"holdco",#N/A,FALSE,"Summary Financials";"holdco",#N/A,FALSE,"Summary Financials"}</definedName>
    <definedName name="_____wrn8" hidden="1">{"holdco",#N/A,FALSE,"Summary Financials";"holdco",#N/A,FALSE,"Summary Financials"}</definedName>
    <definedName name="____New1" hidden="1">{#N/A,#N/A,FALSE,"Aging Summary";#N/A,#N/A,FALSE,"Ratio Analysis";#N/A,#N/A,FALSE,"Test 120 Day Accts";#N/A,#N/A,FALSE,"Tickmarks"}</definedName>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 hidden="1">'[5]Universal data'!#REF!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 hidden="1">'[5]Universal data'!#REF!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 hidden="1">'[5]Universal data'!#REF!</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_FDS_HYPERLINK_TOGGLE_STATE__" hidden="1">"ON"</definedName>
    <definedName name="__hom1" localSheetId="3" hidden="1">{#N/A,#N/A,FALSE,"Assessment";#N/A,#N/A,FALSE,"Staffing";#N/A,#N/A,FALSE,"Hires";#N/A,#N/A,FALSE,"Assumptions"}</definedName>
    <definedName name="__hom1" hidden="1">{#N/A,#N/A,FALSE,"Assessment";#N/A,#N/A,FALSE,"Staffing";#N/A,#N/A,FALSE,"Hires";#N/A,#N/A,FALSE,"Assumptions"}</definedName>
    <definedName name="__IntlFixup" hidden="1">TRUE</definedName>
    <definedName name="__kk1" localSheetId="3" hidden="1">{#N/A,#N/A,FALSE,"Assessment";#N/A,#N/A,FALSE,"Staffing";#N/A,#N/A,FALSE,"Hires";#N/A,#N/A,FALSE,"Assumptions"}</definedName>
    <definedName name="__kk1" hidden="1">{#N/A,#N/A,FALSE,"Assessment";#N/A,#N/A,FALSE,"Staffing";#N/A,#N/A,FALSE,"Hires";#N/A,#N/A,FALSE,"Assumptions"}</definedName>
    <definedName name="__KKK1" localSheetId="3" hidden="1">{#N/A,#N/A,FALSE,"Assessment";#N/A,#N/A,FALSE,"Staffing";#N/A,#N/A,FALSE,"Hires";#N/A,#N/A,FALSE,"Assumptions"}</definedName>
    <definedName name="__KKK1" hidden="1">{#N/A,#N/A,FALSE,"Assessment";#N/A,#N/A,FALSE,"Staffing";#N/A,#N/A,FALSE,"Hires";#N/A,#N/A,FALSE,"Assumptions"}</definedName>
    <definedName name="__New1" hidden="1">{#N/A,#N/A,FALSE,"Aging Summary";#N/A,#N/A,FALSE,"Ratio Analysis";#N/A,#N/A,FALSE,"Test 120 Day Accts";#N/A,#N/A,FALSE,"Tickmarks"}</definedName>
    <definedName name="__wrn1" localSheetId="3" hidden="1">{"holdco",#N/A,FALSE,"Summary Financials";"holdco",#N/A,FALSE,"Summary Financials"}</definedName>
    <definedName name="__wrn1" hidden="1">{"holdco",#N/A,FALSE,"Summary Financials";"holdco",#N/A,FALSE,"Summary Financials"}</definedName>
    <definedName name="__wrn2" localSheetId="3" hidden="1">{"holdco",#N/A,FALSE,"Summary Financials";"holdco",#N/A,FALSE,"Summary Financials"}</definedName>
    <definedName name="__wrn2" hidden="1">{"holdco",#N/A,FALSE,"Summary Financials";"holdco",#N/A,FALSE,"Summary Financials"}</definedName>
    <definedName name="__wrn3" localSheetId="3" hidden="1">{"holdco",#N/A,FALSE,"Summary Financials";"holdco",#N/A,FALSE,"Summary Financials"}</definedName>
    <definedName name="__wrn3" hidden="1">{"holdco",#N/A,FALSE,"Summary Financials";"holdco",#N/A,FALSE,"Summary Financials"}</definedName>
    <definedName name="__wrn7" localSheetId="3" hidden="1">{"Model Summary",#N/A,FALSE,"Print Chart";"Holdco",#N/A,FALSE,"Print Chart";"Genco",#N/A,FALSE,"Print Chart";"Servco",#N/A,FALSE,"Print Chart";"Genco_Detail",#N/A,FALSE,"Summary Financials";"Servco_Detail",#N/A,FALSE,"Summary Financials"}</definedName>
    <definedName name="__wrn7" hidden="1">{"Model Summary",#N/A,FALSE,"Print Chart";"Holdco",#N/A,FALSE,"Print Chart";"Genco",#N/A,FALSE,"Print Chart";"Servco",#N/A,FALSE,"Print Chart";"Genco_Detail",#N/A,FALSE,"Summary Financials";"Servco_Detail",#N/A,FALSE,"Summary Financials"}</definedName>
    <definedName name="__wrn8" localSheetId="3" hidden="1">{"holdco",#N/A,FALSE,"Summary Financials";"holdco",#N/A,FALSE,"Summary Financials"}</definedName>
    <definedName name="__wrn8" hidden="1">{"holdco",#N/A,FALSE,"Summary Financials";"holdco",#N/A,FALSE,"Summary Financials"}</definedName>
    <definedName name="_139__123Graph_LBL_DCHART_3" hidden="1">[6]Graphs!$D$59:$D$59</definedName>
    <definedName name="_142__123Graph_LBL_FCHART_1" hidden="1">[6]Graphs!$G$59:$G$59</definedName>
    <definedName name="_143__123Graph_LBL_FCHART_3" hidden="1">[6]Graphs!$G$59:$G$59</definedName>
    <definedName name="_2012_to_2014">'[7]Standing data'!$B$11</definedName>
    <definedName name="_33__123Graph_LBL_ECHART_3" hidden="1">[6]Graphs!$F$59:$F$59</definedName>
    <definedName name="_34__123Graph_LBL_FCHART_1" hidden="1">[6]Graphs!$G$59:$G$59</definedName>
    <definedName name="_35__123Graph_LBL_FCHART_3" hidden="1">[6]Graphs!$G$59:$G$59</definedName>
    <definedName name="_49__123Graph_LBL_FCHART_1" hidden="1">[6]Graphs!$G$59:$G$59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74c272ed8194bd9bec2d224f63a3bb8.edm" hidden="1">#REF!</definedName>
    <definedName name="_Fill" localSheetId="3" hidden="1">#REF!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New1" hidden="1">{#N/A,#N/A,FALSE,"Aging Summary";#N/A,#N/A,FALSE,"Ratio Analysis";#N/A,#N/A,FALSE,"Test 120 Day Accts";#N/A,#N/A,FALSE,"Tickmarks"}</definedName>
    <definedName name="_Order1" hidden="1">255</definedName>
    <definedName name="_Order2" hidden="1">0</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a" hidden="1">{#N/A,#N/A,FALSE,"Aging Summary";#N/A,#N/A,FALSE,"Ratio Analysis";#N/A,#N/A,FALSE,"Test 120 Day Accts";#N/A,#N/A,FALSE,"Tickmarks"}</definedName>
    <definedName name="aaa" hidden="1">{#N/A,#N/A,FALSE,"Aging Summary";#N/A,#N/A,FALSE,"Ratio Analysis";#N/A,#N/A,FALSE,"Test 120 Day Accts";#N/A,#N/A,FALSE,"Tickmarks"}</definedName>
    <definedName name="AAA_duser" hidden="1">"OFF"</definedName>
    <definedName name="AAB_GSPPG" hidden="1">"AAB_Goldman Sachs PPG Chart Utilities 1.0g"</definedName>
    <definedName name="AB" hidden="1">{#N/A,#N/A,FALSE,"Aging Summary";#N/A,#N/A,FALSE,"Ratio Analysis";#N/A,#N/A,FALSE,"Test 120 Day Accts";#N/A,#N/A,FALSE,"Tickmarks"}</definedName>
    <definedName name="abc" hidden="1">{"key inputs",#N/A,TRUE,"Key Inputs";"key outputs",#N/A,TRUE,"Outputs";"Other inputs",#N/A,TRUE,"Other Inputs";"Revenue",#N/A,TRUE,"Rev"}</definedName>
    <definedName name="abcd" hidden="1">{#N/A,#N/A,FALSE,"Aging Summary";#N/A,#N/A,FALSE,"Ratio Analysis";#N/A,#N/A,FALSE,"Test 120 Day Accts";#N/A,#N/A,FALSE,"Tickmarks"}</definedName>
    <definedName name="AccessDatabase" hidden="1">"C:\DATA\KEVIN\MODELS\Model 0218.mdb"</definedName>
    <definedName name="ACwvu.CapersView." hidden="1">[8]Sheet1!#REF!</definedName>
    <definedName name="ACwvu.Japan_Capers_Ed_Pub." localSheetId="3" hidden="1">#REF!</definedName>
    <definedName name="ACwvu.Japan_Capers_Ed_Pub." hidden="1">#REF!</definedName>
    <definedName name="ACwvu.KJP_CC." localSheetId="3" hidden="1">#REF!</definedName>
    <definedName name="ACwvu.KJP_CC." hidden="1">#REF!</definedName>
    <definedName name="anscount" hidden="1">1</definedName>
    <definedName name="AS2DocOpenMode" hidden="1">"AS2DocumentEdit"</definedName>
    <definedName name="asd" hidden="1">{"key inputs",#N/A,FALSE,"Key Inputs";"key outputs",#N/A,FALSE,"Outputs";"Other inputs",#N/A,FALSE,"Other Inputs";"cashflow",#N/A,FALSE,"Statemnts"}</definedName>
    <definedName name="asdas" localSheetId="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ExEZ4HBCC06708765M8A06KCR7P" hidden="1">#N/A</definedName>
    <definedName name="BLPH1" hidden="1">'[9]4.6 ten year bonds'!$A$4</definedName>
    <definedName name="BLPH10" localSheetId="3" hidden="1">#REF!</definedName>
    <definedName name="BLPH10" hidden="1">#REF!</definedName>
    <definedName name="BLPH100" localSheetId="3" hidden="1">#REF!</definedName>
    <definedName name="BLPH100" hidden="1">#REF!</definedName>
    <definedName name="BLPH101" localSheetId="3" hidden="1">#REF!</definedName>
    <definedName name="BLPH101" hidden="1">#REF!</definedName>
    <definedName name="BLPH102" localSheetId="3" hidden="1">#REF!</definedName>
    <definedName name="BLPH102" hidden="1">#REF!</definedName>
    <definedName name="BLPH103" localSheetId="3" hidden="1">#REF!</definedName>
    <definedName name="BLPH103" hidden="1">#REF!</definedName>
    <definedName name="BLPH104" localSheetId="3" hidden="1">#REF!</definedName>
    <definedName name="BLPH104" hidden="1">#REF!</definedName>
    <definedName name="BLPH105" localSheetId="3" hidden="1">#REF!</definedName>
    <definedName name="BLPH105" hidden="1">#REF!</definedName>
    <definedName name="BLPH106" localSheetId="3" hidden="1">#REF!</definedName>
    <definedName name="BLPH106" hidden="1">#REF!</definedName>
    <definedName name="BLPH107" localSheetId="3" hidden="1">#REF!</definedName>
    <definedName name="BLPH107" hidden="1">#REF!</definedName>
    <definedName name="BLPH108" localSheetId="3" hidden="1">#REF!</definedName>
    <definedName name="BLPH108" hidden="1">#REF!</definedName>
    <definedName name="BLPH109" localSheetId="3" hidden="1">#REF!</definedName>
    <definedName name="BLPH109" hidden="1">#REF!</definedName>
    <definedName name="BLPH11" localSheetId="3" hidden="1">#REF!</definedName>
    <definedName name="BLPH11" hidden="1">#REF!</definedName>
    <definedName name="BLPH110" localSheetId="3" hidden="1">#REF!</definedName>
    <definedName name="BLPH110" hidden="1">#REF!</definedName>
    <definedName name="BLPH111" localSheetId="3" hidden="1">#REF!</definedName>
    <definedName name="BLPH111" hidden="1">#REF!</definedName>
    <definedName name="BLPH112" localSheetId="3" hidden="1">#REF!</definedName>
    <definedName name="BLPH112" hidden="1">#REF!</definedName>
    <definedName name="BLPH113" localSheetId="3" hidden="1">#REF!</definedName>
    <definedName name="BLPH113" hidden="1">#REF!</definedName>
    <definedName name="BLPH114" localSheetId="3" hidden="1">#REF!</definedName>
    <definedName name="BLPH114" hidden="1">#REF!</definedName>
    <definedName name="BLPH115" localSheetId="3" hidden="1">#REF!</definedName>
    <definedName name="BLPH115" hidden="1">#REF!</definedName>
    <definedName name="BLPH116" localSheetId="3" hidden="1">#REF!</definedName>
    <definedName name="BLPH116" hidden="1">#REF!</definedName>
    <definedName name="BLPH117" localSheetId="3" hidden="1">#REF!</definedName>
    <definedName name="BLPH117" hidden="1">#REF!</definedName>
    <definedName name="BLPH118" localSheetId="3" hidden="1">#REF!</definedName>
    <definedName name="BLPH118" hidden="1">#REF!</definedName>
    <definedName name="BLPH119" localSheetId="3" hidden="1">#REF!</definedName>
    <definedName name="BLPH119" hidden="1">#REF!</definedName>
    <definedName name="BLPH12" localSheetId="3" hidden="1">#REF!</definedName>
    <definedName name="BLPH12" hidden="1">#REF!</definedName>
    <definedName name="BLPH120" localSheetId="3" hidden="1">#REF!</definedName>
    <definedName name="BLPH120" hidden="1">#REF!</definedName>
    <definedName name="BLPH121" localSheetId="3" hidden="1">#REF!</definedName>
    <definedName name="BLPH121" hidden="1">#REF!</definedName>
    <definedName name="BLPH122" localSheetId="3" hidden="1">#REF!</definedName>
    <definedName name="BLPH122" hidden="1">#REF!</definedName>
    <definedName name="BLPH123" localSheetId="3" hidden="1">#REF!</definedName>
    <definedName name="BLPH123" hidden="1">#REF!</definedName>
    <definedName name="BLPH124" localSheetId="3" hidden="1">#REF!</definedName>
    <definedName name="BLPH124" hidden="1">#REF!</definedName>
    <definedName name="BLPH125" localSheetId="3" hidden="1">#REF!</definedName>
    <definedName name="BLPH125" hidden="1">#REF!</definedName>
    <definedName name="BLPH126" localSheetId="3" hidden="1">#REF!</definedName>
    <definedName name="BLPH126" hidden="1">#REF!</definedName>
    <definedName name="BLPH127" localSheetId="3" hidden="1">#REF!</definedName>
    <definedName name="BLPH127" hidden="1">#REF!</definedName>
    <definedName name="BLPH128" localSheetId="3" hidden="1">#REF!</definedName>
    <definedName name="BLPH128" hidden="1">#REF!</definedName>
    <definedName name="BLPH129" localSheetId="3" hidden="1">#REF!</definedName>
    <definedName name="BLPH129" hidden="1">#REF!</definedName>
    <definedName name="BLPH13" localSheetId="3" hidden="1">#REF!</definedName>
    <definedName name="BLPH13" hidden="1">#REF!</definedName>
    <definedName name="BLPH130" localSheetId="3" hidden="1">#REF!</definedName>
    <definedName name="BLPH130" hidden="1">#REF!</definedName>
    <definedName name="BLPH131" localSheetId="3" hidden="1">#REF!</definedName>
    <definedName name="BLPH131" hidden="1">#REF!</definedName>
    <definedName name="BLPH132" localSheetId="3" hidden="1">#REF!</definedName>
    <definedName name="BLPH132" hidden="1">#REF!</definedName>
    <definedName name="BLPH133" localSheetId="3" hidden="1">#REF!</definedName>
    <definedName name="BLPH133" hidden="1">#REF!</definedName>
    <definedName name="BLPH134" localSheetId="3" hidden="1">#REF!</definedName>
    <definedName name="BLPH134" hidden="1">#REF!</definedName>
    <definedName name="BLPH135" localSheetId="3" hidden="1">#REF!</definedName>
    <definedName name="BLPH135" hidden="1">#REF!</definedName>
    <definedName name="BLPH136" localSheetId="3" hidden="1">#REF!</definedName>
    <definedName name="BLPH136" hidden="1">#REF!</definedName>
    <definedName name="BLPH137" localSheetId="3" hidden="1">#REF!</definedName>
    <definedName name="BLPH137" hidden="1">#REF!</definedName>
    <definedName name="BLPH138" localSheetId="3" hidden="1">#REF!</definedName>
    <definedName name="BLPH138" hidden="1">#REF!</definedName>
    <definedName name="BLPH139" localSheetId="3" hidden="1">#REF!</definedName>
    <definedName name="BLPH139" hidden="1">#REF!</definedName>
    <definedName name="BLPH14" localSheetId="3" hidden="1">#REF!</definedName>
    <definedName name="BLPH14" hidden="1">#REF!</definedName>
    <definedName name="BLPH140" localSheetId="3" hidden="1">#REF!</definedName>
    <definedName name="BLPH140" hidden="1">#REF!</definedName>
    <definedName name="BLPH141" localSheetId="3" hidden="1">#REF!</definedName>
    <definedName name="BLPH141" hidden="1">#REF!</definedName>
    <definedName name="BLPH142" localSheetId="3" hidden="1">#REF!</definedName>
    <definedName name="BLPH142" hidden="1">#REF!</definedName>
    <definedName name="BLPH143" localSheetId="3" hidden="1">#REF!</definedName>
    <definedName name="BLPH143" hidden="1">#REF!</definedName>
    <definedName name="BLPH144" localSheetId="3" hidden="1">#REF!</definedName>
    <definedName name="BLPH144" hidden="1">#REF!</definedName>
    <definedName name="BLPH145" localSheetId="3" hidden="1">#REF!</definedName>
    <definedName name="BLPH145" hidden="1">#REF!</definedName>
    <definedName name="BLPH146" localSheetId="3" hidden="1">#REF!</definedName>
    <definedName name="BLPH146" hidden="1">#REF!</definedName>
    <definedName name="BLPH147" localSheetId="3" hidden="1">#REF!</definedName>
    <definedName name="BLPH147" hidden="1">#REF!</definedName>
    <definedName name="BLPH148" localSheetId="3" hidden="1">#REF!</definedName>
    <definedName name="BLPH148" hidden="1">#REF!</definedName>
    <definedName name="BLPH149" localSheetId="3" hidden="1">#REF!</definedName>
    <definedName name="BLPH149" hidden="1">#REF!</definedName>
    <definedName name="BLPH15" localSheetId="3" hidden="1">#REF!</definedName>
    <definedName name="BLPH15" hidden="1">#REF!</definedName>
    <definedName name="BLPH150" localSheetId="3" hidden="1">#REF!</definedName>
    <definedName name="BLPH150" hidden="1">#REF!</definedName>
    <definedName name="BLPH151" localSheetId="3" hidden="1">#REF!</definedName>
    <definedName name="BLPH151" hidden="1">#REF!</definedName>
    <definedName name="BLPH152" localSheetId="3" hidden="1">#REF!</definedName>
    <definedName name="BLPH152" hidden="1">#REF!</definedName>
    <definedName name="BLPH153" localSheetId="3" hidden="1">#REF!</definedName>
    <definedName name="BLPH153" hidden="1">#REF!</definedName>
    <definedName name="BLPH154" localSheetId="3" hidden="1">#REF!</definedName>
    <definedName name="BLPH154" hidden="1">#REF!</definedName>
    <definedName name="BLPH155" localSheetId="3" hidden="1">#REF!</definedName>
    <definedName name="BLPH155" hidden="1">#REF!</definedName>
    <definedName name="BLPH156" localSheetId="3" hidden="1">#REF!</definedName>
    <definedName name="BLPH156" hidden="1">#REF!</definedName>
    <definedName name="BLPH157" localSheetId="3" hidden="1">#REF!</definedName>
    <definedName name="BLPH157" hidden="1">#REF!</definedName>
    <definedName name="BLPH158" localSheetId="3" hidden="1">#REF!</definedName>
    <definedName name="BLPH158" hidden="1">#REF!</definedName>
    <definedName name="BLPH159" localSheetId="3" hidden="1">#REF!</definedName>
    <definedName name="BLPH159" hidden="1">#REF!</definedName>
    <definedName name="BLPH16" localSheetId="3" hidden="1">#REF!</definedName>
    <definedName name="BLPH16" hidden="1">#REF!</definedName>
    <definedName name="BLPH160" localSheetId="3" hidden="1">#REF!</definedName>
    <definedName name="BLPH160" hidden="1">#REF!</definedName>
    <definedName name="BLPH161" localSheetId="3" hidden="1">#REF!</definedName>
    <definedName name="BLPH161" hidden="1">#REF!</definedName>
    <definedName name="BLPH162" localSheetId="3" hidden="1">#REF!</definedName>
    <definedName name="BLPH162" hidden="1">#REF!</definedName>
    <definedName name="BLPH163" localSheetId="3" hidden="1">#REF!</definedName>
    <definedName name="BLPH163" hidden="1">#REF!</definedName>
    <definedName name="BLPH164" localSheetId="3" hidden="1">#REF!</definedName>
    <definedName name="BLPH164" hidden="1">#REF!</definedName>
    <definedName name="BLPH165" localSheetId="3" hidden="1">#REF!</definedName>
    <definedName name="BLPH165" hidden="1">#REF!</definedName>
    <definedName name="BLPH166" localSheetId="3" hidden="1">#REF!</definedName>
    <definedName name="BLPH166" hidden="1">#REF!</definedName>
    <definedName name="BLPH167" localSheetId="3" hidden="1">#REF!</definedName>
    <definedName name="BLPH167" hidden="1">#REF!</definedName>
    <definedName name="BLPH168" localSheetId="3" hidden="1">#REF!</definedName>
    <definedName name="BLPH168" hidden="1">#REF!</definedName>
    <definedName name="BLPH169" localSheetId="3" hidden="1">#REF!</definedName>
    <definedName name="BLPH169" hidden="1">#REF!</definedName>
    <definedName name="BLPH17" localSheetId="3" hidden="1">#REF!</definedName>
    <definedName name="BLPH17" hidden="1">#REF!</definedName>
    <definedName name="BLPH170" localSheetId="3" hidden="1">#REF!</definedName>
    <definedName name="BLPH170" hidden="1">#REF!</definedName>
    <definedName name="BLPH171" localSheetId="3" hidden="1">#REF!</definedName>
    <definedName name="BLPH171" hidden="1">#REF!</definedName>
    <definedName name="BLPH172" localSheetId="3" hidden="1">#REF!</definedName>
    <definedName name="BLPH172" hidden="1">#REF!</definedName>
    <definedName name="BLPH173" localSheetId="3" hidden="1">#REF!</definedName>
    <definedName name="BLPH173" hidden="1">#REF!</definedName>
    <definedName name="BLPH174" localSheetId="3" hidden="1">#REF!</definedName>
    <definedName name="BLPH174" hidden="1">#REF!</definedName>
    <definedName name="BLPH175" localSheetId="3" hidden="1">#REF!</definedName>
    <definedName name="BLPH175" hidden="1">#REF!</definedName>
    <definedName name="BLPH176" localSheetId="3" hidden="1">#REF!</definedName>
    <definedName name="BLPH176" hidden="1">#REF!</definedName>
    <definedName name="BLPH177" localSheetId="3" hidden="1">#REF!</definedName>
    <definedName name="BLPH177" hidden="1">#REF!</definedName>
    <definedName name="BLPH178" localSheetId="3" hidden="1">#REF!</definedName>
    <definedName name="BLPH178" hidden="1">#REF!</definedName>
    <definedName name="BLPH179" localSheetId="3" hidden="1">#REF!</definedName>
    <definedName name="BLPH179" hidden="1">#REF!</definedName>
    <definedName name="BLPH18" localSheetId="3" hidden="1">#REF!</definedName>
    <definedName name="BLPH18" hidden="1">#REF!</definedName>
    <definedName name="BLPH180" localSheetId="3" hidden="1">#REF!</definedName>
    <definedName name="BLPH180" hidden="1">#REF!</definedName>
    <definedName name="BLPH181" localSheetId="3" hidden="1">#REF!</definedName>
    <definedName name="BLPH181" hidden="1">#REF!</definedName>
    <definedName name="BLPH182" localSheetId="3" hidden="1">#REF!</definedName>
    <definedName name="BLPH182" hidden="1">#REF!</definedName>
    <definedName name="BLPH183" localSheetId="3" hidden="1">#REF!</definedName>
    <definedName name="BLPH183" hidden="1">#REF!</definedName>
    <definedName name="BLPH184" localSheetId="3" hidden="1">#REF!</definedName>
    <definedName name="BLPH184" hidden="1">#REF!</definedName>
    <definedName name="BLPH185" localSheetId="3" hidden="1">#REF!</definedName>
    <definedName name="BLPH185" hidden="1">#REF!</definedName>
    <definedName name="BLPH186" localSheetId="3" hidden="1">#REF!</definedName>
    <definedName name="BLPH186" hidden="1">#REF!</definedName>
    <definedName name="BLPH187" localSheetId="3" hidden="1">#REF!</definedName>
    <definedName name="BLPH187" hidden="1">#REF!</definedName>
    <definedName name="BLPH188" localSheetId="3" hidden="1">#REF!</definedName>
    <definedName name="BLPH188" hidden="1">#REF!</definedName>
    <definedName name="BLPH189" localSheetId="3" hidden="1">#REF!</definedName>
    <definedName name="BLPH189" hidden="1">#REF!</definedName>
    <definedName name="BLPH19" localSheetId="3" hidden="1">#REF!</definedName>
    <definedName name="BLPH19" hidden="1">#REF!</definedName>
    <definedName name="BLPH190" localSheetId="3" hidden="1">#REF!</definedName>
    <definedName name="BLPH190" hidden="1">#REF!</definedName>
    <definedName name="BLPH191" localSheetId="3" hidden="1">#REF!</definedName>
    <definedName name="BLPH191" hidden="1">#REF!</definedName>
    <definedName name="BLPH192" localSheetId="3" hidden="1">#REF!</definedName>
    <definedName name="BLPH192" hidden="1">#REF!</definedName>
    <definedName name="BLPH193" localSheetId="3" hidden="1">#REF!</definedName>
    <definedName name="BLPH193" hidden="1">#REF!</definedName>
    <definedName name="BLPH194" localSheetId="3" hidden="1">#REF!</definedName>
    <definedName name="BLPH194" hidden="1">#REF!</definedName>
    <definedName name="BLPH195" localSheetId="3" hidden="1">#REF!</definedName>
    <definedName name="BLPH195" hidden="1">#REF!</definedName>
    <definedName name="BLPH196" localSheetId="3" hidden="1">#REF!</definedName>
    <definedName name="BLPH196" hidden="1">#REF!</definedName>
    <definedName name="BLPH197" localSheetId="3" hidden="1">#REF!</definedName>
    <definedName name="BLPH197" hidden="1">#REF!</definedName>
    <definedName name="BLPH198" localSheetId="3" hidden="1">#REF!</definedName>
    <definedName name="BLPH198" hidden="1">#REF!</definedName>
    <definedName name="BLPH199" localSheetId="3" hidden="1">#REF!</definedName>
    <definedName name="BLPH199" hidden="1">#REF!</definedName>
    <definedName name="BLPH2" hidden="1">'[9]4.6 ten year bonds'!$D$4</definedName>
    <definedName name="BLPH20" localSheetId="3" hidden="1">#REF!</definedName>
    <definedName name="BLPH20" hidden="1">#REF!</definedName>
    <definedName name="BLPH200" localSheetId="3" hidden="1">#REF!</definedName>
    <definedName name="BLPH200" hidden="1">#REF!</definedName>
    <definedName name="BLPH201" localSheetId="3" hidden="1">#REF!</definedName>
    <definedName name="BLPH201" hidden="1">#REF!</definedName>
    <definedName name="BLPH202" localSheetId="3" hidden="1">#REF!</definedName>
    <definedName name="BLPH202" hidden="1">#REF!</definedName>
    <definedName name="BLPH203" localSheetId="3" hidden="1">#REF!</definedName>
    <definedName name="BLPH203" hidden="1">#REF!</definedName>
    <definedName name="BLPH204" localSheetId="3" hidden="1">#REF!</definedName>
    <definedName name="BLPH204" hidden="1">#REF!</definedName>
    <definedName name="BLPH205" localSheetId="3" hidden="1">#REF!</definedName>
    <definedName name="BLPH205" hidden="1">#REF!</definedName>
    <definedName name="BLPH206" localSheetId="3" hidden="1">#REF!</definedName>
    <definedName name="BLPH206" hidden="1">#REF!</definedName>
    <definedName name="BLPH207" localSheetId="3" hidden="1">#REF!</definedName>
    <definedName name="BLPH207" hidden="1">#REF!</definedName>
    <definedName name="BLPH208" localSheetId="3" hidden="1">#REF!</definedName>
    <definedName name="BLPH208" hidden="1">#REF!</definedName>
    <definedName name="BLPH209" localSheetId="3" hidden="1">#REF!</definedName>
    <definedName name="BLPH209" hidden="1">#REF!</definedName>
    <definedName name="BLPH21" hidden="1">'[10]Risk-Free Rate'!$AQ$15</definedName>
    <definedName name="BLPH210" localSheetId="3" hidden="1">#REF!</definedName>
    <definedName name="BLPH210" hidden="1">#REF!</definedName>
    <definedName name="BLPH211" localSheetId="3" hidden="1">#REF!</definedName>
    <definedName name="BLPH211" hidden="1">#REF!</definedName>
    <definedName name="BLPH212" localSheetId="3" hidden="1">#REF!</definedName>
    <definedName name="BLPH212" hidden="1">#REF!</definedName>
    <definedName name="BLPH213" localSheetId="3" hidden="1">#REF!</definedName>
    <definedName name="BLPH213" hidden="1">#REF!</definedName>
    <definedName name="BLPH214" localSheetId="3" hidden="1">#REF!</definedName>
    <definedName name="BLPH214" hidden="1">#REF!</definedName>
    <definedName name="BLPH215" localSheetId="3" hidden="1">#REF!</definedName>
    <definedName name="BLPH215" hidden="1">#REF!</definedName>
    <definedName name="BLPH216" localSheetId="3" hidden="1">#REF!</definedName>
    <definedName name="BLPH216" hidden="1">#REF!</definedName>
    <definedName name="BLPH217" localSheetId="3" hidden="1">#REF!</definedName>
    <definedName name="BLPH217" hidden="1">#REF!</definedName>
    <definedName name="BLPH218" localSheetId="3" hidden="1">#REF!</definedName>
    <definedName name="BLPH218" hidden="1">#REF!</definedName>
    <definedName name="BLPH219" localSheetId="3" hidden="1">#REF!</definedName>
    <definedName name="BLPH219" hidden="1">#REF!</definedName>
    <definedName name="BLPH22" hidden="1">'[10]Risk-Free Rate'!$AN$15</definedName>
    <definedName name="BLPH220" localSheetId="3" hidden="1">#REF!</definedName>
    <definedName name="BLPH220" hidden="1">#REF!</definedName>
    <definedName name="BLPH221" localSheetId="3" hidden="1">#REF!</definedName>
    <definedName name="BLPH221" hidden="1">#REF!</definedName>
    <definedName name="BLPH222" localSheetId="3" hidden="1">#REF!</definedName>
    <definedName name="BLPH222" hidden="1">#REF!</definedName>
    <definedName name="BLPH223" localSheetId="3" hidden="1">#REF!</definedName>
    <definedName name="BLPH223" hidden="1">#REF!</definedName>
    <definedName name="BLPH224" localSheetId="3" hidden="1">#REF!</definedName>
    <definedName name="BLPH224" hidden="1">#REF!</definedName>
    <definedName name="BLPH225" localSheetId="3" hidden="1">#REF!</definedName>
    <definedName name="BLPH225" hidden="1">#REF!</definedName>
    <definedName name="BLPH226" localSheetId="3" hidden="1">#REF!</definedName>
    <definedName name="BLPH226" hidden="1">#REF!</definedName>
    <definedName name="BLPH227" localSheetId="3" hidden="1">#REF!</definedName>
    <definedName name="BLPH227" hidden="1">#REF!</definedName>
    <definedName name="BLPH228" localSheetId="3" hidden="1">#REF!</definedName>
    <definedName name="BLPH228" hidden="1">#REF!</definedName>
    <definedName name="BLPH229" localSheetId="3" hidden="1">#REF!</definedName>
    <definedName name="BLPH229" hidden="1">#REF!</definedName>
    <definedName name="BLPH23" hidden="1">'[10]Risk-Free Rate'!$AK$15</definedName>
    <definedName name="BLPH230" localSheetId="3" hidden="1">#REF!</definedName>
    <definedName name="BLPH230" hidden="1">#REF!</definedName>
    <definedName name="BLPH231" localSheetId="3" hidden="1">#REF!</definedName>
    <definedName name="BLPH231" hidden="1">#REF!</definedName>
    <definedName name="BLPH232" localSheetId="3" hidden="1">#REF!</definedName>
    <definedName name="BLPH232" hidden="1">#REF!</definedName>
    <definedName name="BLPH233" localSheetId="3" hidden="1">#REF!</definedName>
    <definedName name="BLPH233" hidden="1">#REF!</definedName>
    <definedName name="BLPH234" localSheetId="3" hidden="1">#REF!</definedName>
    <definedName name="BLPH234" hidden="1">#REF!</definedName>
    <definedName name="BLPH235" localSheetId="3" hidden="1">#REF!</definedName>
    <definedName name="BLPH235" hidden="1">#REF!</definedName>
    <definedName name="BLPH236" localSheetId="3" hidden="1">#REF!</definedName>
    <definedName name="BLPH236" hidden="1">#REF!</definedName>
    <definedName name="BLPH237" localSheetId="3" hidden="1">#REF!</definedName>
    <definedName name="BLPH237" hidden="1">#REF!</definedName>
    <definedName name="BLPH238" localSheetId="3" hidden="1">#REF!</definedName>
    <definedName name="BLPH238" hidden="1">#REF!</definedName>
    <definedName name="BLPH239" localSheetId="3" hidden="1">#REF!</definedName>
    <definedName name="BLPH239" hidden="1">#REF!</definedName>
    <definedName name="BLPH24" hidden="1">'[10]Risk-Free Rate'!$AH$15</definedName>
    <definedName name="BLPH240" localSheetId="3" hidden="1">#REF!</definedName>
    <definedName name="BLPH240" hidden="1">#REF!</definedName>
    <definedName name="BLPH241" localSheetId="3" hidden="1">#REF!</definedName>
    <definedName name="BLPH241" hidden="1">#REF!</definedName>
    <definedName name="BLPH242" localSheetId="3" hidden="1">#REF!</definedName>
    <definedName name="BLPH242" hidden="1">#REF!</definedName>
    <definedName name="BLPH243" localSheetId="3" hidden="1">#REF!</definedName>
    <definedName name="BLPH243" hidden="1">#REF!</definedName>
    <definedName name="BLPH244" localSheetId="3" hidden="1">#REF!</definedName>
    <definedName name="BLPH244" hidden="1">#REF!</definedName>
    <definedName name="BLPH245" localSheetId="3" hidden="1">#REF!</definedName>
    <definedName name="BLPH245" hidden="1">#REF!</definedName>
    <definedName name="BLPH246" localSheetId="3" hidden="1">#REF!</definedName>
    <definedName name="BLPH246" hidden="1">#REF!</definedName>
    <definedName name="BLPH247" localSheetId="3" hidden="1">#REF!</definedName>
    <definedName name="BLPH247" hidden="1">#REF!</definedName>
    <definedName name="BLPH248" localSheetId="3" hidden="1">#REF!</definedName>
    <definedName name="BLPH248" hidden="1">#REF!</definedName>
    <definedName name="BLPH249" localSheetId="3" hidden="1">#REF!</definedName>
    <definedName name="BLPH249" hidden="1">#REF!</definedName>
    <definedName name="BLPH25" hidden="1">'[10]Risk-Free Rate'!$AE$15</definedName>
    <definedName name="BLPH250" localSheetId="3" hidden="1">#REF!</definedName>
    <definedName name="BLPH250" hidden="1">#REF!</definedName>
    <definedName name="BLPH251" localSheetId="3" hidden="1">#REF!</definedName>
    <definedName name="BLPH251" hidden="1">#REF!</definedName>
    <definedName name="BLPH252" localSheetId="3" hidden="1">#REF!</definedName>
    <definedName name="BLPH252" hidden="1">#REF!</definedName>
    <definedName name="BLPH253" localSheetId="3" hidden="1">#REF!</definedName>
    <definedName name="BLPH253" hidden="1">#REF!</definedName>
    <definedName name="BLPH254" localSheetId="3" hidden="1">#REF!</definedName>
    <definedName name="BLPH254" hidden="1">#REF!</definedName>
    <definedName name="BLPH255" localSheetId="3" hidden="1">#REF!</definedName>
    <definedName name="BLPH255" hidden="1">#REF!</definedName>
    <definedName name="BLPH256" localSheetId="3" hidden="1">#REF!</definedName>
    <definedName name="BLPH256" hidden="1">#REF!</definedName>
    <definedName name="BLPH257" localSheetId="3" hidden="1">#REF!</definedName>
    <definedName name="BLPH257" hidden="1">#REF!</definedName>
    <definedName name="BLPH258" localSheetId="3" hidden="1">#REF!</definedName>
    <definedName name="BLPH258" hidden="1">#REF!</definedName>
    <definedName name="BLPH259" localSheetId="3" hidden="1">#REF!</definedName>
    <definedName name="BLPH259" hidden="1">#REF!</definedName>
    <definedName name="BLPH26" hidden="1">'[10]Risk-Free Rate'!$AB$15</definedName>
    <definedName name="BLPH260" localSheetId="3" hidden="1">#REF!</definedName>
    <definedName name="BLPH260" hidden="1">#REF!</definedName>
    <definedName name="BLPH261" localSheetId="3" hidden="1">#REF!</definedName>
    <definedName name="BLPH261" hidden="1">#REF!</definedName>
    <definedName name="BLPH262" localSheetId="3" hidden="1">#REF!</definedName>
    <definedName name="BLPH262" hidden="1">#REF!</definedName>
    <definedName name="BLPH263" localSheetId="3" hidden="1">#REF!</definedName>
    <definedName name="BLPH263" hidden="1">#REF!</definedName>
    <definedName name="BLPH264" localSheetId="3" hidden="1">#REF!</definedName>
    <definedName name="BLPH264" hidden="1">#REF!</definedName>
    <definedName name="BLPH265" localSheetId="3" hidden="1">#REF!</definedName>
    <definedName name="BLPH265" hidden="1">#REF!</definedName>
    <definedName name="BLPH266" localSheetId="3" hidden="1">#REF!</definedName>
    <definedName name="BLPH266" hidden="1">#REF!</definedName>
    <definedName name="BLPH267" localSheetId="3" hidden="1">#REF!</definedName>
    <definedName name="BLPH267" hidden="1">#REF!</definedName>
    <definedName name="BLPH268" localSheetId="3" hidden="1">#REF!</definedName>
    <definedName name="BLPH268" hidden="1">#REF!</definedName>
    <definedName name="BLPH269" localSheetId="3" hidden="1">#REF!</definedName>
    <definedName name="BLPH269" hidden="1">#REF!</definedName>
    <definedName name="BLPH27" hidden="1">'[10]Risk-Free Rate'!$Y$15</definedName>
    <definedName name="BLPH270" localSheetId="3" hidden="1">#REF!</definedName>
    <definedName name="BLPH270" hidden="1">#REF!</definedName>
    <definedName name="BLPH271" localSheetId="3" hidden="1">#REF!</definedName>
    <definedName name="BLPH271" hidden="1">#REF!</definedName>
    <definedName name="BLPH272" localSheetId="3" hidden="1">#REF!</definedName>
    <definedName name="BLPH272" hidden="1">#REF!</definedName>
    <definedName name="BLPH273" localSheetId="3" hidden="1">#REF!</definedName>
    <definedName name="BLPH273" hidden="1">#REF!</definedName>
    <definedName name="BLPH274" localSheetId="3" hidden="1">#REF!</definedName>
    <definedName name="BLPH274" hidden="1">#REF!</definedName>
    <definedName name="BLPH275" localSheetId="3" hidden="1">#REF!</definedName>
    <definedName name="BLPH275" hidden="1">#REF!</definedName>
    <definedName name="BLPH276" localSheetId="3" hidden="1">#REF!</definedName>
    <definedName name="BLPH276" hidden="1">#REF!</definedName>
    <definedName name="BLPH277" localSheetId="3" hidden="1">#REF!</definedName>
    <definedName name="BLPH277" hidden="1">#REF!</definedName>
    <definedName name="BLPH278" localSheetId="3" hidden="1">#REF!</definedName>
    <definedName name="BLPH278" hidden="1">#REF!</definedName>
    <definedName name="BLPH279" localSheetId="3" hidden="1">#REF!</definedName>
    <definedName name="BLPH279" hidden="1">#REF!</definedName>
    <definedName name="BLPH28" hidden="1">'[10]Risk-Free Rate'!$V$15</definedName>
    <definedName name="BLPH280" localSheetId="3" hidden="1">#REF!</definedName>
    <definedName name="BLPH280" hidden="1">#REF!</definedName>
    <definedName name="BLPH281" localSheetId="3" hidden="1">#REF!</definedName>
    <definedName name="BLPH281" hidden="1">#REF!</definedName>
    <definedName name="BLPH282" localSheetId="3" hidden="1">#REF!</definedName>
    <definedName name="BLPH282" hidden="1">#REF!</definedName>
    <definedName name="BLPH283" localSheetId="3" hidden="1">#REF!</definedName>
    <definedName name="BLPH283" hidden="1">#REF!</definedName>
    <definedName name="BLPH284" localSheetId="3" hidden="1">#REF!</definedName>
    <definedName name="BLPH284" hidden="1">#REF!</definedName>
    <definedName name="BLPH285" localSheetId="3" hidden="1">#REF!</definedName>
    <definedName name="BLPH285" hidden="1">#REF!</definedName>
    <definedName name="BLPH286" localSheetId="3" hidden="1">#REF!</definedName>
    <definedName name="BLPH286" hidden="1">#REF!</definedName>
    <definedName name="BLPH287" localSheetId="3" hidden="1">#REF!</definedName>
    <definedName name="BLPH287" hidden="1">#REF!</definedName>
    <definedName name="BLPH288" localSheetId="3" hidden="1">#REF!</definedName>
    <definedName name="BLPH288" hidden="1">#REF!</definedName>
    <definedName name="BLPH289" localSheetId="3" hidden="1">#REF!</definedName>
    <definedName name="BLPH289" hidden="1">#REF!</definedName>
    <definedName name="BLPH29" hidden="1">'[10]Risk-Free Rate'!$S$15</definedName>
    <definedName name="BLPH290" localSheetId="3" hidden="1">#REF!</definedName>
    <definedName name="BLPH290" hidden="1">#REF!</definedName>
    <definedName name="BLPH291" localSheetId="3" hidden="1">#REF!</definedName>
    <definedName name="BLPH291" hidden="1">#REF!</definedName>
    <definedName name="BLPH292" localSheetId="3" hidden="1">#REF!</definedName>
    <definedName name="BLPH292" hidden="1">#REF!</definedName>
    <definedName name="BLPH293" localSheetId="3" hidden="1">#REF!</definedName>
    <definedName name="BLPH293" hidden="1">#REF!</definedName>
    <definedName name="BLPH294" localSheetId="3" hidden="1">#REF!</definedName>
    <definedName name="BLPH294" hidden="1">#REF!</definedName>
    <definedName name="BLPH295" localSheetId="3" hidden="1">#REF!</definedName>
    <definedName name="BLPH295" hidden="1">#REF!</definedName>
    <definedName name="BLPH296" localSheetId="3" hidden="1">#REF!</definedName>
    <definedName name="BLPH296" hidden="1">#REF!</definedName>
    <definedName name="BLPH297" localSheetId="3" hidden="1">#REF!</definedName>
    <definedName name="BLPH297" hidden="1">#REF!</definedName>
    <definedName name="BLPH298" localSheetId="3" hidden="1">#REF!</definedName>
    <definedName name="BLPH298" hidden="1">#REF!</definedName>
    <definedName name="BLPH299" localSheetId="3" hidden="1">#REF!</definedName>
    <definedName name="BLPH299" hidden="1">#REF!</definedName>
    <definedName name="BLPH3" hidden="1">'[9]4.6 ten year bonds'!$G$4</definedName>
    <definedName name="BLPH30" hidden="1">'[10]Risk-Free Rate'!$P$15</definedName>
    <definedName name="BLPH300" localSheetId="3" hidden="1">#REF!</definedName>
    <definedName name="BLPH300" hidden="1">#REF!</definedName>
    <definedName name="BLPH301" localSheetId="3" hidden="1">#REF!</definedName>
    <definedName name="BLPH301" hidden="1">#REF!</definedName>
    <definedName name="BLPH302" localSheetId="3" hidden="1">#REF!</definedName>
    <definedName name="BLPH302" hidden="1">#REF!</definedName>
    <definedName name="BLPH303" localSheetId="3" hidden="1">#REF!</definedName>
    <definedName name="BLPH303" hidden="1">#REF!</definedName>
    <definedName name="BLPH304" localSheetId="3" hidden="1">#REF!</definedName>
    <definedName name="BLPH304" hidden="1">#REF!</definedName>
    <definedName name="BLPH305" localSheetId="3" hidden="1">#REF!</definedName>
    <definedName name="BLPH305" hidden="1">#REF!</definedName>
    <definedName name="BLPH306" localSheetId="3" hidden="1">#REF!</definedName>
    <definedName name="BLPH306" hidden="1">#REF!</definedName>
    <definedName name="BLPH307" localSheetId="3" hidden="1">#REF!</definedName>
    <definedName name="BLPH307" hidden="1">#REF!</definedName>
    <definedName name="BLPH308" localSheetId="3" hidden="1">#REF!</definedName>
    <definedName name="BLPH308" hidden="1">#REF!</definedName>
    <definedName name="BLPH309" localSheetId="3" hidden="1">#REF!</definedName>
    <definedName name="BLPH309" hidden="1">#REF!</definedName>
    <definedName name="BLPH31" hidden="1">'[10]Risk-Free Rate'!$M$15</definedName>
    <definedName name="BLPH310" localSheetId="3" hidden="1">#REF!</definedName>
    <definedName name="BLPH310" hidden="1">#REF!</definedName>
    <definedName name="BLPH311" localSheetId="3" hidden="1">#REF!</definedName>
    <definedName name="BLPH311" hidden="1">#REF!</definedName>
    <definedName name="BLPH312" localSheetId="3" hidden="1">#REF!</definedName>
    <definedName name="BLPH312" hidden="1">#REF!</definedName>
    <definedName name="BLPH313" localSheetId="3" hidden="1">#REF!</definedName>
    <definedName name="BLPH313" hidden="1">#REF!</definedName>
    <definedName name="BLPH314" localSheetId="3" hidden="1">#REF!</definedName>
    <definedName name="BLPH314" hidden="1">#REF!</definedName>
    <definedName name="BLPH315" localSheetId="3" hidden="1">#REF!</definedName>
    <definedName name="BLPH315" hidden="1">#REF!</definedName>
    <definedName name="BLPH316" localSheetId="3" hidden="1">#REF!</definedName>
    <definedName name="BLPH316" hidden="1">#REF!</definedName>
    <definedName name="BLPH317" localSheetId="3" hidden="1">#REF!</definedName>
    <definedName name="BLPH317" hidden="1">#REF!</definedName>
    <definedName name="BLPH318" localSheetId="3" hidden="1">#REF!</definedName>
    <definedName name="BLPH318" hidden="1">#REF!</definedName>
    <definedName name="BLPH319" localSheetId="3" hidden="1">#REF!</definedName>
    <definedName name="BLPH319" hidden="1">#REF!</definedName>
    <definedName name="BLPH32" hidden="1">'[10]Risk-Free Rate'!$J$15</definedName>
    <definedName name="BLPH320" localSheetId="3" hidden="1">#REF!</definedName>
    <definedName name="BLPH320" hidden="1">#REF!</definedName>
    <definedName name="BLPH321" localSheetId="3" hidden="1">#REF!</definedName>
    <definedName name="BLPH321" hidden="1">#REF!</definedName>
    <definedName name="BLPH322" localSheetId="3" hidden="1">#REF!</definedName>
    <definedName name="BLPH322" hidden="1">#REF!</definedName>
    <definedName name="BLPH323" localSheetId="3" hidden="1">#REF!</definedName>
    <definedName name="BLPH323" hidden="1">#REF!</definedName>
    <definedName name="BLPH324" localSheetId="3" hidden="1">#REF!</definedName>
    <definedName name="BLPH324" hidden="1">#REF!</definedName>
    <definedName name="BLPH325" localSheetId="3" hidden="1">#REF!</definedName>
    <definedName name="BLPH325" hidden="1">#REF!</definedName>
    <definedName name="BLPH326" localSheetId="3" hidden="1">#REF!</definedName>
    <definedName name="BLPH326" hidden="1">#REF!</definedName>
    <definedName name="BLPH327" localSheetId="3" hidden="1">#REF!</definedName>
    <definedName name="BLPH327" hidden="1">#REF!</definedName>
    <definedName name="BLPH328" localSheetId="3" hidden="1">#REF!</definedName>
    <definedName name="BLPH328" hidden="1">#REF!</definedName>
    <definedName name="BLPH329" localSheetId="3" hidden="1">#REF!</definedName>
    <definedName name="BLPH329" hidden="1">#REF!</definedName>
    <definedName name="BLPH33" hidden="1">'[10]Risk-Free Rate'!$G$15</definedName>
    <definedName name="BLPH330" localSheetId="3" hidden="1">#REF!</definedName>
    <definedName name="BLPH330" hidden="1">#REF!</definedName>
    <definedName name="BLPH331" localSheetId="3" hidden="1">#REF!</definedName>
    <definedName name="BLPH331" hidden="1">#REF!</definedName>
    <definedName name="BLPH332" localSheetId="3" hidden="1">#REF!</definedName>
    <definedName name="BLPH332" hidden="1">#REF!</definedName>
    <definedName name="BLPH333" localSheetId="3" hidden="1">#REF!</definedName>
    <definedName name="BLPH333" hidden="1">#REF!</definedName>
    <definedName name="BLPH334" localSheetId="3" hidden="1">#REF!</definedName>
    <definedName name="BLPH334" hidden="1">#REF!</definedName>
    <definedName name="BLPH335" localSheetId="3" hidden="1">#REF!</definedName>
    <definedName name="BLPH335" hidden="1">#REF!</definedName>
    <definedName name="BLPH336" localSheetId="3" hidden="1">#REF!</definedName>
    <definedName name="BLPH336" hidden="1">#REF!</definedName>
    <definedName name="BLPH337" localSheetId="3" hidden="1">#REF!</definedName>
    <definedName name="BLPH337" hidden="1">#REF!</definedName>
    <definedName name="BLPH338" localSheetId="3" hidden="1">#REF!</definedName>
    <definedName name="BLPH338" hidden="1">#REF!</definedName>
    <definedName name="BLPH339" localSheetId="3" hidden="1">#REF!</definedName>
    <definedName name="BLPH339" hidden="1">#REF!</definedName>
    <definedName name="BLPH34" hidden="1">'[10]Risk-Free Rate'!$D$15</definedName>
    <definedName name="BLPH340" localSheetId="3" hidden="1">#REF!</definedName>
    <definedName name="BLPH340" hidden="1">#REF!</definedName>
    <definedName name="BLPH341" localSheetId="3" hidden="1">#REF!</definedName>
    <definedName name="BLPH341" hidden="1">#REF!</definedName>
    <definedName name="BLPH342" localSheetId="3" hidden="1">#REF!</definedName>
    <definedName name="BLPH342" hidden="1">#REF!</definedName>
    <definedName name="BLPH343" localSheetId="3" hidden="1">#REF!</definedName>
    <definedName name="BLPH343" hidden="1">#REF!</definedName>
    <definedName name="BLPH344" localSheetId="3" hidden="1">#REF!</definedName>
    <definedName name="BLPH344" hidden="1">#REF!</definedName>
    <definedName name="BLPH345" localSheetId="3" hidden="1">#REF!</definedName>
    <definedName name="BLPH345" hidden="1">#REF!</definedName>
    <definedName name="BLPH346" localSheetId="3" hidden="1">#REF!</definedName>
    <definedName name="BLPH346" hidden="1">#REF!</definedName>
    <definedName name="BLPH347" localSheetId="3" hidden="1">#REF!</definedName>
    <definedName name="BLPH347" hidden="1">#REF!</definedName>
    <definedName name="BLPH348" localSheetId="3" hidden="1">#REF!</definedName>
    <definedName name="BLPH348" hidden="1">#REF!</definedName>
    <definedName name="BLPH349" localSheetId="3" hidden="1">#REF!</definedName>
    <definedName name="BLPH349" hidden="1">#REF!</definedName>
    <definedName name="BLPH35" hidden="1">'[10]Risk-Free Rate'!$A$15</definedName>
    <definedName name="BLPH350" localSheetId="3" hidden="1">#REF!</definedName>
    <definedName name="BLPH350" hidden="1">#REF!</definedName>
    <definedName name="BLPH351" localSheetId="3" hidden="1">#REF!</definedName>
    <definedName name="BLPH351" hidden="1">#REF!</definedName>
    <definedName name="BLPH352" localSheetId="3" hidden="1">#REF!</definedName>
    <definedName name="BLPH352" hidden="1">#REF!</definedName>
    <definedName name="BLPH353" localSheetId="3" hidden="1">#REF!</definedName>
    <definedName name="BLPH353" hidden="1">#REF!</definedName>
    <definedName name="BLPH354" localSheetId="3" hidden="1">#REF!</definedName>
    <definedName name="BLPH354" hidden="1">#REF!</definedName>
    <definedName name="BLPH355" localSheetId="3" hidden="1">#REF!</definedName>
    <definedName name="BLPH355" hidden="1">#REF!</definedName>
    <definedName name="BLPH356" localSheetId="3" hidden="1">#REF!</definedName>
    <definedName name="BLPH356" hidden="1">#REF!</definedName>
    <definedName name="BLPH357" localSheetId="3" hidden="1">#REF!</definedName>
    <definedName name="BLPH357" hidden="1">#REF!</definedName>
    <definedName name="BLPH358" localSheetId="3" hidden="1">#REF!</definedName>
    <definedName name="BLPH358" hidden="1">#REF!</definedName>
    <definedName name="BLPH359" localSheetId="3" hidden="1">#REF!</definedName>
    <definedName name="BLPH359" hidden="1">#REF!</definedName>
    <definedName name="BLPH36" localSheetId="3" hidden="1">#REF!</definedName>
    <definedName name="BLPH36" hidden="1">#REF!</definedName>
    <definedName name="BLPH37" localSheetId="3" hidden="1">#REF!</definedName>
    <definedName name="BLPH37" hidden="1">#REF!</definedName>
    <definedName name="BLPH38" localSheetId="3" hidden="1">#REF!</definedName>
    <definedName name="BLPH38" hidden="1">#REF!</definedName>
    <definedName name="BLPH39" localSheetId="3" hidden="1">#REF!</definedName>
    <definedName name="BLPH39" hidden="1">#REF!</definedName>
    <definedName name="BLPH4" hidden="1">'[9]4.6 ten year bonds'!$J$4</definedName>
    <definedName name="BLPH40" localSheetId="3" hidden="1">#REF!</definedName>
    <definedName name="BLPH40" hidden="1">#REF!</definedName>
    <definedName name="BLPH41" localSheetId="3" hidden="1">#REF!</definedName>
    <definedName name="BLPH41" hidden="1">#REF!</definedName>
    <definedName name="BLPH42" localSheetId="3" hidden="1">#REF!</definedName>
    <definedName name="BLPH42" hidden="1">#REF!</definedName>
    <definedName name="BLPH43" localSheetId="3" hidden="1">#REF!</definedName>
    <definedName name="BLPH43" hidden="1">#REF!</definedName>
    <definedName name="BLPH44" localSheetId="3" hidden="1">#REF!</definedName>
    <definedName name="BLPH44" hidden="1">#REF!</definedName>
    <definedName name="BLPH45" localSheetId="3" hidden="1">#REF!</definedName>
    <definedName name="BLPH45" hidden="1">#REF!</definedName>
    <definedName name="BLPH46" localSheetId="3" hidden="1">#REF!</definedName>
    <definedName name="BLPH46" hidden="1">#REF!</definedName>
    <definedName name="BLPH47" localSheetId="3" hidden="1">#REF!</definedName>
    <definedName name="BLPH47" hidden="1">#REF!</definedName>
    <definedName name="BLPH48" localSheetId="3" hidden="1">#REF!</definedName>
    <definedName name="BLPH48" hidden="1">#REF!</definedName>
    <definedName name="BLPH49" localSheetId="3" hidden="1">#REF!</definedName>
    <definedName name="BLPH49" hidden="1">#REF!</definedName>
    <definedName name="BLPH5" hidden="1">'[9]4.6 ten year bonds'!$M$4</definedName>
    <definedName name="BLPH50" localSheetId="3" hidden="1">#REF!</definedName>
    <definedName name="BLPH50" hidden="1">#REF!</definedName>
    <definedName name="BLPH51" localSheetId="3" hidden="1">#REF!</definedName>
    <definedName name="BLPH51" hidden="1">#REF!</definedName>
    <definedName name="BLPH52" localSheetId="3" hidden="1">#REF!</definedName>
    <definedName name="BLPH52" hidden="1">#REF!</definedName>
    <definedName name="BLPH53" localSheetId="3" hidden="1">#REF!</definedName>
    <definedName name="BLPH53" hidden="1">#REF!</definedName>
    <definedName name="BLPH54" localSheetId="3" hidden="1">#REF!</definedName>
    <definedName name="BLPH54" hidden="1">#REF!</definedName>
    <definedName name="BLPH55" localSheetId="3" hidden="1">#REF!</definedName>
    <definedName name="BLPH55" hidden="1">#REF!</definedName>
    <definedName name="BLPH56" localSheetId="3" hidden="1">#REF!</definedName>
    <definedName name="BLPH56" hidden="1">#REF!</definedName>
    <definedName name="BLPH57" localSheetId="3" hidden="1">#REF!</definedName>
    <definedName name="BLPH57" hidden="1">#REF!</definedName>
    <definedName name="BLPH58" localSheetId="3" hidden="1">#REF!</definedName>
    <definedName name="BLPH58" hidden="1">#REF!</definedName>
    <definedName name="BLPH59" localSheetId="3" hidden="1">#REF!</definedName>
    <definedName name="BLPH59" hidden="1">#REF!</definedName>
    <definedName name="BLPH6" localSheetId="3" hidden="1">#REF!</definedName>
    <definedName name="BLPH6" hidden="1">#REF!</definedName>
    <definedName name="BLPH60" localSheetId="3" hidden="1">#REF!</definedName>
    <definedName name="BLPH60" hidden="1">#REF!</definedName>
    <definedName name="BLPH61" localSheetId="3" hidden="1">#REF!</definedName>
    <definedName name="BLPH61" hidden="1">#REF!</definedName>
    <definedName name="BLPH62" localSheetId="3" hidden="1">#REF!</definedName>
    <definedName name="BLPH62" hidden="1">#REF!</definedName>
    <definedName name="BLPH63" localSheetId="3" hidden="1">#REF!</definedName>
    <definedName name="BLPH63" hidden="1">#REF!</definedName>
    <definedName name="BLPH64" localSheetId="3" hidden="1">#REF!</definedName>
    <definedName name="BLPH64" hidden="1">#REF!</definedName>
    <definedName name="BLPH65" localSheetId="3" hidden="1">#REF!</definedName>
    <definedName name="BLPH65" hidden="1">#REF!</definedName>
    <definedName name="BLPH66" localSheetId="3" hidden="1">#REF!</definedName>
    <definedName name="BLPH66" hidden="1">#REF!</definedName>
    <definedName name="BLPH67" localSheetId="3" hidden="1">#REF!</definedName>
    <definedName name="BLPH67" hidden="1">#REF!</definedName>
    <definedName name="BLPH68" localSheetId="3" hidden="1">#REF!</definedName>
    <definedName name="BLPH68" hidden="1">#REF!</definedName>
    <definedName name="BLPH69" localSheetId="3" hidden="1">#REF!</definedName>
    <definedName name="BLPH69" hidden="1">#REF!</definedName>
    <definedName name="BLPH7" localSheetId="3" hidden="1">#REF!</definedName>
    <definedName name="BLPH7" hidden="1">#REF!</definedName>
    <definedName name="BLPH70" localSheetId="3" hidden="1">#REF!</definedName>
    <definedName name="BLPH70" hidden="1">#REF!</definedName>
    <definedName name="BLPH71" localSheetId="3" hidden="1">#REF!</definedName>
    <definedName name="BLPH71" hidden="1">#REF!</definedName>
    <definedName name="BLPH72" localSheetId="3" hidden="1">#REF!</definedName>
    <definedName name="BLPH72" hidden="1">#REF!</definedName>
    <definedName name="BLPH73" localSheetId="3" hidden="1">#REF!</definedName>
    <definedName name="BLPH73" hidden="1">#REF!</definedName>
    <definedName name="BLPH74" localSheetId="3" hidden="1">#REF!</definedName>
    <definedName name="BLPH74" hidden="1">#REF!</definedName>
    <definedName name="BLPH75" localSheetId="3" hidden="1">#REF!</definedName>
    <definedName name="BLPH75" hidden="1">#REF!</definedName>
    <definedName name="BLPH76" localSheetId="3" hidden="1">#REF!</definedName>
    <definedName name="BLPH76" hidden="1">#REF!</definedName>
    <definedName name="BLPH77" localSheetId="3" hidden="1">#REF!</definedName>
    <definedName name="BLPH77" hidden="1">#REF!</definedName>
    <definedName name="BLPH78" localSheetId="3" hidden="1">#REF!</definedName>
    <definedName name="BLPH78" hidden="1">#REF!</definedName>
    <definedName name="BLPH79" localSheetId="3" hidden="1">#REF!</definedName>
    <definedName name="BLPH79" hidden="1">#REF!</definedName>
    <definedName name="BLPH8" localSheetId="3" hidden="1">#REF!</definedName>
    <definedName name="BLPH8" hidden="1">#REF!</definedName>
    <definedName name="BLPH80" localSheetId="3" hidden="1">#REF!</definedName>
    <definedName name="BLPH80" hidden="1">#REF!</definedName>
    <definedName name="BLPH81" localSheetId="3" hidden="1">#REF!</definedName>
    <definedName name="BLPH81" hidden="1">#REF!</definedName>
    <definedName name="BLPH82" localSheetId="3" hidden="1">#REF!</definedName>
    <definedName name="BLPH82" hidden="1">#REF!</definedName>
    <definedName name="BLPH83" localSheetId="3" hidden="1">#REF!</definedName>
    <definedName name="BLPH83" hidden="1">#REF!</definedName>
    <definedName name="BLPH84" localSheetId="3" hidden="1">#REF!</definedName>
    <definedName name="BLPH84" hidden="1">#REF!</definedName>
    <definedName name="BLPH85" localSheetId="3" hidden="1">#REF!</definedName>
    <definedName name="BLPH85" hidden="1">#REF!</definedName>
    <definedName name="BLPH86" localSheetId="3" hidden="1">#REF!</definedName>
    <definedName name="BLPH86" hidden="1">#REF!</definedName>
    <definedName name="BLPH87" localSheetId="3" hidden="1">#REF!</definedName>
    <definedName name="BLPH87" hidden="1">#REF!</definedName>
    <definedName name="BLPH88" localSheetId="3" hidden="1">#REF!</definedName>
    <definedName name="BLPH88" hidden="1">#REF!</definedName>
    <definedName name="BLPH89" localSheetId="3" hidden="1">#REF!</definedName>
    <definedName name="BLPH89" hidden="1">#REF!</definedName>
    <definedName name="BLPH9" localSheetId="3" hidden="1">#REF!</definedName>
    <definedName name="BLPH9" hidden="1">#REF!</definedName>
    <definedName name="BLPH90" localSheetId="3" hidden="1">#REF!</definedName>
    <definedName name="BLPH90" hidden="1">#REF!</definedName>
    <definedName name="BLPH91" localSheetId="3" hidden="1">#REF!</definedName>
    <definedName name="BLPH91" hidden="1">#REF!</definedName>
    <definedName name="BLPH92" localSheetId="3" hidden="1">#REF!</definedName>
    <definedName name="BLPH92" hidden="1">#REF!</definedName>
    <definedName name="BLPH93" localSheetId="3" hidden="1">#REF!</definedName>
    <definedName name="BLPH93" hidden="1">#REF!</definedName>
    <definedName name="BLPH94" localSheetId="3" hidden="1">#REF!</definedName>
    <definedName name="BLPH94" hidden="1">#REF!</definedName>
    <definedName name="BLPH95" localSheetId="3" hidden="1">#REF!</definedName>
    <definedName name="BLPH95" hidden="1">#REF!</definedName>
    <definedName name="BLPH96" localSheetId="3" hidden="1">#REF!</definedName>
    <definedName name="BLPH96" hidden="1">#REF!</definedName>
    <definedName name="BLPH97" localSheetId="3" hidden="1">#REF!</definedName>
    <definedName name="BLPH97" hidden="1">#REF!</definedName>
    <definedName name="BLPH98" localSheetId="3" hidden="1">#REF!</definedName>
    <definedName name="BLPH98" hidden="1">#REF!</definedName>
    <definedName name="BLPH99" localSheetId="3" hidden="1">#REF!</definedName>
    <definedName name="BLPH99" hidden="1">#REF!</definedName>
    <definedName name="BNE_MESSAGES_HIDDEN" localSheetId="3" hidden="1">#REF!</definedName>
    <definedName name="BNE_MESSAGES_HIDDEN" hidden="1">#REF!</definedName>
    <definedName name="Cwvu.CapersView." localSheetId="3" hidden="1">[8]Sheet1!#REF!</definedName>
    <definedName name="Cwvu.CapersView." hidden="1">[8]Sheet1!#REF!</definedName>
    <definedName name="Cwvu.Japan_Capers_Ed_Pub." localSheetId="3" hidden="1">[8]Sheet1!#REF!</definedName>
    <definedName name="Cwvu.Japan_Capers_Ed_Pub." hidden="1">[8]Sheet1!#REF!</definedName>
    <definedName name="dgsgf" localSheetId="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ExtraProfiles" localSheetId="3" hidden="1">#REF!</definedName>
    <definedName name="ExtraProfiles" hidden="1">#REF!</definedName>
    <definedName name="fg" localSheetId="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indit" hidden="1">{#N/A,#N/A,FALSE,"Aging Summary";#N/A,#N/A,FALSE,"Ratio Analysis";#N/A,#N/A,FALSE,"Test 120 Day Accts";#N/A,#N/A,FALSE,"Tickmarks"}</definedName>
    <definedName name="ghj" localSheetId="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imcount" hidden="1">1</definedName>
    <definedName name="ListOffset" hidden="1">1</definedName>
    <definedName name="New" hidden="1">{#N/A,#N/A,FALSE,"Aging Summary";#N/A,#N/A,FALSE,"Ratio Analysis";#N/A,#N/A,FALSE,"Test 120 Day Accts";#N/A,#N/A,FALSE,"Tickmarks"}</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l_Workbook_GUID" hidden="1">"LJ9YVKRJVQ1A1KNUG7XIT5A9"</definedName>
    <definedName name="Percent2" hidden="1">{#N/A,#N/A,FALSE,"Aging Summary";#N/A,#N/A,FALSE,"Ratio Analysis";#N/A,#N/A,FALSE,"Test 120 Day Accts";#N/A,#N/A,FALSE,"Tickmarks"}</definedName>
    <definedName name="Pop" localSheetId="3" hidden="1">[11]Population!#REF!</definedName>
    <definedName name="Pop" hidden="1">[11]Population!#REF!</definedName>
    <definedName name="Population" localSheetId="3" hidden="1">#REF!</definedName>
    <definedName name="Population" hidden="1">#REF!</definedName>
    <definedName name="Profiles" localSheetId="3" hidden="1">#REF!</definedName>
    <definedName name="Profiles" hidden="1">#REF!</definedName>
    <definedName name="Projections" localSheetId="3" hidden="1">#REF!</definedName>
    <definedName name="Projections" hidden="1">#REF!</definedName>
    <definedName name="Results" hidden="1">[12]UK99!$A$1:$A$1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localSheetId="3" hidden="1">#REF!</definedName>
    <definedName name="Rwvu.CapersView." hidden="1">#REF!</definedName>
    <definedName name="Rwvu.Japan_Capers_Ed_Pub." localSheetId="3" hidden="1">#REF!</definedName>
    <definedName name="Rwvu.Japan_Capers_Ed_Pub." hidden="1">#REF!</definedName>
    <definedName name="Rwvu.KJP_CC." localSheetId="3"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df" localSheetId="3"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ncount" hidden="1">1</definedName>
    <definedName name="sfad" localSheetId="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wvu.CapersView." hidden="1">[8]Sheet1!#REF!</definedName>
    <definedName name="Swvu.Japan_Capers_Ed_Pub." localSheetId="3" hidden="1">#REF!</definedName>
    <definedName name="Swvu.Japan_Capers_Ed_Pub." hidden="1">#REF!</definedName>
    <definedName name="Swvu.KJP_CC." localSheetId="3" hidden="1">#REF!</definedName>
    <definedName name="Swvu.KJP_CC." hidden="1">#REF!</definedName>
    <definedName name="test"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hidden="1">{"AJD",#N/A,TRUE,"Summary";"AJD",#N/A,TRUE,"CFCONC-outputs";"AJD",#N/A,TRUE,"P&amp;LCONC-outputs";"AJD",#N/A,TRUE,"BSCONC-outputs";"AJD",#N/A,TRUE,"FSCONC-outputs"}</definedName>
    <definedName name="wrn.Construction._.Costs." hidden="1">{"Const Costs Dev",#N/A,FALSE,"Construction Cost Inputs";"Const Costs orig ccy",#N/A,FALSE,"Construction Cost Inputs";"Const Costs USD",#N/A,FALSE,"Construction Cost Inputs"}</definedName>
    <definedName name="wrn.Financing._.Inputs." hidden="1">{"BuildIn 2 Funding Assump",#N/A,FALSE,"Building Inputs";"BuildIn Capex plus Extras",#N/A,FALSE,"Building Inputs"}</definedName>
    <definedName name="wrn.Inputs._.outputs." hidden="1">{"key inputs",#N/A,FALSE,"Key Inputs";"key outputs",#N/A,FALSE,"Outputs";"Other inputs",#N/A,FALSE,"Other Inputs";"cashflow",#N/A,FALSE,"Statemnts"}</definedName>
    <definedName name="wrn.OpCostIn." hidden="1">{"OpCostIn Technical",#N/A,FALSE,"Operations Cost Inputs";"OpCostIn V plus F",#N/A,FALSE,"Operations Cost Inputs";"OpCostIn Maint",#N/A,FALSE,"Operations Cost Inputs";"OpCostIn LDs Add Cost",#N/A,FALSE,"Operations Cost Inputs"}</definedName>
    <definedName name="wrn.Print_full_repo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Summary._.results." hidden="1">{"key inputs",#N/A,TRUE,"Key Inputs";"key outputs",#N/A,TRUE,"Outputs";"Other inputs",#N/A,TRUE,"Other Inputs";"Revenue",#N/A,TRUE,"Rev"}</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Z_9A428CE1_B4D9_11D0_A8AA_0000C071AEE7_.wvu.Cols" hidden="1">[8]Sheet1!$A$1:$Q$65536,[8]Sheet1!$Y$1:$Z$65536</definedName>
    <definedName name="Z_9A428CE1_B4D9_11D0_A8AA_0000C071AEE7_.wvu.PrintArea" localSheetId="3" hidden="1">#REF!</definedName>
    <definedName name="Z_9A428CE1_B4D9_11D0_A8AA_0000C071AEE7_.wvu.PrintArea" hidden="1">#REF!</definedName>
  </definedNames>
  <calcPr calcId="162913"/>
</workbook>
</file>

<file path=xl/calcChain.xml><?xml version="1.0" encoding="utf-8"?>
<calcChain xmlns="http://schemas.openxmlformats.org/spreadsheetml/2006/main">
  <c r="V10" i="56" l="1"/>
  <c r="U4" i="56"/>
  <c r="U10" i="56"/>
  <c r="U13" i="56"/>
  <c r="U19" i="56"/>
  <c r="V21" i="56"/>
  <c r="V23" i="56"/>
  <c r="V7" i="56"/>
  <c r="V16" i="56"/>
  <c r="V39" i="56"/>
  <c r="U8" i="56"/>
  <c r="W100" i="55"/>
  <c r="X100" i="55"/>
  <c r="Y100" i="55"/>
  <c r="Z100" i="55"/>
  <c r="AA100" i="55"/>
  <c r="AB100" i="55"/>
  <c r="AC100" i="55"/>
  <c r="AD100" i="55"/>
  <c r="AE100" i="55"/>
  <c r="AF100" i="55"/>
  <c r="AG100" i="55"/>
  <c r="AH100" i="55"/>
  <c r="AI100" i="55"/>
  <c r="AJ100" i="55"/>
  <c r="AK100" i="55"/>
  <c r="AL100" i="55"/>
  <c r="AM100" i="55"/>
  <c r="AN100" i="55"/>
  <c r="AO100" i="55"/>
  <c r="AP100" i="55"/>
  <c r="AQ100" i="55"/>
  <c r="AR100" i="55"/>
  <c r="V100" i="55"/>
  <c r="V3" i="41"/>
  <c r="V61" i="41"/>
  <c r="V20" i="41"/>
  <c r="V21" i="41"/>
  <c r="W21" i="41" s="1"/>
  <c r="V22" i="41"/>
  <c r="V23" i="41"/>
  <c r="V31" i="60" s="1"/>
  <c r="V24" i="41"/>
  <c r="W3" i="41"/>
  <c r="X3" i="41"/>
  <c r="Y3" i="41"/>
  <c r="Z3" i="41"/>
  <c r="AA3" i="41"/>
  <c r="AB3" i="41"/>
  <c r="AC3" i="41"/>
  <c r="AD3" i="41"/>
  <c r="AE3" i="41"/>
  <c r="AF3" i="41"/>
  <c r="AG3" i="41"/>
  <c r="AH3" i="41"/>
  <c r="AI3" i="41"/>
  <c r="AJ3" i="41"/>
  <c r="AK3" i="41"/>
  <c r="AL3" i="41"/>
  <c r="AM3" i="41"/>
  <c r="AN3" i="41"/>
  <c r="AO3" i="41"/>
  <c r="AP3" i="41"/>
  <c r="AQ3" i="41"/>
  <c r="AR3" i="41"/>
  <c r="W101" i="55"/>
  <c r="V57" i="41"/>
  <c r="V5" i="41"/>
  <c r="V48" i="41"/>
  <c r="W5" i="41"/>
  <c r="W48" i="41"/>
  <c r="W23" i="56"/>
  <c r="X101" i="55"/>
  <c r="X5" i="41"/>
  <c r="X48" i="41"/>
  <c r="X23" i="56"/>
  <c r="Y101" i="55"/>
  <c r="Y5" i="41"/>
  <c r="Y48" i="41"/>
  <c r="Y23" i="56"/>
  <c r="Z101" i="55"/>
  <c r="Z5" i="41"/>
  <c r="Z48" i="41"/>
  <c r="Z23" i="56"/>
  <c r="AA101" i="55"/>
  <c r="AA5" i="41"/>
  <c r="AA48" i="41"/>
  <c r="AA23" i="56"/>
  <c r="AB101" i="55"/>
  <c r="AB5" i="41"/>
  <c r="AB48" i="41"/>
  <c r="AB23" i="56"/>
  <c r="AC101" i="55"/>
  <c r="AC5" i="41"/>
  <c r="AC48" i="41"/>
  <c r="AC23" i="56"/>
  <c r="AD101" i="55"/>
  <c r="AD5" i="41"/>
  <c r="AD48" i="41"/>
  <c r="AD23" i="56"/>
  <c r="AE101" i="55"/>
  <c r="AE5" i="41"/>
  <c r="AE48" i="41"/>
  <c r="AE23" i="56"/>
  <c r="AF101" i="55"/>
  <c r="AF5" i="41"/>
  <c r="AF48" i="41"/>
  <c r="AF23" i="56"/>
  <c r="AG101" i="55"/>
  <c r="AG5" i="41"/>
  <c r="AG48" i="41"/>
  <c r="AG23" i="56"/>
  <c r="AH101" i="55"/>
  <c r="AH5" i="41"/>
  <c r="AH48" i="41"/>
  <c r="AH23" i="56"/>
  <c r="AI101" i="55"/>
  <c r="AI5" i="41"/>
  <c r="AI48" i="41"/>
  <c r="AI23" i="56"/>
  <c r="AJ101" i="55"/>
  <c r="AJ5" i="41"/>
  <c r="AJ48" i="41"/>
  <c r="AJ23" i="56"/>
  <c r="AK101" i="55"/>
  <c r="AK5" i="41"/>
  <c r="AK48" i="41"/>
  <c r="AK23" i="56"/>
  <c r="AL101" i="55"/>
  <c r="AL5" i="41"/>
  <c r="AL48" i="41"/>
  <c r="AL23" i="56"/>
  <c r="AM101" i="55"/>
  <c r="AM5" i="41"/>
  <c r="AM48" i="41"/>
  <c r="AM23" i="56"/>
  <c r="AN101" i="55"/>
  <c r="AN5" i="41"/>
  <c r="AN48" i="41"/>
  <c r="AN23" i="56"/>
  <c r="AO101" i="55"/>
  <c r="AO5" i="41"/>
  <c r="AO48" i="41"/>
  <c r="AO23" i="56"/>
  <c r="AP101" i="55"/>
  <c r="AP5" i="41"/>
  <c r="AP48" i="41"/>
  <c r="AP23" i="56"/>
  <c r="AQ101" i="55"/>
  <c r="AQ5" i="41"/>
  <c r="AQ48" i="41"/>
  <c r="AQ23" i="56"/>
  <c r="AR101" i="55"/>
  <c r="AR5" i="41"/>
  <c r="AR48" i="41"/>
  <c r="AR23" i="56"/>
  <c r="V101" i="55"/>
  <c r="W4" i="60"/>
  <c r="X4" i="60"/>
  <c r="Y4" i="60"/>
  <c r="Z4" i="60"/>
  <c r="AA4" i="60"/>
  <c r="W3" i="60"/>
  <c r="X3" i="60"/>
  <c r="Y3" i="60"/>
  <c r="Z3" i="60"/>
  <c r="AA3" i="60"/>
  <c r="V3" i="60"/>
  <c r="AA42" i="41"/>
  <c r="U62" i="56"/>
  <c r="U63" i="56"/>
  <c r="U64" i="56"/>
  <c r="U65" i="56"/>
  <c r="U61" i="56"/>
  <c r="W1" i="56"/>
  <c r="W60" i="56"/>
  <c r="X1" i="56"/>
  <c r="X60" i="56"/>
  <c r="Y1" i="56"/>
  <c r="Y60" i="56"/>
  <c r="Z1" i="56"/>
  <c r="Z60" i="56"/>
  <c r="AA1" i="56"/>
  <c r="AA60" i="56"/>
  <c r="AB1" i="56"/>
  <c r="AB60" i="56"/>
  <c r="AC1" i="56"/>
  <c r="AC60" i="56"/>
  <c r="AD1" i="56"/>
  <c r="AD60" i="56"/>
  <c r="AE1" i="56"/>
  <c r="AE60" i="56"/>
  <c r="AF1" i="56"/>
  <c r="AF60" i="56"/>
  <c r="AG1" i="56"/>
  <c r="AG60" i="56"/>
  <c r="AH1" i="56"/>
  <c r="AH60" i="56"/>
  <c r="AI1" i="56"/>
  <c r="AI60" i="56"/>
  <c r="AJ1" i="56"/>
  <c r="AJ60" i="56"/>
  <c r="AK1" i="56"/>
  <c r="AK60" i="56"/>
  <c r="AL1" i="56"/>
  <c r="AL60" i="56"/>
  <c r="AM1" i="56"/>
  <c r="AM60" i="56"/>
  <c r="AN1" i="56"/>
  <c r="AN60" i="56"/>
  <c r="AO1" i="56"/>
  <c r="AO60" i="56"/>
  <c r="AP1" i="56"/>
  <c r="AP60" i="56"/>
  <c r="AQ1" i="56"/>
  <c r="AQ60" i="56"/>
  <c r="AR1" i="56"/>
  <c r="AR60" i="56"/>
  <c r="V1" i="56"/>
  <c r="V60" i="56"/>
  <c r="V37" i="38"/>
  <c r="V42" i="38"/>
  <c r="W37" i="38"/>
  <c r="W42" i="38"/>
  <c r="X37" i="38"/>
  <c r="X42" i="38"/>
  <c r="S32" i="55"/>
  <c r="E37" i="38"/>
  <c r="E42" i="38"/>
  <c r="F37" i="38"/>
  <c r="F42" i="38"/>
  <c r="G37" i="38"/>
  <c r="G42" i="38"/>
  <c r="H37" i="38"/>
  <c r="H42" i="38"/>
  <c r="I37" i="38"/>
  <c r="I42" i="38"/>
  <c r="J37" i="38"/>
  <c r="J42" i="38"/>
  <c r="K37" i="38"/>
  <c r="K42" i="38"/>
  <c r="L37" i="38"/>
  <c r="L42" i="38"/>
  <c r="M37" i="38"/>
  <c r="M42" i="38"/>
  <c r="N37" i="38"/>
  <c r="N42" i="38"/>
  <c r="O37" i="38"/>
  <c r="O42" i="38"/>
  <c r="P37" i="38"/>
  <c r="P42" i="38"/>
  <c r="Q37" i="38"/>
  <c r="Q42" i="38"/>
  <c r="R37" i="38"/>
  <c r="R42" i="38"/>
  <c r="S37" i="38"/>
  <c r="S42" i="38"/>
  <c r="T37" i="38"/>
  <c r="T42" i="38"/>
  <c r="U37" i="38"/>
  <c r="U42" i="38"/>
  <c r="X49" i="38"/>
  <c r="V38" i="38"/>
  <c r="V43" i="38"/>
  <c r="W38" i="38"/>
  <c r="W43" i="38"/>
  <c r="X38" i="38"/>
  <c r="X43" i="38"/>
  <c r="J38" i="38"/>
  <c r="J43" i="38"/>
  <c r="K38" i="38"/>
  <c r="K43" i="38"/>
  <c r="L38" i="38"/>
  <c r="L43" i="38"/>
  <c r="M38" i="38"/>
  <c r="M43" i="38"/>
  <c r="N38" i="38"/>
  <c r="N43" i="38"/>
  <c r="O38" i="38"/>
  <c r="O43" i="38"/>
  <c r="P38" i="38"/>
  <c r="P43" i="38"/>
  <c r="Q38" i="38"/>
  <c r="Q43" i="38"/>
  <c r="R38" i="38"/>
  <c r="R43" i="38"/>
  <c r="S38" i="38"/>
  <c r="S43" i="38"/>
  <c r="T38" i="38"/>
  <c r="T43" i="38"/>
  <c r="U38" i="38"/>
  <c r="U43" i="38"/>
  <c r="X50" i="38"/>
  <c r="V39" i="38"/>
  <c r="V44" i="38"/>
  <c r="W39" i="38"/>
  <c r="W44" i="38"/>
  <c r="X39" i="38"/>
  <c r="X44" i="38"/>
  <c r="T39" i="38"/>
  <c r="T44" i="38"/>
  <c r="U39" i="38"/>
  <c r="U44" i="38"/>
  <c r="X51" i="38"/>
  <c r="D55" i="38"/>
  <c r="E32" i="38"/>
  <c r="X48" i="38"/>
  <c r="M33" i="38"/>
  <c r="M34" i="38"/>
  <c r="M45" i="38"/>
  <c r="N33" i="38"/>
  <c r="N34" i="38"/>
  <c r="N45" i="38"/>
  <c r="O33" i="38"/>
  <c r="O34" i="38"/>
  <c r="O45" i="38"/>
  <c r="P33" i="38"/>
  <c r="P34" i="38"/>
  <c r="P45" i="38"/>
  <c r="Q33" i="38"/>
  <c r="Q34" i="38"/>
  <c r="Q45" i="38"/>
  <c r="R33" i="38"/>
  <c r="R34" i="38"/>
  <c r="R45" i="38"/>
  <c r="S33" i="38"/>
  <c r="S34" i="38"/>
  <c r="S45" i="38"/>
  <c r="T33" i="38"/>
  <c r="T34" i="38"/>
  <c r="T45" i="38"/>
  <c r="U33" i="38"/>
  <c r="U34" i="38"/>
  <c r="U45" i="38"/>
  <c r="X52" i="38"/>
  <c r="X53" i="38"/>
  <c r="X71" i="41"/>
  <c r="U36" i="55"/>
  <c r="V36" i="55"/>
  <c r="W36" i="55"/>
  <c r="X36" i="55"/>
  <c r="X80" i="41"/>
  <c r="X84" i="41"/>
  <c r="Y37" i="38"/>
  <c r="Y42" i="38"/>
  <c r="Z37" i="38"/>
  <c r="Z42" i="38"/>
  <c r="AA37" i="38"/>
  <c r="AA42" i="38"/>
  <c r="AB37" i="38"/>
  <c r="AB42" i="38"/>
  <c r="AB49" i="38"/>
  <c r="Y38" i="38"/>
  <c r="Y43" i="38"/>
  <c r="Z38" i="38"/>
  <c r="Z43" i="38"/>
  <c r="AA38" i="38"/>
  <c r="AA43" i="38"/>
  <c r="AB38" i="38"/>
  <c r="AB43" i="38"/>
  <c r="AB50" i="38"/>
  <c r="Y39" i="38"/>
  <c r="Y44" i="38"/>
  <c r="Z39" i="38"/>
  <c r="Z44" i="38"/>
  <c r="AA39" i="38"/>
  <c r="AA44" i="38"/>
  <c r="AB39" i="38"/>
  <c r="AB44" i="38"/>
  <c r="AB51" i="38"/>
  <c r="AB48" i="38"/>
  <c r="AB52" i="38"/>
  <c r="AB53" i="38"/>
  <c r="AB71" i="41"/>
  <c r="Y36" i="55"/>
  <c r="Z36" i="55"/>
  <c r="AA36" i="55"/>
  <c r="AB35" i="55"/>
  <c r="AB36" i="55"/>
  <c r="AB80" i="41"/>
  <c r="AB84" i="41"/>
  <c r="AC37" i="38"/>
  <c r="AC42" i="38"/>
  <c r="AD37" i="38"/>
  <c r="AD42" i="38"/>
  <c r="AE37" i="38"/>
  <c r="AE42" i="38"/>
  <c r="AF37" i="38"/>
  <c r="AF42" i="38"/>
  <c r="AF49" i="38"/>
  <c r="AC38" i="38"/>
  <c r="AC43" i="38"/>
  <c r="AD38" i="38"/>
  <c r="AD43" i="38"/>
  <c r="AE38" i="38"/>
  <c r="AE43" i="38"/>
  <c r="AF38" i="38"/>
  <c r="AF43" i="38"/>
  <c r="AF50" i="38"/>
  <c r="AC39" i="38"/>
  <c r="AC44" i="38"/>
  <c r="AD39" i="38"/>
  <c r="AD44" i="38"/>
  <c r="AE39" i="38"/>
  <c r="AE44" i="38"/>
  <c r="AF39" i="38"/>
  <c r="AF44" i="38"/>
  <c r="AF51" i="38"/>
  <c r="AF48" i="38"/>
  <c r="AF52" i="38"/>
  <c r="AF53" i="38"/>
  <c r="AF71" i="41"/>
  <c r="AC35" i="55"/>
  <c r="AC36" i="55"/>
  <c r="AD35" i="55"/>
  <c r="AD36" i="55"/>
  <c r="AE35" i="55"/>
  <c r="AE36" i="55"/>
  <c r="AF35" i="55"/>
  <c r="AF36" i="55"/>
  <c r="AF80" i="41"/>
  <c r="AF84" i="41"/>
  <c r="AG37" i="38"/>
  <c r="AG42" i="38"/>
  <c r="AH37" i="38"/>
  <c r="AH42" i="38"/>
  <c r="AI37" i="38"/>
  <c r="AI42" i="38"/>
  <c r="AJ37" i="38"/>
  <c r="AJ42" i="38"/>
  <c r="AJ49" i="38"/>
  <c r="AG38" i="38"/>
  <c r="AG43" i="38"/>
  <c r="AH38" i="38"/>
  <c r="AH43" i="38"/>
  <c r="AI38" i="38"/>
  <c r="AI43" i="38"/>
  <c r="AJ38" i="38"/>
  <c r="AJ43" i="38"/>
  <c r="AJ50" i="38"/>
  <c r="AG39" i="38"/>
  <c r="AG44" i="38"/>
  <c r="AH39" i="38"/>
  <c r="AH44" i="38"/>
  <c r="AI39" i="38"/>
  <c r="AI44" i="38"/>
  <c r="AJ39" i="38"/>
  <c r="AJ44" i="38"/>
  <c r="AJ51" i="38"/>
  <c r="AJ48" i="38"/>
  <c r="AJ52" i="38"/>
  <c r="AJ53" i="38"/>
  <c r="AJ71" i="41"/>
  <c r="AG35" i="55"/>
  <c r="AG36" i="55"/>
  <c r="AH35" i="55"/>
  <c r="AH36" i="55"/>
  <c r="AI35" i="55"/>
  <c r="AI36" i="55"/>
  <c r="AJ35" i="55"/>
  <c r="AJ36" i="55"/>
  <c r="AJ80" i="41"/>
  <c r="AJ84" i="41"/>
  <c r="AK37" i="38"/>
  <c r="AK42" i="38"/>
  <c r="AL37" i="38"/>
  <c r="AL42" i="38"/>
  <c r="AM37" i="38"/>
  <c r="AM42" i="38"/>
  <c r="AN37" i="38"/>
  <c r="AN42" i="38"/>
  <c r="AN49" i="38"/>
  <c r="AK38" i="38"/>
  <c r="AK43" i="38"/>
  <c r="AL38" i="38"/>
  <c r="AL43" i="38"/>
  <c r="AM38" i="38"/>
  <c r="AM43" i="38"/>
  <c r="AN38" i="38"/>
  <c r="AN43" i="38"/>
  <c r="AN50" i="38"/>
  <c r="AK39" i="38"/>
  <c r="AK44" i="38"/>
  <c r="AL39" i="38"/>
  <c r="AL44" i="38"/>
  <c r="AM39" i="38"/>
  <c r="AM44" i="38"/>
  <c r="AN39" i="38"/>
  <c r="AN44" i="38"/>
  <c r="AN51" i="38"/>
  <c r="AN48" i="38"/>
  <c r="AN52" i="38"/>
  <c r="AN53" i="38"/>
  <c r="AN71" i="41"/>
  <c r="AK35" i="55"/>
  <c r="AK36" i="55"/>
  <c r="AL35" i="55"/>
  <c r="AL36" i="55"/>
  <c r="AM35" i="55"/>
  <c r="AM36" i="55"/>
  <c r="AN35" i="55"/>
  <c r="AN36" i="55"/>
  <c r="AN80" i="41"/>
  <c r="AN84" i="41"/>
  <c r="AO37" i="38"/>
  <c r="AO42" i="38"/>
  <c r="AP37" i="38"/>
  <c r="AP42" i="38"/>
  <c r="AQ37" i="38"/>
  <c r="AQ42" i="38"/>
  <c r="AR37" i="38"/>
  <c r="AR42" i="38"/>
  <c r="AR49" i="38"/>
  <c r="AO38" i="38"/>
  <c r="AO43" i="38"/>
  <c r="AP38" i="38"/>
  <c r="AP43" i="38"/>
  <c r="AQ38" i="38"/>
  <c r="AQ43" i="38"/>
  <c r="AR38" i="38"/>
  <c r="AR43" i="38"/>
  <c r="AR50" i="38"/>
  <c r="AO39" i="38"/>
  <c r="AO44" i="38"/>
  <c r="AP39" i="38"/>
  <c r="AP44" i="38"/>
  <c r="AQ39" i="38"/>
  <c r="AQ44" i="38"/>
  <c r="AR39" i="38"/>
  <c r="AR44" i="38"/>
  <c r="AR51" i="38"/>
  <c r="AR48" i="38"/>
  <c r="AR52" i="38"/>
  <c r="AR53" i="38"/>
  <c r="AR71" i="41"/>
  <c r="AO35" i="55"/>
  <c r="AO36" i="55"/>
  <c r="AP35" i="55"/>
  <c r="AP36" i="55"/>
  <c r="AQ35" i="55"/>
  <c r="AQ36" i="55"/>
  <c r="AR35" i="55"/>
  <c r="AR36" i="55"/>
  <c r="AR80" i="41"/>
  <c r="AR84" i="41"/>
  <c r="X86" i="41"/>
  <c r="AB86" i="41"/>
  <c r="AF86" i="41"/>
  <c r="AJ86" i="41"/>
  <c r="AN86" i="41"/>
  <c r="AR86" i="41"/>
  <c r="X88" i="41"/>
  <c r="AB88" i="41"/>
  <c r="AF88" i="41"/>
  <c r="AJ88" i="41"/>
  <c r="AN88" i="41"/>
  <c r="AR88" i="41"/>
  <c r="V49" i="38"/>
  <c r="H38" i="38"/>
  <c r="H43" i="38"/>
  <c r="I38" i="38"/>
  <c r="I43" i="38"/>
  <c r="V50" i="38"/>
  <c r="R39" i="38"/>
  <c r="R44" i="38"/>
  <c r="S39" i="38"/>
  <c r="S44" i="38"/>
  <c r="V51" i="38"/>
  <c r="V48" i="38"/>
  <c r="V52" i="38"/>
  <c r="V53" i="38"/>
  <c r="V71" i="41"/>
  <c r="V80" i="41"/>
  <c r="V84" i="41"/>
  <c r="Y49" i="38"/>
  <c r="Y50" i="38"/>
  <c r="Y51" i="38"/>
  <c r="Y48" i="38"/>
  <c r="Y52" i="38"/>
  <c r="Y53" i="38"/>
  <c r="Y71" i="41"/>
  <c r="Z49" i="38"/>
  <c r="Z50" i="38"/>
  <c r="Z51" i="38"/>
  <c r="Z48" i="38"/>
  <c r="Z52" i="38"/>
  <c r="Z53" i="38"/>
  <c r="Z71" i="41"/>
  <c r="AA49" i="38"/>
  <c r="AA50" i="38"/>
  <c r="AA51" i="38"/>
  <c r="AA48" i="38"/>
  <c r="AA52" i="38"/>
  <c r="AA53" i="38"/>
  <c r="AA71" i="41"/>
  <c r="AC49" i="38"/>
  <c r="AC50" i="38"/>
  <c r="AC51" i="38"/>
  <c r="AC48" i="38"/>
  <c r="AC52" i="38"/>
  <c r="AC53" i="38"/>
  <c r="AC71" i="41"/>
  <c r="AD49" i="38"/>
  <c r="AD50" i="38"/>
  <c r="AD51" i="38"/>
  <c r="AD48" i="38"/>
  <c r="AD52" i="38"/>
  <c r="AD53" i="38"/>
  <c r="AD71" i="41"/>
  <c r="AE49" i="38"/>
  <c r="AE50" i="38"/>
  <c r="AE51" i="38"/>
  <c r="AE48" i="38"/>
  <c r="AE52" i="38"/>
  <c r="AE53" i="38"/>
  <c r="AE71" i="41"/>
  <c r="AG49" i="38"/>
  <c r="AG50" i="38"/>
  <c r="AG51" i="38"/>
  <c r="AG48" i="38"/>
  <c r="AG52" i="38"/>
  <c r="AG53" i="38"/>
  <c r="AG71" i="41"/>
  <c r="AH49" i="38"/>
  <c r="AH50" i="38"/>
  <c r="AH51" i="38"/>
  <c r="AH48" i="38"/>
  <c r="AH52" i="38"/>
  <c r="AH53" i="38"/>
  <c r="AH71" i="41"/>
  <c r="AI49" i="38"/>
  <c r="AI50" i="38"/>
  <c r="AI51" i="38"/>
  <c r="AI48" i="38"/>
  <c r="AI52" i="38"/>
  <c r="AI53" i="38"/>
  <c r="AI71" i="41"/>
  <c r="AK49" i="38"/>
  <c r="AK50" i="38"/>
  <c r="AK51" i="38"/>
  <c r="AK48" i="38"/>
  <c r="AK52" i="38"/>
  <c r="AK53" i="38"/>
  <c r="AK71" i="41"/>
  <c r="AL49" i="38"/>
  <c r="AL50" i="38"/>
  <c r="AL51" i="38"/>
  <c r="AL48" i="38"/>
  <c r="AL52" i="38"/>
  <c r="AL53" i="38"/>
  <c r="AL71" i="41"/>
  <c r="AM49" i="38"/>
  <c r="AM50" i="38"/>
  <c r="AM51" i="38"/>
  <c r="AM48" i="38"/>
  <c r="AM52" i="38"/>
  <c r="AM53" i="38"/>
  <c r="AM71" i="41"/>
  <c r="AO49" i="38"/>
  <c r="AO50" i="38"/>
  <c r="AO51" i="38"/>
  <c r="AO48" i="38"/>
  <c r="AO52" i="38"/>
  <c r="AO53" i="38"/>
  <c r="AO71" i="41"/>
  <c r="AP49" i="38"/>
  <c r="AP50" i="38"/>
  <c r="AP51" i="38"/>
  <c r="AP48" i="38"/>
  <c r="AP52" i="38"/>
  <c r="AP53" i="38"/>
  <c r="AP71" i="41"/>
  <c r="AQ49" i="38"/>
  <c r="AQ50" i="38"/>
  <c r="AQ51" i="38"/>
  <c r="AQ48" i="38"/>
  <c r="AQ52" i="38"/>
  <c r="AQ53" i="38"/>
  <c r="AQ71" i="41"/>
  <c r="W49" i="38"/>
  <c r="W50" i="38"/>
  <c r="W51" i="38"/>
  <c r="W48" i="38"/>
  <c r="W52" i="38"/>
  <c r="W53" i="38"/>
  <c r="W71" i="41"/>
  <c r="B79" i="41"/>
  <c r="C79" i="41"/>
  <c r="D79" i="41"/>
  <c r="E79" i="41"/>
  <c r="F79" i="41"/>
  <c r="G79" i="41"/>
  <c r="H79" i="41"/>
  <c r="I79" i="41"/>
  <c r="J79" i="41"/>
  <c r="K79" i="41"/>
  <c r="L79" i="41"/>
  <c r="M79" i="41"/>
  <c r="N79" i="41"/>
  <c r="O79" i="41"/>
  <c r="P79" i="41"/>
  <c r="Q79" i="41"/>
  <c r="R79" i="41"/>
  <c r="S79" i="41"/>
  <c r="T79" i="41"/>
  <c r="U79" i="41"/>
  <c r="V79" i="41"/>
  <c r="W79" i="41"/>
  <c r="X79" i="41"/>
  <c r="Y79" i="41"/>
  <c r="Z79" i="41"/>
  <c r="AA79" i="41"/>
  <c r="AB79" i="41"/>
  <c r="AC79" i="41"/>
  <c r="AD79" i="41"/>
  <c r="AE79" i="41"/>
  <c r="AF79" i="41"/>
  <c r="AG79" i="41"/>
  <c r="AH79" i="41"/>
  <c r="AI79" i="41"/>
  <c r="AJ79" i="41"/>
  <c r="AK79" i="41"/>
  <c r="AL79" i="41"/>
  <c r="AM79" i="41"/>
  <c r="AN79" i="41"/>
  <c r="AO79" i="41"/>
  <c r="AP79" i="41"/>
  <c r="AQ79" i="41"/>
  <c r="AR79" i="41"/>
  <c r="B80" i="41"/>
  <c r="C80" i="41"/>
  <c r="D80" i="41"/>
  <c r="E80" i="41"/>
  <c r="F80" i="41"/>
  <c r="G80" i="41"/>
  <c r="H80" i="41"/>
  <c r="I80" i="41"/>
  <c r="J80" i="41"/>
  <c r="K80" i="41"/>
  <c r="L80" i="41"/>
  <c r="M80" i="41"/>
  <c r="N80" i="41"/>
  <c r="O80" i="41"/>
  <c r="P80" i="41"/>
  <c r="Q80" i="41"/>
  <c r="R80" i="41"/>
  <c r="S80" i="41"/>
  <c r="T80" i="41"/>
  <c r="U80" i="41"/>
  <c r="V86" i="41"/>
  <c r="W80" i="41"/>
  <c r="Y80" i="41"/>
  <c r="Y86" i="41"/>
  <c r="Z80" i="41"/>
  <c r="AA80" i="41"/>
  <c r="AC80" i="41"/>
  <c r="AC86" i="41"/>
  <c r="AD80" i="41"/>
  <c r="AE80" i="41"/>
  <c r="AG80" i="41"/>
  <c r="AG86" i="41"/>
  <c r="AH80" i="41"/>
  <c r="AI80" i="41"/>
  <c r="AK80" i="41"/>
  <c r="AK86" i="41"/>
  <c r="AL80" i="41"/>
  <c r="AM80" i="41"/>
  <c r="AO80" i="41"/>
  <c r="AO86" i="41"/>
  <c r="AP80" i="41"/>
  <c r="AQ80" i="41"/>
  <c r="A80" i="41"/>
  <c r="A79" i="41"/>
  <c r="AK84" i="41"/>
  <c r="AC84" i="41"/>
  <c r="AM88" i="41"/>
  <c r="AM84" i="41"/>
  <c r="AM86" i="41"/>
  <c r="AE88" i="41"/>
  <c r="AE84" i="41"/>
  <c r="AE86" i="41"/>
  <c r="W86" i="41"/>
  <c r="W88" i="41"/>
  <c r="AL86" i="41"/>
  <c r="AL88" i="41"/>
  <c r="AO84" i="41"/>
  <c r="AG84" i="41"/>
  <c r="Y84" i="41"/>
  <c r="AQ84" i="41"/>
  <c r="AQ86" i="41"/>
  <c r="AQ88" i="41"/>
  <c r="AI84" i="41"/>
  <c r="AI86" i="41"/>
  <c r="AI88" i="41"/>
  <c r="AA84" i="41"/>
  <c r="AA86" i="41"/>
  <c r="AA88" i="41"/>
  <c r="W84" i="41"/>
  <c r="AP86" i="41"/>
  <c r="AP88" i="41"/>
  <c r="AH86" i="41"/>
  <c r="AH88" i="41"/>
  <c r="AD86" i="41"/>
  <c r="AD88" i="41"/>
  <c r="Z86" i="41"/>
  <c r="Z88" i="41"/>
  <c r="AP84" i="41"/>
  <c r="AL84" i="41"/>
  <c r="AH84" i="41"/>
  <c r="AD84" i="41"/>
  <c r="Z84" i="41"/>
  <c r="V88" i="41"/>
  <c r="AO88" i="41"/>
  <c r="AK88" i="41"/>
  <c r="AG88" i="41"/>
  <c r="AC88" i="41"/>
  <c r="Y88" i="41"/>
  <c r="AC94" i="55"/>
  <c r="AD94" i="55"/>
  <c r="AE94" i="55"/>
  <c r="AF94" i="55"/>
  <c r="AG94" i="55"/>
  <c r="AH94" i="55"/>
  <c r="AI94" i="55"/>
  <c r="AJ94" i="55"/>
  <c r="AK94" i="55"/>
  <c r="AL94" i="55"/>
  <c r="AM94" i="55"/>
  <c r="AN94" i="55"/>
  <c r="AO94" i="55"/>
  <c r="AP94" i="55"/>
  <c r="AQ94" i="55"/>
  <c r="AR94" i="55"/>
  <c r="AB94" i="55"/>
  <c r="AD3" i="57"/>
  <c r="AD4" i="57"/>
  <c r="AB4" i="57"/>
  <c r="AO31" i="57"/>
  <c r="AP31" i="57"/>
  <c r="AQ31" i="57"/>
  <c r="AR31" i="57"/>
  <c r="AO32" i="57"/>
  <c r="AP32" i="57"/>
  <c r="AQ32" i="57"/>
  <c r="AR32" i="57"/>
  <c r="AO33" i="57"/>
  <c r="AP33" i="57"/>
  <c r="AQ33" i="57"/>
  <c r="AQ34" i="57"/>
  <c r="AR33" i="57"/>
  <c r="AO61" i="57"/>
  <c r="AP61" i="57"/>
  <c r="AP78" i="57"/>
  <c r="AQ61" i="57"/>
  <c r="AR61" i="57"/>
  <c r="AR78" i="57"/>
  <c r="AO75" i="57"/>
  <c r="AP75" i="57"/>
  <c r="AQ75" i="57"/>
  <c r="AR75" i="57"/>
  <c r="AO77" i="57"/>
  <c r="AP77" i="57"/>
  <c r="AQ77" i="57"/>
  <c r="AR77" i="57"/>
  <c r="AO78" i="57"/>
  <c r="AQ78" i="57"/>
  <c r="AB3" i="57"/>
  <c r="AC3" i="57"/>
  <c r="AC4" i="57"/>
  <c r="AB31" i="57"/>
  <c r="AC31" i="57"/>
  <c r="AC34" i="57"/>
  <c r="AD31" i="57"/>
  <c r="AE31" i="57"/>
  <c r="AF31" i="57"/>
  <c r="AG31" i="57"/>
  <c r="AG34" i="57"/>
  <c r="AH31" i="57"/>
  <c r="AI31" i="57"/>
  <c r="AJ31" i="57"/>
  <c r="AK31" i="57"/>
  <c r="AK34" i="57"/>
  <c r="AL31" i="57"/>
  <c r="AM31" i="57"/>
  <c r="AN31" i="57"/>
  <c r="AB32" i="57"/>
  <c r="AC32" i="57"/>
  <c r="AD32" i="57"/>
  <c r="AE32" i="57"/>
  <c r="AF32" i="57"/>
  <c r="AG32" i="57"/>
  <c r="AH32" i="57"/>
  <c r="AI32" i="57"/>
  <c r="AJ32" i="57"/>
  <c r="AK32" i="57"/>
  <c r="AL32" i="57"/>
  <c r="AM32" i="57"/>
  <c r="AN32" i="57"/>
  <c r="AB33" i="57"/>
  <c r="AC33" i="57"/>
  <c r="AD33" i="57"/>
  <c r="AE33" i="57"/>
  <c r="AF33" i="57"/>
  <c r="AG33" i="57"/>
  <c r="AH33" i="57"/>
  <c r="AI33" i="57"/>
  <c r="AJ33" i="57"/>
  <c r="AK33" i="57"/>
  <c r="AL33" i="57"/>
  <c r="AM33" i="57"/>
  <c r="AN33" i="57"/>
  <c r="AB61" i="57"/>
  <c r="AB78" i="57"/>
  <c r="AC61" i="57"/>
  <c r="AC78" i="57"/>
  <c r="AD61" i="57"/>
  <c r="AD78" i="57"/>
  <c r="AE61" i="57"/>
  <c r="AF61" i="57"/>
  <c r="AF78" i="57"/>
  <c r="AG61" i="57"/>
  <c r="AG78" i="57"/>
  <c r="AH61" i="57"/>
  <c r="AH78" i="57"/>
  <c r="AI61" i="57"/>
  <c r="AI78" i="57"/>
  <c r="AJ61" i="57"/>
  <c r="AJ78" i="57"/>
  <c r="AK61" i="57"/>
  <c r="AK78" i="57"/>
  <c r="AL61" i="57"/>
  <c r="AL78" i="57"/>
  <c r="AM61" i="57"/>
  <c r="AN61" i="57"/>
  <c r="AN78" i="57"/>
  <c r="AB75" i="57"/>
  <c r="AC75" i="57"/>
  <c r="AD75" i="57"/>
  <c r="AE75" i="57"/>
  <c r="AF75" i="57"/>
  <c r="AG75" i="57"/>
  <c r="AH75" i="57"/>
  <c r="AI75" i="57"/>
  <c r="AJ75" i="57"/>
  <c r="AK75" i="57"/>
  <c r="AL75" i="57"/>
  <c r="AM75" i="57"/>
  <c r="AN75" i="57"/>
  <c r="AB77" i="57"/>
  <c r="AC77" i="57"/>
  <c r="AD77" i="57"/>
  <c r="AE77" i="57"/>
  <c r="AF77" i="57"/>
  <c r="AG77" i="57"/>
  <c r="AH77" i="57"/>
  <c r="AI77" i="57"/>
  <c r="AJ77" i="57"/>
  <c r="AK77" i="57"/>
  <c r="AL77" i="57"/>
  <c r="AM77" i="57"/>
  <c r="AN77" i="57"/>
  <c r="AE78" i="57"/>
  <c r="AM78" i="57"/>
  <c r="AE4" i="57"/>
  <c r="AP34" i="57"/>
  <c r="AJ34" i="57"/>
  <c r="AN34" i="57"/>
  <c r="AF34" i="57"/>
  <c r="AO34" i="57"/>
  <c r="AB34" i="57"/>
  <c r="AR34" i="57"/>
  <c r="AL34" i="57"/>
  <c r="AH34" i="57"/>
  <c r="AD34" i="57"/>
  <c r="AM34" i="57"/>
  <c r="AI34" i="57"/>
  <c r="AE34" i="57"/>
  <c r="AE3" i="57"/>
  <c r="AF4" i="57"/>
  <c r="C8" i="60"/>
  <c r="AG4" i="57"/>
  <c r="AF3" i="57"/>
  <c r="AM15" i="55"/>
  <c r="X15" i="55"/>
  <c r="Y15" i="55"/>
  <c r="AB15" i="55"/>
  <c r="AC15" i="55"/>
  <c r="AF15" i="55"/>
  <c r="AG15" i="55"/>
  <c r="AK15" i="55"/>
  <c r="AO15" i="55"/>
  <c r="AR15" i="55"/>
  <c r="W15" i="55"/>
  <c r="AJ15" i="55"/>
  <c r="AN15" i="55"/>
  <c r="AG3" i="57"/>
  <c r="AI15" i="55"/>
  <c r="AQ15" i="55"/>
  <c r="AE15" i="55"/>
  <c r="AA15" i="55"/>
  <c r="AP15" i="55"/>
  <c r="AL15" i="55"/>
  <c r="AH15" i="55"/>
  <c r="AD15" i="55"/>
  <c r="Z15" i="55"/>
  <c r="AH3" i="57"/>
  <c r="AI4" i="57"/>
  <c r="AH4" i="57"/>
  <c r="T35" i="55"/>
  <c r="AJ4" i="57"/>
  <c r="AI3" i="57"/>
  <c r="V45" i="38"/>
  <c r="W45" i="38"/>
  <c r="X45" i="38"/>
  <c r="Y45" i="38"/>
  <c r="Z45" i="38"/>
  <c r="AA45" i="38"/>
  <c r="AB45" i="38"/>
  <c r="AC45" i="38"/>
  <c r="AD45" i="38"/>
  <c r="AE45" i="38"/>
  <c r="AF45" i="38"/>
  <c r="AG45" i="38"/>
  <c r="AH45" i="38"/>
  <c r="AI45" i="38"/>
  <c r="AJ45" i="38"/>
  <c r="AK45" i="38"/>
  <c r="AL45" i="38"/>
  <c r="AM45" i="38"/>
  <c r="AN45" i="38"/>
  <c r="AO45" i="38"/>
  <c r="AP45" i="38"/>
  <c r="AQ45" i="38"/>
  <c r="AR45" i="38"/>
  <c r="AK4" i="57"/>
  <c r="AJ3" i="57"/>
  <c r="C43" i="38"/>
  <c r="C44" i="38"/>
  <c r="C45" i="38"/>
  <c r="C42" i="38"/>
  <c r="C48" i="38"/>
  <c r="AL4" i="57"/>
  <c r="AK3" i="57"/>
  <c r="E33" i="38"/>
  <c r="T36" i="55"/>
  <c r="AL3" i="57"/>
  <c r="AM4" i="57"/>
  <c r="E39" i="38"/>
  <c r="E44" i="38"/>
  <c r="F39" i="38"/>
  <c r="F44" i="38"/>
  <c r="F51" i="38"/>
  <c r="E38" i="38"/>
  <c r="E43" i="38"/>
  <c r="L34" i="38"/>
  <c r="L33" i="38"/>
  <c r="L39" i="38"/>
  <c r="L44" i="38"/>
  <c r="K34" i="38"/>
  <c r="G34" i="38"/>
  <c r="K33" i="38"/>
  <c r="G33" i="38"/>
  <c r="G45" i="38"/>
  <c r="K39" i="38"/>
  <c r="K44" i="38"/>
  <c r="G39" i="38"/>
  <c r="G44" i="38"/>
  <c r="G38" i="38"/>
  <c r="G43" i="38"/>
  <c r="F38" i="38"/>
  <c r="F43" i="38"/>
  <c r="J50" i="38"/>
  <c r="J34" i="38"/>
  <c r="F34" i="38"/>
  <c r="J33" i="38"/>
  <c r="F33" i="38"/>
  <c r="F45" i="38"/>
  <c r="I39" i="38"/>
  <c r="I44" i="38"/>
  <c r="H34" i="38"/>
  <c r="H33" i="38"/>
  <c r="H39" i="38"/>
  <c r="H44" i="38"/>
  <c r="J39" i="38"/>
  <c r="J44" i="38"/>
  <c r="I34" i="38"/>
  <c r="E34" i="38"/>
  <c r="E45" i="38"/>
  <c r="I33" i="38"/>
  <c r="E49" i="38"/>
  <c r="G51" i="38"/>
  <c r="E50" i="38"/>
  <c r="B3" i="59"/>
  <c r="N51" i="59"/>
  <c r="O51" i="59"/>
  <c r="P51" i="59"/>
  <c r="E30" i="62"/>
  <c r="Q51" i="59"/>
  <c r="R51" i="59"/>
  <c r="S51" i="59"/>
  <c r="T51" i="59"/>
  <c r="I30" i="62"/>
  <c r="U51" i="59"/>
  <c r="J30" i="62"/>
  <c r="M51" i="59"/>
  <c r="AM3" i="57"/>
  <c r="AN4" i="57"/>
  <c r="L51" i="38"/>
  <c r="L45" i="38"/>
  <c r="H51" i="38"/>
  <c r="J45" i="38"/>
  <c r="K45" i="38"/>
  <c r="F49" i="38"/>
  <c r="E51" i="38"/>
  <c r="H45" i="38"/>
  <c r="I45" i="38"/>
  <c r="K51" i="38"/>
  <c r="I50" i="38"/>
  <c r="I40" i="38"/>
  <c r="J51" i="38"/>
  <c r="H50" i="38"/>
  <c r="L40" i="38"/>
  <c r="L50" i="38"/>
  <c r="G40" i="38"/>
  <c r="F50" i="38"/>
  <c r="K50" i="38"/>
  <c r="I51" i="38"/>
  <c r="F40" i="38"/>
  <c r="K40" i="38"/>
  <c r="E40" i="38"/>
  <c r="G50" i="38"/>
  <c r="H40" i="38"/>
  <c r="J40" i="38"/>
  <c r="I49" i="38"/>
  <c r="L49" i="38"/>
  <c r="K49" i="38"/>
  <c r="G49" i="38"/>
  <c r="J49" i="38"/>
  <c r="H49" i="38"/>
  <c r="N10" i="59"/>
  <c r="O10" i="59"/>
  <c r="N11" i="59"/>
  <c r="O11" i="59"/>
  <c r="N12" i="59"/>
  <c r="O12" i="59"/>
  <c r="M11" i="59"/>
  <c r="M12" i="59"/>
  <c r="M10" i="59"/>
  <c r="N4" i="59"/>
  <c r="O4" i="59"/>
  <c r="N5" i="59"/>
  <c r="O5" i="59"/>
  <c r="N6" i="59"/>
  <c r="O6" i="59"/>
  <c r="M5" i="59"/>
  <c r="M6" i="59"/>
  <c r="M4" i="59"/>
  <c r="Q75" i="55"/>
  <c r="R75" i="55"/>
  <c r="S75" i="55"/>
  <c r="T75" i="55"/>
  <c r="U75" i="55"/>
  <c r="P75" i="55"/>
  <c r="Q69" i="55"/>
  <c r="R69" i="55"/>
  <c r="S69" i="55"/>
  <c r="T69" i="55"/>
  <c r="U69" i="55"/>
  <c r="P69" i="55"/>
  <c r="N63" i="55"/>
  <c r="O63" i="55"/>
  <c r="M63" i="55"/>
  <c r="N57" i="55"/>
  <c r="O57" i="55"/>
  <c r="M57" i="55"/>
  <c r="AO4" i="57"/>
  <c r="AN3" i="57"/>
  <c r="N13" i="59"/>
  <c r="M13" i="59"/>
  <c r="O13" i="59"/>
  <c r="E18" i="38"/>
  <c r="F18" i="38"/>
  <c r="G18" i="38"/>
  <c r="H18" i="38"/>
  <c r="I18" i="38"/>
  <c r="J18" i="38"/>
  <c r="K18" i="38"/>
  <c r="L18" i="38"/>
  <c r="AP4" i="57"/>
  <c r="AO3" i="57"/>
  <c r="E30" i="63"/>
  <c r="F30" i="63"/>
  <c r="D30" i="63"/>
  <c r="D218" i="63"/>
  <c r="D175" i="63"/>
  <c r="D172" i="63"/>
  <c r="D173" i="63"/>
  <c r="D133" i="63"/>
  <c r="D131" i="63"/>
  <c r="D130" i="63"/>
  <c r="D129" i="63"/>
  <c r="E95" i="63"/>
  <c r="E103" i="63"/>
  <c r="E93" i="63"/>
  <c r="D93" i="63"/>
  <c r="F92" i="63"/>
  <c r="F93" i="63"/>
  <c r="E92" i="63"/>
  <c r="D92" i="63"/>
  <c r="F91" i="63"/>
  <c r="E91" i="63"/>
  <c r="D91" i="63"/>
  <c r="D75" i="63"/>
  <c r="F66" i="63"/>
  <c r="F68" i="63"/>
  <c r="F65" i="63"/>
  <c r="E65" i="63"/>
  <c r="E66" i="63"/>
  <c r="E68" i="63"/>
  <c r="D65" i="63"/>
  <c r="D66" i="63"/>
  <c r="D68" i="63"/>
  <c r="D69" i="63"/>
  <c r="F64" i="63"/>
  <c r="E64" i="63"/>
  <c r="D64" i="63"/>
  <c r="N16" i="59"/>
  <c r="O16" i="59"/>
  <c r="N17" i="59"/>
  <c r="O17" i="59"/>
  <c r="N18" i="59"/>
  <c r="O18" i="59"/>
  <c r="M17" i="59"/>
  <c r="M18" i="59"/>
  <c r="M16" i="59"/>
  <c r="N7" i="59"/>
  <c r="O7" i="59"/>
  <c r="M7" i="59"/>
  <c r="AP3" i="57"/>
  <c r="AQ4" i="57"/>
  <c r="N19" i="59"/>
  <c r="E27" i="63"/>
  <c r="D76" i="63"/>
  <c r="D70" i="63"/>
  <c r="F75" i="63"/>
  <c r="F69" i="63"/>
  <c r="D176" i="63"/>
  <c r="D177" i="63"/>
  <c r="E75" i="63"/>
  <c r="E69" i="63"/>
  <c r="F95" i="63"/>
  <c r="F103" i="63"/>
  <c r="F96" i="63"/>
  <c r="F104" i="63"/>
  <c r="D182" i="63"/>
  <c r="D95" i="63"/>
  <c r="D103" i="63"/>
  <c r="D134" i="63"/>
  <c r="E96" i="63"/>
  <c r="E104" i="63"/>
  <c r="D140" i="63"/>
  <c r="D147" i="63"/>
  <c r="D154" i="63"/>
  <c r="O19" i="59"/>
  <c r="F27" i="63"/>
  <c r="M19" i="59"/>
  <c r="D27" i="63"/>
  <c r="T93" i="55"/>
  <c r="AQ3" i="57"/>
  <c r="AR3" i="57"/>
  <c r="F97" i="63"/>
  <c r="D184" i="63"/>
  <c r="D77" i="63"/>
  <c r="D71" i="63"/>
  <c r="D222" i="63"/>
  <c r="D189" i="63"/>
  <c r="E70" i="63"/>
  <c r="E76" i="63"/>
  <c r="D183" i="63"/>
  <c r="F76" i="63"/>
  <c r="F70" i="63"/>
  <c r="D135" i="63"/>
  <c r="D141" i="63"/>
  <c r="D240" i="63"/>
  <c r="D247" i="63"/>
  <c r="E97" i="63"/>
  <c r="D96" i="63"/>
  <c r="D178" i="63"/>
  <c r="S50" i="55"/>
  <c r="AR4" i="57"/>
  <c r="D104" i="63"/>
  <c r="D97" i="63"/>
  <c r="D78" i="63"/>
  <c r="D72" i="63"/>
  <c r="D79" i="63"/>
  <c r="E105" i="63"/>
  <c r="E98" i="63"/>
  <c r="E77" i="63"/>
  <c r="E71" i="63"/>
  <c r="F105" i="63"/>
  <c r="F98" i="63"/>
  <c r="D185" i="63"/>
  <c r="D179" i="63"/>
  <c r="D148" i="63"/>
  <c r="D155" i="63"/>
  <c r="D241" i="63"/>
  <c r="D248" i="63"/>
  <c r="F71" i="63"/>
  <c r="F77" i="63"/>
  <c r="D142" i="63"/>
  <c r="D136" i="63"/>
  <c r="D223" i="63"/>
  <c r="D230" i="63"/>
  <c r="D190" i="63"/>
  <c r="D197" i="63"/>
  <c r="D191" i="63"/>
  <c r="D198" i="63"/>
  <c r="D224" i="63"/>
  <c r="D231" i="63"/>
  <c r="S49" i="55"/>
  <c r="D149" i="63"/>
  <c r="D242" i="63"/>
  <c r="D186" i="63"/>
  <c r="D180" i="63"/>
  <c r="F106" i="63"/>
  <c r="F99" i="63"/>
  <c r="E106" i="63"/>
  <c r="E99" i="63"/>
  <c r="D105" i="63"/>
  <c r="D98" i="63"/>
  <c r="F78" i="63"/>
  <c r="F72" i="63"/>
  <c r="F79" i="63"/>
  <c r="D192" i="63"/>
  <c r="D199" i="63"/>
  <c r="D225" i="63"/>
  <c r="D232" i="63"/>
  <c r="E78" i="63"/>
  <c r="E72" i="63"/>
  <c r="E79" i="63"/>
  <c r="D137" i="63"/>
  <c r="D143" i="63"/>
  <c r="B45" i="59"/>
  <c r="M46" i="59"/>
  <c r="B27" i="59"/>
  <c r="P28" i="59"/>
  <c r="Q28" i="59"/>
  <c r="R28" i="59"/>
  <c r="S28" i="59"/>
  <c r="T28" i="59"/>
  <c r="P29" i="59"/>
  <c r="Q29" i="59"/>
  <c r="R29" i="59"/>
  <c r="S29" i="59"/>
  <c r="T29" i="59"/>
  <c r="P30" i="59"/>
  <c r="Q30" i="59"/>
  <c r="R30" i="59"/>
  <c r="S30" i="59"/>
  <c r="T30" i="59"/>
  <c r="P34" i="59"/>
  <c r="Q34" i="59"/>
  <c r="R34" i="59"/>
  <c r="S34" i="59"/>
  <c r="T34" i="59"/>
  <c r="P35" i="59"/>
  <c r="Q35" i="59"/>
  <c r="R35" i="59"/>
  <c r="S35" i="59"/>
  <c r="T35" i="59"/>
  <c r="P36" i="59"/>
  <c r="Q36" i="59"/>
  <c r="R36" i="59"/>
  <c r="S36" i="59"/>
  <c r="T36" i="59"/>
  <c r="U28" i="59"/>
  <c r="U29" i="59"/>
  <c r="U30" i="59"/>
  <c r="U34" i="59"/>
  <c r="U35" i="59"/>
  <c r="U36" i="59"/>
  <c r="U5" i="41"/>
  <c r="U4" i="41"/>
  <c r="U21" i="41"/>
  <c r="U22" i="41"/>
  <c r="U23" i="41"/>
  <c r="U24" i="41"/>
  <c r="V32" i="60"/>
  <c r="U20" i="41"/>
  <c r="V14" i="57"/>
  <c r="W14" i="57"/>
  <c r="X14" i="57"/>
  <c r="Y14" i="57"/>
  <c r="Z14" i="57"/>
  <c r="AA14" i="57"/>
  <c r="AB14" i="57"/>
  <c r="AC14" i="57"/>
  <c r="AD14" i="57"/>
  <c r="AE14" i="57"/>
  <c r="AF14" i="57"/>
  <c r="AG14" i="57"/>
  <c r="AH14" i="57"/>
  <c r="AI14" i="57"/>
  <c r="AJ14" i="57"/>
  <c r="AK14" i="57"/>
  <c r="AL14" i="57"/>
  <c r="AM14" i="57"/>
  <c r="AN14" i="57"/>
  <c r="AO14" i="57"/>
  <c r="AP14" i="57"/>
  <c r="AQ14" i="57"/>
  <c r="AR14" i="57"/>
  <c r="O23" i="59"/>
  <c r="M24" i="59"/>
  <c r="D28" i="63"/>
  <c r="N22" i="59"/>
  <c r="N24" i="59"/>
  <c r="M22" i="59"/>
  <c r="O22" i="59"/>
  <c r="O24" i="59"/>
  <c r="N23" i="59"/>
  <c r="M23" i="59"/>
  <c r="M53" i="59"/>
  <c r="M47" i="59"/>
  <c r="O47" i="59"/>
  <c r="N53" i="59"/>
  <c r="N47" i="59"/>
  <c r="O48" i="59"/>
  <c r="O53" i="59"/>
  <c r="M48" i="59"/>
  <c r="O46" i="59"/>
  <c r="N46" i="59"/>
  <c r="N48" i="59"/>
  <c r="D226" i="63"/>
  <c r="D233" i="63"/>
  <c r="D193" i="63"/>
  <c r="D200" i="63"/>
  <c r="D150" i="63"/>
  <c r="D243" i="63"/>
  <c r="D106" i="63"/>
  <c r="D99" i="63"/>
  <c r="F107" i="63"/>
  <c r="F100" i="63"/>
  <c r="F108" i="63"/>
  <c r="D144" i="63"/>
  <c r="D138" i="63"/>
  <c r="E107" i="63"/>
  <c r="E100" i="63"/>
  <c r="E108" i="63"/>
  <c r="D187" i="63"/>
  <c r="P31" i="59"/>
  <c r="U31" i="59"/>
  <c r="Q31" i="59"/>
  <c r="R31" i="59"/>
  <c r="U37" i="59"/>
  <c r="T31" i="59"/>
  <c r="T37" i="59"/>
  <c r="P37" i="59"/>
  <c r="S37" i="59"/>
  <c r="Q37" i="59"/>
  <c r="R37" i="59"/>
  <c r="S31" i="59"/>
  <c r="E135" i="62"/>
  <c r="M12" i="38"/>
  <c r="M39" i="38"/>
  <c r="M44" i="38"/>
  <c r="N12" i="38"/>
  <c r="N39" i="38"/>
  <c r="N44" i="38"/>
  <c r="O11" i="38"/>
  <c r="O12" i="38"/>
  <c r="O39" i="38"/>
  <c r="O44" i="38"/>
  <c r="M11" i="38"/>
  <c r="N11" i="38"/>
  <c r="O25" i="59"/>
  <c r="O52" i="59"/>
  <c r="N49" i="59"/>
  <c r="N54" i="59"/>
  <c r="N6" i="38"/>
  <c r="N10" i="38"/>
  <c r="O49" i="59"/>
  <c r="O54" i="59"/>
  <c r="O6" i="38"/>
  <c r="O10" i="38"/>
  <c r="M25" i="59"/>
  <c r="M52" i="59"/>
  <c r="E28" i="63"/>
  <c r="D29" i="63"/>
  <c r="D31" i="63"/>
  <c r="M10" i="38"/>
  <c r="M49" i="59"/>
  <c r="M54" i="59"/>
  <c r="M6" i="38"/>
  <c r="N25" i="59"/>
  <c r="N52" i="59"/>
  <c r="D151" i="63"/>
  <c r="D244" i="63"/>
  <c r="D107" i="63"/>
  <c r="D100" i="63"/>
  <c r="D108" i="63"/>
  <c r="D227" i="63"/>
  <c r="D234" i="63"/>
  <c r="D194" i="63"/>
  <c r="D201" i="63"/>
  <c r="D145" i="63"/>
  <c r="N51" i="38"/>
  <c r="O51" i="38"/>
  <c r="M51" i="38"/>
  <c r="O50" i="38"/>
  <c r="N50" i="38"/>
  <c r="M50" i="38"/>
  <c r="O40" i="38"/>
  <c r="M13" i="38"/>
  <c r="N13" i="38"/>
  <c r="O13" i="38"/>
  <c r="D229" i="63"/>
  <c r="D236" i="63"/>
  <c r="F41" i="63"/>
  <c r="D196" i="63"/>
  <c r="D203" i="63"/>
  <c r="F40" i="63"/>
  <c r="D81" i="63"/>
  <c r="D37" i="63"/>
  <c r="D156" i="63"/>
  <c r="D249" i="63"/>
  <c r="D251" i="63"/>
  <c r="F28" i="63"/>
  <c r="F29" i="63"/>
  <c r="F31" i="63"/>
  <c r="E29" i="63"/>
  <c r="E31" i="63"/>
  <c r="D110" i="63"/>
  <c r="D38" i="63"/>
  <c r="D152" i="63"/>
  <c r="D159" i="63"/>
  <c r="D245" i="63"/>
  <c r="D252" i="63"/>
  <c r="S45" i="55"/>
  <c r="S46" i="55"/>
  <c r="S44" i="55"/>
  <c r="N16" i="38"/>
  <c r="M40" i="38"/>
  <c r="N40" i="38"/>
  <c r="N18" i="38"/>
  <c r="M18" i="38"/>
  <c r="E81" i="63"/>
  <c r="E37" i="63"/>
  <c r="D250" i="63"/>
  <c r="D254" i="63"/>
  <c r="F42" i="63"/>
  <c r="E110" i="63"/>
  <c r="E38" i="63"/>
  <c r="D157" i="63"/>
  <c r="F81" i="63"/>
  <c r="F37" i="63"/>
  <c r="F110" i="63"/>
  <c r="F38" i="63"/>
  <c r="D158" i="63"/>
  <c r="D28" i="38"/>
  <c r="H48" i="38"/>
  <c r="H53" i="38"/>
  <c r="L48" i="38"/>
  <c r="L53" i="38"/>
  <c r="P48" i="38"/>
  <c r="T48" i="38"/>
  <c r="I48" i="38"/>
  <c r="I53" i="38"/>
  <c r="M48" i="38"/>
  <c r="Q48" i="38"/>
  <c r="U48" i="38"/>
  <c r="E35" i="38"/>
  <c r="K48" i="38"/>
  <c r="K53" i="38"/>
  <c r="S48" i="38"/>
  <c r="G48" i="38"/>
  <c r="G53" i="38"/>
  <c r="O48" i="38"/>
  <c r="J48" i="38"/>
  <c r="J53" i="38"/>
  <c r="R48" i="38"/>
  <c r="F48" i="38"/>
  <c r="F53" i="38"/>
  <c r="N48" i="38"/>
  <c r="E48" i="38"/>
  <c r="E53" i="38"/>
  <c r="E55" i="38"/>
  <c r="F32" i="38"/>
  <c r="F35" i="38"/>
  <c r="N52" i="38"/>
  <c r="M52" i="38"/>
  <c r="O49" i="38"/>
  <c r="M49" i="38"/>
  <c r="N49" i="38"/>
  <c r="M25" i="38"/>
  <c r="N25" i="38"/>
  <c r="D161" i="63"/>
  <c r="F39" i="63"/>
  <c r="F44" i="63"/>
  <c r="G44" i="63"/>
  <c r="F30" i="62"/>
  <c r="G30" i="62"/>
  <c r="H30" i="62"/>
  <c r="J17" i="38"/>
  <c r="K17" i="38"/>
  <c r="E218" i="62"/>
  <c r="E175" i="62"/>
  <c r="E172" i="62"/>
  <c r="E173" i="62"/>
  <c r="E133" i="62"/>
  <c r="E131" i="62"/>
  <c r="E130" i="62"/>
  <c r="E129" i="62"/>
  <c r="J92" i="62"/>
  <c r="J93" i="62"/>
  <c r="I92" i="62"/>
  <c r="I93" i="62"/>
  <c r="H92" i="62"/>
  <c r="H93" i="62"/>
  <c r="G92" i="62"/>
  <c r="F92" i="62"/>
  <c r="F93" i="62"/>
  <c r="E92" i="62"/>
  <c r="E93" i="62"/>
  <c r="J91" i="62"/>
  <c r="I91" i="62"/>
  <c r="H91" i="62"/>
  <c r="G91" i="62"/>
  <c r="G93" i="62"/>
  <c r="F91" i="62"/>
  <c r="E91" i="62"/>
  <c r="E68" i="62"/>
  <c r="G66" i="62"/>
  <c r="G68" i="62"/>
  <c r="G75" i="62"/>
  <c r="J65" i="62"/>
  <c r="J66" i="62"/>
  <c r="J68" i="62"/>
  <c r="I65" i="62"/>
  <c r="I66" i="62"/>
  <c r="I68" i="62"/>
  <c r="H65" i="62"/>
  <c r="H66" i="62"/>
  <c r="H68" i="62"/>
  <c r="G65" i="62"/>
  <c r="F65" i="62"/>
  <c r="F66" i="62"/>
  <c r="F68" i="62"/>
  <c r="E65" i="62"/>
  <c r="E66" i="62"/>
  <c r="J64" i="62"/>
  <c r="I64" i="62"/>
  <c r="H64" i="62"/>
  <c r="G64" i="62"/>
  <c r="F64" i="62"/>
  <c r="E64" i="62"/>
  <c r="F55" i="38"/>
  <c r="G32" i="38"/>
  <c r="G35" i="38"/>
  <c r="G55" i="38"/>
  <c r="H32" i="38"/>
  <c r="H35" i="38"/>
  <c r="H55" i="38"/>
  <c r="I32" i="38"/>
  <c r="I35" i="38"/>
  <c r="I55" i="38"/>
  <c r="J32" i="38"/>
  <c r="J35" i="38"/>
  <c r="J55" i="38"/>
  <c r="K32" i="38"/>
  <c r="K35" i="38"/>
  <c r="K55" i="38"/>
  <c r="L32" i="38"/>
  <c r="L35" i="38"/>
  <c r="L55" i="38"/>
  <c r="M32" i="38"/>
  <c r="M35" i="38"/>
  <c r="N53" i="38"/>
  <c r="M53" i="38"/>
  <c r="O7" i="38"/>
  <c r="I75" i="62"/>
  <c r="I69" i="62"/>
  <c r="G95" i="62"/>
  <c r="G96" i="62"/>
  <c r="E95" i="62"/>
  <c r="E103" i="62"/>
  <c r="H75" i="62"/>
  <c r="H69" i="62"/>
  <c r="E75" i="62"/>
  <c r="E69" i="62"/>
  <c r="F95" i="62"/>
  <c r="F96" i="62"/>
  <c r="J96" i="62"/>
  <c r="J97" i="62"/>
  <c r="J95" i="62"/>
  <c r="E176" i="62"/>
  <c r="E177" i="62"/>
  <c r="F75" i="62"/>
  <c r="F69" i="62"/>
  <c r="J75" i="62"/>
  <c r="J69" i="62"/>
  <c r="G69" i="62"/>
  <c r="H95" i="62"/>
  <c r="H96" i="62"/>
  <c r="H104" i="62"/>
  <c r="I95" i="62"/>
  <c r="I103" i="62"/>
  <c r="J103" i="62"/>
  <c r="E147" i="62"/>
  <c r="G103" i="62"/>
  <c r="E134" i="62"/>
  <c r="E182" i="62"/>
  <c r="E189" i="62"/>
  <c r="E222" i="62"/>
  <c r="H103" i="62"/>
  <c r="J104" i="62"/>
  <c r="E140" i="62"/>
  <c r="E240" i="62"/>
  <c r="P53" i="59"/>
  <c r="Q53" i="59"/>
  <c r="R53" i="59"/>
  <c r="S53" i="59"/>
  <c r="T53" i="59"/>
  <c r="U53" i="59"/>
  <c r="M55" i="38"/>
  <c r="N32" i="38"/>
  <c r="N35" i="38"/>
  <c r="N55" i="38"/>
  <c r="O32" i="38"/>
  <c r="O18" i="38"/>
  <c r="G104" i="62"/>
  <c r="G97" i="62"/>
  <c r="F104" i="62"/>
  <c r="F97" i="62"/>
  <c r="E184" i="62"/>
  <c r="E178" i="62"/>
  <c r="J98" i="62"/>
  <c r="J105" i="62"/>
  <c r="F103" i="62"/>
  <c r="I96" i="62"/>
  <c r="G76" i="62"/>
  <c r="G70" i="62"/>
  <c r="E76" i="62"/>
  <c r="E70" i="62"/>
  <c r="E96" i="62"/>
  <c r="H97" i="62"/>
  <c r="H76" i="62"/>
  <c r="H70" i="62"/>
  <c r="E141" i="62"/>
  <c r="F76" i="62"/>
  <c r="F70" i="62"/>
  <c r="J76" i="62"/>
  <c r="J70" i="62"/>
  <c r="E183" i="62"/>
  <c r="I76" i="62"/>
  <c r="I70" i="62"/>
  <c r="O52" i="38"/>
  <c r="O53" i="38"/>
  <c r="O35" i="38"/>
  <c r="O25" i="38"/>
  <c r="J77" i="62"/>
  <c r="J71" i="62"/>
  <c r="F98" i="62"/>
  <c r="F105" i="62"/>
  <c r="G71" i="62"/>
  <c r="G77" i="62"/>
  <c r="E241" i="62"/>
  <c r="E148" i="62"/>
  <c r="E191" i="62"/>
  <c r="E198" i="62"/>
  <c r="E224" i="62"/>
  <c r="E231" i="62"/>
  <c r="H77" i="62"/>
  <c r="H71" i="62"/>
  <c r="G105" i="62"/>
  <c r="G98" i="62"/>
  <c r="E190" i="62"/>
  <c r="E197" i="62"/>
  <c r="E223" i="62"/>
  <c r="E230" i="62"/>
  <c r="F77" i="62"/>
  <c r="F71" i="62"/>
  <c r="H98" i="62"/>
  <c r="H105" i="62"/>
  <c r="E77" i="62"/>
  <c r="E71" i="62"/>
  <c r="I97" i="62"/>
  <c r="I104" i="62"/>
  <c r="J106" i="62"/>
  <c r="J99" i="62"/>
  <c r="I77" i="62"/>
  <c r="I71" i="62"/>
  <c r="E142" i="62"/>
  <c r="E136" i="62"/>
  <c r="E97" i="62"/>
  <c r="E104" i="62"/>
  <c r="E185" i="62"/>
  <c r="E179" i="62"/>
  <c r="O55" i="38"/>
  <c r="P32" i="38"/>
  <c r="J78" i="62"/>
  <c r="J72" i="62"/>
  <c r="J79" i="62"/>
  <c r="E149" i="62"/>
  <c r="E242" i="62"/>
  <c r="I72" i="62"/>
  <c r="I79" i="62"/>
  <c r="I78" i="62"/>
  <c r="H78" i="62"/>
  <c r="H72" i="62"/>
  <c r="H79" i="62"/>
  <c r="G78" i="62"/>
  <c r="G72" i="62"/>
  <c r="G79" i="62"/>
  <c r="E192" i="62"/>
  <c r="E199" i="62"/>
  <c r="E225" i="62"/>
  <c r="E232" i="62"/>
  <c r="E143" i="62"/>
  <c r="E137" i="62"/>
  <c r="E186" i="62"/>
  <c r="E180" i="62"/>
  <c r="I105" i="62"/>
  <c r="I98" i="62"/>
  <c r="H99" i="62"/>
  <c r="H106" i="62"/>
  <c r="E105" i="62"/>
  <c r="E98" i="62"/>
  <c r="J100" i="62"/>
  <c r="J108" i="62"/>
  <c r="J107" i="62"/>
  <c r="E78" i="62"/>
  <c r="E72" i="62"/>
  <c r="E79" i="62"/>
  <c r="F78" i="62"/>
  <c r="F72" i="62"/>
  <c r="F79" i="62"/>
  <c r="G106" i="62"/>
  <c r="G99" i="62"/>
  <c r="F106" i="62"/>
  <c r="F99" i="62"/>
  <c r="E150" i="62"/>
  <c r="E243" i="62"/>
  <c r="E193" i="62"/>
  <c r="E200" i="62"/>
  <c r="E226" i="62"/>
  <c r="E233" i="62"/>
  <c r="H107" i="62"/>
  <c r="H100" i="62"/>
  <c r="H108" i="62"/>
  <c r="F107" i="62"/>
  <c r="F100" i="62"/>
  <c r="F108" i="62"/>
  <c r="E187" i="62"/>
  <c r="G107" i="62"/>
  <c r="G100" i="62"/>
  <c r="G108" i="62"/>
  <c r="E99" i="62"/>
  <c r="E106" i="62"/>
  <c r="I99" i="62"/>
  <c r="I106" i="62"/>
  <c r="E144" i="62"/>
  <c r="E138" i="62"/>
  <c r="E107" i="62"/>
  <c r="E100" i="62"/>
  <c r="E108" i="62"/>
  <c r="E194" i="62"/>
  <c r="E201" i="62"/>
  <c r="E227" i="62"/>
  <c r="E234" i="62"/>
  <c r="E145" i="62"/>
  <c r="I107" i="62"/>
  <c r="I100" i="62"/>
  <c r="I108" i="62"/>
  <c r="E151" i="62"/>
  <c r="E244" i="62"/>
  <c r="E152" i="62"/>
  <c r="E159" i="62"/>
  <c r="E245" i="62"/>
  <c r="E252" i="62"/>
  <c r="P40" i="59"/>
  <c r="P46" i="59"/>
  <c r="Q40" i="59"/>
  <c r="Q46" i="59"/>
  <c r="R40" i="59"/>
  <c r="R46" i="59"/>
  <c r="S40" i="59"/>
  <c r="T40" i="59"/>
  <c r="T46" i="59"/>
  <c r="P41" i="59"/>
  <c r="P47" i="59"/>
  <c r="Q41" i="59"/>
  <c r="Q47" i="59"/>
  <c r="R41" i="59"/>
  <c r="R47" i="59"/>
  <c r="S41" i="59"/>
  <c r="S47" i="59"/>
  <c r="T41" i="59"/>
  <c r="T47" i="59"/>
  <c r="P42" i="59"/>
  <c r="P48" i="59"/>
  <c r="Q42" i="59"/>
  <c r="Q48" i="59"/>
  <c r="R42" i="59"/>
  <c r="R48" i="59"/>
  <c r="S42" i="59"/>
  <c r="S48" i="59"/>
  <c r="T42" i="59"/>
  <c r="T48" i="59"/>
  <c r="U41" i="59"/>
  <c r="U47" i="59"/>
  <c r="U42" i="59"/>
  <c r="U48" i="59"/>
  <c r="U40" i="59"/>
  <c r="U46" i="59"/>
  <c r="Q12" i="38"/>
  <c r="Q39" i="38"/>
  <c r="Q44" i="38"/>
  <c r="R11" i="38"/>
  <c r="P12" i="38"/>
  <c r="P39" i="38"/>
  <c r="P44" i="38"/>
  <c r="Q11" i="38"/>
  <c r="R10" i="38"/>
  <c r="T12" i="38"/>
  <c r="S12" i="38"/>
  <c r="P11" i="38"/>
  <c r="Q10" i="38"/>
  <c r="U11" i="38"/>
  <c r="U10" i="38"/>
  <c r="T11" i="38"/>
  <c r="U12" i="38"/>
  <c r="R12" i="38"/>
  <c r="S11" i="38"/>
  <c r="T10" i="38"/>
  <c r="P10" i="38"/>
  <c r="U43" i="59"/>
  <c r="J27" i="62"/>
  <c r="J29" i="62"/>
  <c r="J31" i="62"/>
  <c r="R43" i="59"/>
  <c r="S43" i="59"/>
  <c r="S46" i="59"/>
  <c r="Q43" i="59"/>
  <c r="T43" i="59"/>
  <c r="I27" i="62"/>
  <c r="I29" i="62"/>
  <c r="I31" i="62"/>
  <c r="P43" i="59"/>
  <c r="T51" i="38"/>
  <c r="S51" i="38"/>
  <c r="R51" i="38"/>
  <c r="Q51" i="38"/>
  <c r="P51" i="38"/>
  <c r="U51" i="38"/>
  <c r="S50" i="38"/>
  <c r="R50" i="38"/>
  <c r="P50" i="38"/>
  <c r="T50" i="38"/>
  <c r="U50" i="38"/>
  <c r="Q50" i="38"/>
  <c r="U40" i="38"/>
  <c r="T40" i="38"/>
  <c r="P40" i="38"/>
  <c r="Q40" i="38"/>
  <c r="R40" i="38"/>
  <c r="S10" i="38"/>
  <c r="T52" i="59"/>
  <c r="P52" i="59"/>
  <c r="E27" i="62"/>
  <c r="S52" i="59"/>
  <c r="H27" i="62"/>
  <c r="R52" i="59"/>
  <c r="G27" i="62"/>
  <c r="Q52" i="59"/>
  <c r="F27" i="62"/>
  <c r="U52" i="59"/>
  <c r="S49" i="38"/>
  <c r="S40" i="38"/>
  <c r="Q49" i="38"/>
  <c r="P49" i="38"/>
  <c r="R49" i="38"/>
  <c r="E29" i="62"/>
  <c r="E31" i="62"/>
  <c r="F29" i="62"/>
  <c r="F31" i="62"/>
  <c r="H29" i="62"/>
  <c r="H31" i="62"/>
  <c r="G29" i="62"/>
  <c r="G31" i="62"/>
  <c r="T49" i="38"/>
  <c r="U49" i="38"/>
  <c r="E156" i="62"/>
  <c r="E249" i="62"/>
  <c r="H81" i="62"/>
  <c r="H37" i="62"/>
  <c r="H110" i="62"/>
  <c r="H38" i="62"/>
  <c r="E196" i="62"/>
  <c r="E203" i="62"/>
  <c r="J40" i="62"/>
  <c r="E229" i="62"/>
  <c r="E236" i="62"/>
  <c r="J41" i="62"/>
  <c r="E81" i="62"/>
  <c r="E37" i="62"/>
  <c r="E110" i="62"/>
  <c r="E38" i="62"/>
  <c r="K31" i="62"/>
  <c r="J81" i="62"/>
  <c r="J37" i="62"/>
  <c r="J110" i="62"/>
  <c r="J38" i="62"/>
  <c r="E251" i="62"/>
  <c r="E158" i="62"/>
  <c r="E155" i="62"/>
  <c r="E248" i="62"/>
  <c r="G81" i="62"/>
  <c r="G37" i="62"/>
  <c r="G110" i="62"/>
  <c r="G38" i="62"/>
  <c r="I81" i="62"/>
  <c r="I37" i="62"/>
  <c r="E250" i="62"/>
  <c r="E157" i="62"/>
  <c r="I110" i="62"/>
  <c r="I38" i="62"/>
  <c r="E247" i="62"/>
  <c r="E154" i="62"/>
  <c r="F81" i="62"/>
  <c r="F37" i="62"/>
  <c r="F110" i="62"/>
  <c r="F38" i="62"/>
  <c r="V19" i="57"/>
  <c r="V16" i="57"/>
  <c r="V20" i="57" s="1"/>
  <c r="E161" i="62"/>
  <c r="J39" i="62"/>
  <c r="E254" i="62"/>
  <c r="J42" i="62"/>
  <c r="V15" i="57"/>
  <c r="J44" i="62"/>
  <c r="K44" i="62"/>
  <c r="V15" i="55"/>
  <c r="W14" i="41"/>
  <c r="W21" i="60"/>
  <c r="X14" i="41"/>
  <c r="X21" i="60" s="1"/>
  <c r="Y14" i="41"/>
  <c r="Y21" i="60"/>
  <c r="Z14" i="41"/>
  <c r="AA14" i="41"/>
  <c r="AA21" i="60"/>
  <c r="AB14" i="41"/>
  <c r="AB21" i="60" s="1"/>
  <c r="AC14" i="41"/>
  <c r="AC21" i="60"/>
  <c r="AD14" i="41"/>
  <c r="AD21" i="60" s="1"/>
  <c r="AE14" i="41"/>
  <c r="AE21" i="60"/>
  <c r="AF14" i="41"/>
  <c r="AF21" i="60" s="1"/>
  <c r="AG14" i="41"/>
  <c r="AG21" i="60"/>
  <c r="AH14" i="41"/>
  <c r="AI14" i="41"/>
  <c r="AI21" i="60"/>
  <c r="AJ14" i="41"/>
  <c r="AJ21" i="60" s="1"/>
  <c r="AK14" i="41"/>
  <c r="AK21" i="60"/>
  <c r="AL14" i="41"/>
  <c r="AL21" i="60" s="1"/>
  <c r="AM14" i="41"/>
  <c r="AM21" i="60"/>
  <c r="AN14" i="41"/>
  <c r="AN21" i="60" s="1"/>
  <c r="AO14" i="41"/>
  <c r="AO21" i="60"/>
  <c r="AP14" i="41"/>
  <c r="AQ14" i="41"/>
  <c r="AQ21" i="60"/>
  <c r="AR14" i="41"/>
  <c r="AR21" i="60" s="1"/>
  <c r="W15" i="41"/>
  <c r="W22" i="60"/>
  <c r="X15" i="41"/>
  <c r="X22" i="60" s="1"/>
  <c r="Y15" i="41"/>
  <c r="Y22" i="60"/>
  <c r="Z15" i="41"/>
  <c r="Z22" i="60" s="1"/>
  <c r="AA15" i="41"/>
  <c r="AA22" i="60"/>
  <c r="AB15" i="41"/>
  <c r="AB22" i="60" s="1"/>
  <c r="AC15" i="41"/>
  <c r="AC22" i="60"/>
  <c r="AD15" i="41"/>
  <c r="AD22" i="60" s="1"/>
  <c r="AE15" i="41"/>
  <c r="AE22" i="60"/>
  <c r="AF15" i="41"/>
  <c r="AF22" i="60" s="1"/>
  <c r="AG15" i="41"/>
  <c r="AG22" i="60"/>
  <c r="AH15" i="41"/>
  <c r="AH22" i="60" s="1"/>
  <c r="AI15" i="41"/>
  <c r="AI22" i="60"/>
  <c r="AJ15" i="41"/>
  <c r="AJ22" i="60" s="1"/>
  <c r="AK15" i="41"/>
  <c r="AK22" i="60"/>
  <c r="AL15" i="41"/>
  <c r="AL22" i="60" s="1"/>
  <c r="AM15" i="41"/>
  <c r="AM22" i="60"/>
  <c r="AN15" i="41"/>
  <c r="AN22" i="60" s="1"/>
  <c r="AO15" i="41"/>
  <c r="AO22" i="60"/>
  <c r="AP15" i="41"/>
  <c r="AP22" i="60" s="1"/>
  <c r="AQ15" i="41"/>
  <c r="AQ22" i="60"/>
  <c r="AR15" i="41"/>
  <c r="AR22" i="60" s="1"/>
  <c r="V14" i="41"/>
  <c r="V21" i="60"/>
  <c r="V15" i="41"/>
  <c r="V22" i="60" s="1"/>
  <c r="W24" i="41"/>
  <c r="X24" i="41" s="1"/>
  <c r="X32" i="60" s="1"/>
  <c r="U7" i="38"/>
  <c r="L44" i="62"/>
  <c r="F15" i="38"/>
  <c r="G15" i="38"/>
  <c r="H15" i="38"/>
  <c r="I15" i="38"/>
  <c r="J15" i="38"/>
  <c r="K15" i="38"/>
  <c r="L15" i="38"/>
  <c r="M15" i="38"/>
  <c r="N15" i="38"/>
  <c r="O15" i="38"/>
  <c r="P15" i="38"/>
  <c r="Q15" i="38"/>
  <c r="R15" i="38"/>
  <c r="S15" i="38"/>
  <c r="T15" i="38"/>
  <c r="U15" i="38"/>
  <c r="F13" i="38"/>
  <c r="G13" i="38"/>
  <c r="H13" i="38"/>
  <c r="I13" i="38"/>
  <c r="J13" i="38"/>
  <c r="K13" i="38"/>
  <c r="L13" i="38"/>
  <c r="P13" i="38"/>
  <c r="Q13" i="38"/>
  <c r="R13" i="38"/>
  <c r="S13" i="38"/>
  <c r="T13" i="38"/>
  <c r="U13" i="38"/>
  <c r="V40" i="38"/>
  <c r="W40" i="38"/>
  <c r="X40" i="38"/>
  <c r="Y40" i="38"/>
  <c r="Z40" i="38"/>
  <c r="AA40" i="38"/>
  <c r="AB40" i="38"/>
  <c r="AC40" i="38"/>
  <c r="AD40" i="38"/>
  <c r="AE40" i="38"/>
  <c r="AF40" i="38"/>
  <c r="AG40" i="38"/>
  <c r="AH40" i="38"/>
  <c r="AI40" i="38"/>
  <c r="AJ40" i="38"/>
  <c r="AK40" i="38"/>
  <c r="AL40" i="38"/>
  <c r="AM40" i="38"/>
  <c r="AN40" i="38"/>
  <c r="AO40" i="38"/>
  <c r="AP40" i="38"/>
  <c r="AQ40" i="38"/>
  <c r="AR40" i="38"/>
  <c r="E13" i="38"/>
  <c r="I17" i="38"/>
  <c r="V46" i="38"/>
  <c r="L17" i="38"/>
  <c r="E5" i="38"/>
  <c r="L21" i="38"/>
  <c r="E8" i="38"/>
  <c r="K21" i="38"/>
  <c r="S21" i="38"/>
  <c r="R21" i="38"/>
  <c r="J21" i="38"/>
  <c r="Q21" i="38"/>
  <c r="I21" i="38"/>
  <c r="P21" i="38"/>
  <c r="H21" i="38"/>
  <c r="E21" i="38"/>
  <c r="O21" i="38"/>
  <c r="G21" i="38"/>
  <c r="N21" i="38"/>
  <c r="F21" i="38"/>
  <c r="U21" i="38"/>
  <c r="M21" i="38"/>
  <c r="T21" i="38"/>
  <c r="E15" i="38"/>
  <c r="J22" i="38"/>
  <c r="L22" i="38"/>
  <c r="T22" i="38"/>
  <c r="P22" i="38"/>
  <c r="R22" i="38"/>
  <c r="M22" i="38"/>
  <c r="U22" i="38"/>
  <c r="E22" i="38"/>
  <c r="Q22" i="38"/>
  <c r="H22" i="38"/>
  <c r="N22" i="38"/>
  <c r="O22" i="38"/>
  <c r="S22" i="38"/>
  <c r="F22" i="38"/>
  <c r="G22" i="38"/>
  <c r="K22" i="38"/>
  <c r="I22" i="38"/>
  <c r="E16" i="38"/>
  <c r="F16" i="38"/>
  <c r="G16" i="38"/>
  <c r="H16" i="38"/>
  <c r="I16" i="38"/>
  <c r="J16" i="38"/>
  <c r="K16" i="38"/>
  <c r="L16" i="38"/>
  <c r="M16" i="38"/>
  <c r="O16" i="38"/>
  <c r="E17" i="38"/>
  <c r="F17" i="38"/>
  <c r="G17" i="38"/>
  <c r="H17" i="38"/>
  <c r="L24" i="38"/>
  <c r="M17" i="38"/>
  <c r="N17" i="38"/>
  <c r="O17" i="38"/>
  <c r="E1" i="38"/>
  <c r="F1" i="55"/>
  <c r="M23" i="38"/>
  <c r="E19" i="38"/>
  <c r="E46" i="38"/>
  <c r="K19" i="38"/>
  <c r="K46" i="38"/>
  <c r="K24" i="38"/>
  <c r="I19" i="38"/>
  <c r="I46" i="38"/>
  <c r="J19" i="38"/>
  <c r="J46" i="38"/>
  <c r="O19" i="38"/>
  <c r="O46" i="38"/>
  <c r="F19" i="38"/>
  <c r="F46" i="38"/>
  <c r="M19" i="38"/>
  <c r="M46" i="38"/>
  <c r="O23" i="38"/>
  <c r="F23" i="38"/>
  <c r="E23" i="38"/>
  <c r="J23" i="38"/>
  <c r="G23" i="38"/>
  <c r="H23" i="38"/>
  <c r="L23" i="38"/>
  <c r="I23" i="38"/>
  <c r="K23" i="38"/>
  <c r="N23" i="38"/>
  <c r="J24" i="38"/>
  <c r="H19" i="38"/>
  <c r="H46" i="38"/>
  <c r="G19" i="38"/>
  <c r="G46" i="38"/>
  <c r="N19" i="38"/>
  <c r="N46" i="38"/>
  <c r="L19" i="38"/>
  <c r="L46" i="38"/>
  <c r="F1" i="38"/>
  <c r="G1" i="55"/>
  <c r="O24" i="38"/>
  <c r="M24" i="38"/>
  <c r="N24" i="38"/>
  <c r="G24" i="38"/>
  <c r="H24" i="38"/>
  <c r="I24" i="38"/>
  <c r="E24" i="38"/>
  <c r="F24" i="38"/>
  <c r="U61" i="57"/>
  <c r="V61" i="57"/>
  <c r="W61" i="57"/>
  <c r="X61" i="57"/>
  <c r="Y61" i="57"/>
  <c r="Z61" i="57"/>
  <c r="AA61" i="57"/>
  <c r="T61" i="57"/>
  <c r="U33" i="57"/>
  <c r="V33" i="57"/>
  <c r="W33" i="57"/>
  <c r="X33" i="57"/>
  <c r="Y33" i="57"/>
  <c r="Z33" i="57"/>
  <c r="AA33" i="57"/>
  <c r="T33" i="57"/>
  <c r="U32" i="57"/>
  <c r="V32" i="57"/>
  <c r="W32" i="57"/>
  <c r="X32" i="57"/>
  <c r="Y32" i="57"/>
  <c r="Z32" i="57"/>
  <c r="AA32" i="57"/>
  <c r="T32" i="57"/>
  <c r="U31" i="57"/>
  <c r="V31" i="57"/>
  <c r="V34" i="57"/>
  <c r="W31" i="57"/>
  <c r="X31" i="57"/>
  <c r="Y31" i="57"/>
  <c r="Z31" i="57"/>
  <c r="AA31" i="57"/>
  <c r="T31" i="57"/>
  <c r="T34" i="57"/>
  <c r="U34" i="57"/>
  <c r="H1" i="55"/>
  <c r="G1" i="38"/>
  <c r="W24" i="55"/>
  <c r="X24" i="55"/>
  <c r="Y24" i="55"/>
  <c r="Y16" i="41" s="1"/>
  <c r="Z24" i="55"/>
  <c r="Z16" i="41" s="1"/>
  <c r="AA24" i="55"/>
  <c r="AB24" i="55"/>
  <c r="AC24" i="55"/>
  <c r="AC16" i="41" s="1"/>
  <c r="AD24" i="55"/>
  <c r="AD16" i="41" s="1"/>
  <c r="AE24" i="55"/>
  <c r="AF24" i="55"/>
  <c r="AG24" i="55"/>
  <c r="AH24" i="55"/>
  <c r="AH16" i="41" s="1"/>
  <c r="AI24" i="55"/>
  <c r="AJ24" i="55"/>
  <c r="AK24" i="55"/>
  <c r="AL24" i="55"/>
  <c r="AM24" i="55"/>
  <c r="AN24" i="55"/>
  <c r="AO24" i="55"/>
  <c r="AP24" i="55"/>
  <c r="AQ24" i="55"/>
  <c r="AR24" i="55"/>
  <c r="V24" i="55"/>
  <c r="V16" i="41" s="1"/>
  <c r="I1" i="55"/>
  <c r="H1" i="38"/>
  <c r="J1" i="55"/>
  <c r="J1" i="59"/>
  <c r="I1" i="38"/>
  <c r="V28" i="60"/>
  <c r="V29" i="60"/>
  <c r="V30" i="60"/>
  <c r="V27" i="60"/>
  <c r="K1" i="55"/>
  <c r="K1" i="59"/>
  <c r="J1" i="38"/>
  <c r="W21" i="56"/>
  <c r="X21" i="56" s="1"/>
  <c r="Y21" i="56" s="1"/>
  <c r="Z21" i="56" s="1"/>
  <c r="AA21" i="56" s="1"/>
  <c r="AB21" i="56" s="1"/>
  <c r="AC21" i="56" s="1"/>
  <c r="AD21" i="56" s="1"/>
  <c r="AE21" i="56" s="1"/>
  <c r="AF21" i="56" s="1"/>
  <c r="AG21" i="56" s="1"/>
  <c r="AH21" i="56" s="1"/>
  <c r="AI21" i="56" s="1"/>
  <c r="AJ21" i="56" s="1"/>
  <c r="AK21" i="56" s="1"/>
  <c r="AL21" i="56" s="1"/>
  <c r="AM21" i="56" s="1"/>
  <c r="AN21" i="56" s="1"/>
  <c r="AO21" i="56" s="1"/>
  <c r="AP21" i="56" s="1"/>
  <c r="AQ21" i="56" s="1"/>
  <c r="AR21" i="56" s="1"/>
  <c r="K1" i="38"/>
  <c r="V3" i="57"/>
  <c r="W3" i="57"/>
  <c r="X3" i="57"/>
  <c r="Y3" i="57"/>
  <c r="Z3" i="57"/>
  <c r="AA3" i="57"/>
  <c r="AR7" i="41"/>
  <c r="AR23" i="60"/>
  <c r="AQ7" i="41"/>
  <c r="AQ23" i="60"/>
  <c r="AP7" i="41"/>
  <c r="AP23" i="60"/>
  <c r="AO7" i="41"/>
  <c r="AO23" i="60"/>
  <c r="AN7" i="41"/>
  <c r="AN23" i="60"/>
  <c r="AM7" i="41"/>
  <c r="AM23" i="60"/>
  <c r="AK7" i="41"/>
  <c r="AK23" i="60"/>
  <c r="AJ7" i="41"/>
  <c r="AJ23" i="60"/>
  <c r="AI7" i="41"/>
  <c r="AI23" i="60"/>
  <c r="AG7" i="41"/>
  <c r="AG23" i="60"/>
  <c r="AF7" i="41"/>
  <c r="AF23" i="60"/>
  <c r="AE7" i="41"/>
  <c r="AE23" i="60"/>
  <c r="AD7" i="41"/>
  <c r="AD23" i="60"/>
  <c r="AB7" i="41"/>
  <c r="AB23" i="60"/>
  <c r="AA7" i="41"/>
  <c r="X7" i="41"/>
  <c r="W7" i="41"/>
  <c r="V7" i="41"/>
  <c r="V23" i="60"/>
  <c r="W23" i="60"/>
  <c r="X23" i="60"/>
  <c r="AA23" i="60"/>
  <c r="AJ46" i="38"/>
  <c r="AR46" i="38"/>
  <c r="AI46" i="38"/>
  <c r="AB46" i="38"/>
  <c r="AA46" i="38"/>
  <c r="AH46" i="38"/>
  <c r="AP46" i="38"/>
  <c r="AG46" i="38"/>
  <c r="AO46" i="38"/>
  <c r="AF46" i="38"/>
  <c r="AN46" i="38"/>
  <c r="AE46" i="38"/>
  <c r="AQ46" i="38"/>
  <c r="AL46" i="38"/>
  <c r="AD46" i="38"/>
  <c r="AK46" i="38"/>
  <c r="AC46" i="38"/>
  <c r="T6" i="57"/>
  <c r="T28" i="57"/>
  <c r="AM46" i="38"/>
  <c r="AL7" i="41"/>
  <c r="AL23" i="60"/>
  <c r="AH7" i="41"/>
  <c r="AH23" i="60"/>
  <c r="Z7" i="41"/>
  <c r="AC7" i="41"/>
  <c r="AC23" i="60"/>
  <c r="Y7" i="41"/>
  <c r="Z23" i="60"/>
  <c r="Y23" i="60"/>
  <c r="T37" i="57"/>
  <c r="T38" i="57"/>
  <c r="T54" i="57"/>
  <c r="P49" i="59"/>
  <c r="P54" i="59"/>
  <c r="P6" i="38"/>
  <c r="S49" i="59"/>
  <c r="S54" i="59"/>
  <c r="S6" i="38"/>
  <c r="U49" i="59"/>
  <c r="U54" i="59"/>
  <c r="U6" i="38"/>
  <c r="Q49" i="59"/>
  <c r="Q54" i="59"/>
  <c r="Q6" i="38"/>
  <c r="T49" i="59"/>
  <c r="T54" i="59"/>
  <c r="T6" i="38"/>
  <c r="R49" i="59"/>
  <c r="R54" i="59"/>
  <c r="R6" i="38"/>
  <c r="U6" i="57"/>
  <c r="U28" i="57"/>
  <c r="V6" i="57"/>
  <c r="V28" i="57"/>
  <c r="Q17" i="38"/>
  <c r="V43" i="57"/>
  <c r="W10" i="56"/>
  <c r="Q16" i="38"/>
  <c r="P17" i="38"/>
  <c r="P16" i="38"/>
  <c r="S16" i="38"/>
  <c r="W6" i="57"/>
  <c r="W28" i="57"/>
  <c r="S18" i="38"/>
  <c r="P18" i="38"/>
  <c r="U18" i="38"/>
  <c r="T18" i="38"/>
  <c r="Q18" i="38"/>
  <c r="Q19" i="38"/>
  <c r="Q46" i="38"/>
  <c r="R18" i="38"/>
  <c r="Q24" i="38"/>
  <c r="E26" i="38"/>
  <c r="U16" i="38"/>
  <c r="U17" i="38"/>
  <c r="P23" i="38"/>
  <c r="Q23" i="38"/>
  <c r="P24" i="38"/>
  <c r="X10" i="56"/>
  <c r="R16" i="38"/>
  <c r="R17" i="38"/>
  <c r="T17" i="38"/>
  <c r="T16" i="38"/>
  <c r="X6" i="57"/>
  <c r="X28" i="57"/>
  <c r="Q25" i="38"/>
  <c r="R25" i="38"/>
  <c r="T25" i="38"/>
  <c r="P19" i="38"/>
  <c r="P46" i="38"/>
  <c r="P25" i="38"/>
  <c r="P26" i="38"/>
  <c r="P35" i="38"/>
  <c r="U25" i="38"/>
  <c r="S25" i="38"/>
  <c r="E28" i="38"/>
  <c r="R23" i="38"/>
  <c r="U19" i="38"/>
  <c r="U46" i="38"/>
  <c r="M26" i="38"/>
  <c r="F26" i="38"/>
  <c r="S23" i="38"/>
  <c r="J26" i="38"/>
  <c r="N26" i="38"/>
  <c r="G26" i="38"/>
  <c r="K26" i="38"/>
  <c r="I26" i="38"/>
  <c r="L26" i="38"/>
  <c r="H26" i="38"/>
  <c r="O26" i="38"/>
  <c r="U23" i="38"/>
  <c r="T19" i="38"/>
  <c r="T46" i="38"/>
  <c r="Z46" i="38"/>
  <c r="R19" i="38"/>
  <c r="R46" i="38"/>
  <c r="X46" i="38"/>
  <c r="W46" i="38"/>
  <c r="Y46" i="38"/>
  <c r="R24" i="38"/>
  <c r="T23" i="38"/>
  <c r="Y10" i="56"/>
  <c r="S17" i="38"/>
  <c r="U54" i="57"/>
  <c r="Q26" i="38"/>
  <c r="Y6" i="57"/>
  <c r="Y28" i="57"/>
  <c r="R52" i="38"/>
  <c r="R53" i="38"/>
  <c r="S52" i="38"/>
  <c r="S53" i="38"/>
  <c r="U52" i="38"/>
  <c r="U53" i="38"/>
  <c r="T52" i="38"/>
  <c r="T53" i="38"/>
  <c r="Q52" i="38"/>
  <c r="Q53" i="38"/>
  <c r="P52" i="38"/>
  <c r="P53" i="38"/>
  <c r="P55" i="38"/>
  <c r="Q32" i="38"/>
  <c r="Q35" i="38"/>
  <c r="Q55" i="38"/>
  <c r="R32" i="38"/>
  <c r="R35" i="38"/>
  <c r="R55" i="38"/>
  <c r="S32" i="38"/>
  <c r="S35" i="38"/>
  <c r="U24" i="38"/>
  <c r="S19" i="38"/>
  <c r="S46" i="38"/>
  <c r="T24" i="38"/>
  <c r="S24" i="38"/>
  <c r="R26" i="38"/>
  <c r="U26" i="38"/>
  <c r="F5" i="38"/>
  <c r="Z10" i="56"/>
  <c r="U55" i="57"/>
  <c r="U70" i="57"/>
  <c r="T50" i="57"/>
  <c r="Z6" i="57"/>
  <c r="Z28" i="57"/>
  <c r="AF25" i="60"/>
  <c r="AF7" i="56"/>
  <c r="AG25" i="60"/>
  <c r="AG7" i="56"/>
  <c r="AC25" i="60"/>
  <c r="AC7" i="56"/>
  <c r="AH25" i="60"/>
  <c r="AH7" i="56"/>
  <c r="AB25" i="60"/>
  <c r="AB7" i="56"/>
  <c r="AD25" i="60"/>
  <c r="AD7" i="56"/>
  <c r="AA10" i="56"/>
  <c r="AI25" i="60"/>
  <c r="AI7" i="56"/>
  <c r="AK25" i="60"/>
  <c r="AK7" i="56"/>
  <c r="AQ25" i="60"/>
  <c r="AQ7" i="56"/>
  <c r="AL25" i="60"/>
  <c r="AL7" i="56"/>
  <c r="AM25" i="60"/>
  <c r="AM7" i="56"/>
  <c r="AJ25" i="60"/>
  <c r="AJ7" i="56"/>
  <c r="AE25" i="60"/>
  <c r="AE7" i="56"/>
  <c r="AN25" i="60"/>
  <c r="AN7" i="56"/>
  <c r="AR25" i="60"/>
  <c r="AR7" i="56"/>
  <c r="AP25" i="60"/>
  <c r="AP7" i="56"/>
  <c r="AO25" i="60"/>
  <c r="AO7" i="56"/>
  <c r="X7" i="56"/>
  <c r="X16" i="56"/>
  <c r="X39" i="56"/>
  <c r="X25" i="60"/>
  <c r="V25" i="60"/>
  <c r="Y7" i="56"/>
  <c r="Y16" i="56"/>
  <c r="Y39" i="56"/>
  <c r="Y25" i="60"/>
  <c r="AA7" i="56"/>
  <c r="AA16" i="56"/>
  <c r="AA39" i="56"/>
  <c r="AA25" i="60"/>
  <c r="W7" i="56"/>
  <c r="W16" i="56"/>
  <c r="W39" i="56"/>
  <c r="W25" i="60"/>
  <c r="Z7" i="56"/>
  <c r="Z16" i="56"/>
  <c r="Z39" i="56"/>
  <c r="Z25" i="60"/>
  <c r="S55" i="38"/>
  <c r="T32" i="38"/>
  <c r="T35" i="38"/>
  <c r="T55" i="38"/>
  <c r="U32" i="38"/>
  <c r="U35" i="38"/>
  <c r="U55" i="38"/>
  <c r="V32" i="38"/>
  <c r="S26" i="38"/>
  <c r="T26" i="38"/>
  <c r="F8" i="38"/>
  <c r="T39" i="57"/>
  <c r="T43" i="57"/>
  <c r="T55" i="57"/>
  <c r="T70" i="57"/>
  <c r="U56" i="57"/>
  <c r="U60" i="57"/>
  <c r="AA6" i="57"/>
  <c r="AA28" i="57"/>
  <c r="AB6" i="57"/>
  <c r="AB28" i="57"/>
  <c r="AB10" i="56"/>
  <c r="AB16" i="56"/>
  <c r="AB39" i="56"/>
  <c r="S48" i="55"/>
  <c r="U44" i="55"/>
  <c r="V44" i="55"/>
  <c r="F28" i="38"/>
  <c r="G5" i="38"/>
  <c r="T56" i="57"/>
  <c r="T60" i="57"/>
  <c r="T62" i="57"/>
  <c r="AB60" i="57"/>
  <c r="AB62" i="57"/>
  <c r="AB43" i="57"/>
  <c r="AC10" i="56"/>
  <c r="AC16" i="56"/>
  <c r="AC39" i="56"/>
  <c r="AC6" i="57"/>
  <c r="AC28" i="57"/>
  <c r="M48" i="55"/>
  <c r="U50" i="41"/>
  <c r="G8" i="38"/>
  <c r="AC60" i="57"/>
  <c r="AC62" i="57"/>
  <c r="AC43" i="57"/>
  <c r="AD6" i="57"/>
  <c r="AD28" i="57"/>
  <c r="AD10" i="56"/>
  <c r="AD16" i="56"/>
  <c r="AD39" i="56"/>
  <c r="G28" i="38"/>
  <c r="H5" i="38"/>
  <c r="AD60" i="57"/>
  <c r="AD62" i="57"/>
  <c r="AD43" i="57"/>
  <c r="AE6" i="57"/>
  <c r="AE28" i="57"/>
  <c r="AE10" i="56"/>
  <c r="AE16" i="56"/>
  <c r="AE39" i="56"/>
  <c r="H8" i="38"/>
  <c r="AE43" i="57"/>
  <c r="AE60" i="57"/>
  <c r="AE62" i="57"/>
  <c r="AF10" i="56"/>
  <c r="AF16" i="56"/>
  <c r="AF39" i="56"/>
  <c r="AF6" i="57"/>
  <c r="AF28" i="57"/>
  <c r="H28" i="38"/>
  <c r="I5" i="38"/>
  <c r="AG10" i="56"/>
  <c r="AG16" i="56"/>
  <c r="AG39" i="56"/>
  <c r="AG6" i="57"/>
  <c r="AG28" i="57"/>
  <c r="AF43" i="57"/>
  <c r="AF60" i="57"/>
  <c r="AF62" i="57"/>
  <c r="I8" i="38"/>
  <c r="AH6" i="57"/>
  <c r="AH28" i="57"/>
  <c r="AH10" i="56"/>
  <c r="AH16" i="56"/>
  <c r="AH39" i="56"/>
  <c r="AG43" i="57"/>
  <c r="AG60" i="57"/>
  <c r="AG62" i="57"/>
  <c r="I28" i="38"/>
  <c r="J5" i="38"/>
  <c r="AI10" i="56"/>
  <c r="AI16" i="56"/>
  <c r="AI39" i="56"/>
  <c r="AI6" i="57"/>
  <c r="AI28" i="57"/>
  <c r="AH60" i="57"/>
  <c r="AH62" i="57"/>
  <c r="AH43" i="57"/>
  <c r="J8" i="38"/>
  <c r="AI43" i="57"/>
  <c r="AI60" i="57"/>
  <c r="AI62" i="57"/>
  <c r="AJ10" i="56"/>
  <c r="AJ16" i="56"/>
  <c r="AJ39" i="56"/>
  <c r="AJ6" i="57"/>
  <c r="AJ28" i="57"/>
  <c r="J28" i="38"/>
  <c r="AK6" i="57"/>
  <c r="AK28" i="57"/>
  <c r="AK10" i="56"/>
  <c r="AK16" i="56"/>
  <c r="AK39" i="56"/>
  <c r="AJ60" i="57"/>
  <c r="AJ62" i="57"/>
  <c r="AJ43" i="57"/>
  <c r="K5" i="38"/>
  <c r="K8" i="38"/>
  <c r="AL6" i="57"/>
  <c r="AL28" i="57"/>
  <c r="AL10" i="56"/>
  <c r="AL16" i="56"/>
  <c r="AL39" i="56"/>
  <c r="AK43" i="57"/>
  <c r="AK60" i="57"/>
  <c r="AK62" i="57"/>
  <c r="K28" i="38"/>
  <c r="AA4" i="57"/>
  <c r="Z4" i="57"/>
  <c r="Y4" i="57"/>
  <c r="X4" i="57"/>
  <c r="W4" i="57"/>
  <c r="V4" i="57"/>
  <c r="V77" i="57"/>
  <c r="W77" i="57"/>
  <c r="X77" i="57"/>
  <c r="Y77" i="57"/>
  <c r="Z77" i="57"/>
  <c r="AA77" i="57"/>
  <c r="V75" i="57"/>
  <c r="W75" i="57"/>
  <c r="X75" i="57"/>
  <c r="Y75" i="57"/>
  <c r="Z75" i="57"/>
  <c r="AA75" i="57"/>
  <c r="T59" i="57"/>
  <c r="T64" i="57"/>
  <c r="T65" i="57"/>
  <c r="AM10" i="56"/>
  <c r="AM16" i="56"/>
  <c r="AM39" i="56"/>
  <c r="AM6" i="57"/>
  <c r="AM28" i="57"/>
  <c r="AL60" i="57"/>
  <c r="AL62" i="57"/>
  <c r="AL43" i="57"/>
  <c r="L5" i="38"/>
  <c r="L8" i="38"/>
  <c r="U78" i="57"/>
  <c r="V78" i="57"/>
  <c r="W78" i="57"/>
  <c r="X78" i="57"/>
  <c r="Y78" i="57"/>
  <c r="Z78" i="57"/>
  <c r="AA78" i="57"/>
  <c r="T78" i="57"/>
  <c r="AN10" i="56"/>
  <c r="AN16" i="56"/>
  <c r="AN39" i="56"/>
  <c r="AN6" i="57"/>
  <c r="AN28" i="57"/>
  <c r="AM43" i="57"/>
  <c r="AM60" i="57"/>
  <c r="AM62" i="57"/>
  <c r="L28" i="38"/>
  <c r="M5" i="38"/>
  <c r="T42" i="57"/>
  <c r="T45" i="57"/>
  <c r="T46" i="57"/>
  <c r="T47" i="57"/>
  <c r="U42" i="57"/>
  <c r="AN43" i="57"/>
  <c r="AN60" i="57"/>
  <c r="AN62" i="57"/>
  <c r="AO10" i="56"/>
  <c r="AO16" i="56"/>
  <c r="AO39" i="56"/>
  <c r="AO6" i="57"/>
  <c r="AO28" i="57"/>
  <c r="M8" i="38"/>
  <c r="T74" i="57"/>
  <c r="AP10" i="56"/>
  <c r="AP16" i="56"/>
  <c r="AP39" i="56"/>
  <c r="AP6" i="57"/>
  <c r="AP28" i="57"/>
  <c r="AO60" i="57"/>
  <c r="AO62" i="57"/>
  <c r="AO43" i="57"/>
  <c r="M28" i="38"/>
  <c r="N5" i="38"/>
  <c r="X34" i="57"/>
  <c r="W34" i="57"/>
  <c r="AQ6" i="57"/>
  <c r="AQ28" i="57"/>
  <c r="AQ10" i="56"/>
  <c r="AQ16" i="56"/>
  <c r="AQ39" i="56"/>
  <c r="AP60" i="57"/>
  <c r="AP62" i="57"/>
  <c r="AP43" i="57"/>
  <c r="N8" i="38"/>
  <c r="Y34" i="57"/>
  <c r="AQ43" i="57"/>
  <c r="AQ60" i="57"/>
  <c r="AQ62" i="57"/>
  <c r="AR6" i="57"/>
  <c r="AR28" i="57"/>
  <c r="AR10" i="56"/>
  <c r="AR16" i="56"/>
  <c r="AR39" i="56"/>
  <c r="N28" i="38"/>
  <c r="O5" i="38"/>
  <c r="Z34" i="57"/>
  <c r="AR60" i="57"/>
  <c r="AR62" i="57"/>
  <c r="AR43" i="57"/>
  <c r="O8" i="38"/>
  <c r="T51" i="57"/>
  <c r="T75" i="57"/>
  <c r="AA34" i="57"/>
  <c r="O28" i="38"/>
  <c r="U62" i="57"/>
  <c r="U71" i="57"/>
  <c r="P5" i="38"/>
  <c r="T71" i="57"/>
  <c r="T66" i="57"/>
  <c r="T67" i="57"/>
  <c r="T76" i="57"/>
  <c r="U37" i="57"/>
  <c r="U77" i="57"/>
  <c r="U66" i="57"/>
  <c r="P8" i="38"/>
  <c r="T77" i="57"/>
  <c r="T79" i="57"/>
  <c r="U59" i="57"/>
  <c r="U64" i="57"/>
  <c r="U38" i="57"/>
  <c r="U50" i="57"/>
  <c r="U51" i="57"/>
  <c r="U75" i="57"/>
  <c r="U65" i="57"/>
  <c r="U39" i="57"/>
  <c r="U43" i="57"/>
  <c r="U45" i="57"/>
  <c r="U46" i="57"/>
  <c r="U47" i="57"/>
  <c r="W10" i="41"/>
  <c r="X10" i="41"/>
  <c r="Y10" i="41"/>
  <c r="Z10" i="41"/>
  <c r="AA10" i="41"/>
  <c r="AB10" i="41"/>
  <c r="AB17" i="60"/>
  <c r="AC10" i="41"/>
  <c r="AC17" i="60"/>
  <c r="AD10" i="41"/>
  <c r="AD17" i="60"/>
  <c r="AE10" i="41"/>
  <c r="AE17" i="60"/>
  <c r="AF10" i="41"/>
  <c r="AF17" i="60"/>
  <c r="AG10" i="41"/>
  <c r="AG17" i="60"/>
  <c r="AH10" i="41"/>
  <c r="AH17" i="60"/>
  <c r="AI10" i="41"/>
  <c r="AI17" i="60"/>
  <c r="AJ10" i="41"/>
  <c r="AJ17" i="60"/>
  <c r="AK10" i="41"/>
  <c r="AK17" i="60"/>
  <c r="AL10" i="41"/>
  <c r="AL17" i="60"/>
  <c r="AM10" i="41"/>
  <c r="AM17" i="60"/>
  <c r="AN10" i="41"/>
  <c r="AN17" i="60"/>
  <c r="AO10" i="41"/>
  <c r="AO17" i="60"/>
  <c r="AP10" i="41"/>
  <c r="AP17" i="60"/>
  <c r="AQ10" i="41"/>
  <c r="AQ17" i="60"/>
  <c r="AR10" i="41"/>
  <c r="AR17" i="60"/>
  <c r="W11" i="41"/>
  <c r="W18" i="60"/>
  <c r="X11" i="41"/>
  <c r="X18" i="60"/>
  <c r="Y11" i="41"/>
  <c r="Y18" i="60"/>
  <c r="Z11" i="41"/>
  <c r="Z18" i="60"/>
  <c r="AA11" i="41"/>
  <c r="AA18" i="60"/>
  <c r="AB11" i="41"/>
  <c r="AB18" i="60"/>
  <c r="AC11" i="41"/>
  <c r="AC18" i="60"/>
  <c r="AD11" i="41"/>
  <c r="AD18" i="60"/>
  <c r="AE11" i="41"/>
  <c r="AE18" i="60"/>
  <c r="AF11" i="41"/>
  <c r="AF18" i="60"/>
  <c r="AG11" i="41"/>
  <c r="AG18" i="60"/>
  <c r="AH11" i="41"/>
  <c r="AH18" i="60"/>
  <c r="AI11" i="41"/>
  <c r="AI18" i="60"/>
  <c r="AJ11" i="41"/>
  <c r="AJ18" i="60"/>
  <c r="AK11" i="41"/>
  <c r="AK18" i="60"/>
  <c r="AL11" i="41"/>
  <c r="AL18" i="60"/>
  <c r="AM11" i="41"/>
  <c r="AM18" i="60"/>
  <c r="AN11" i="41"/>
  <c r="AN18" i="60"/>
  <c r="AO11" i="41"/>
  <c r="AO18" i="60"/>
  <c r="AP11" i="41"/>
  <c r="AP18" i="60"/>
  <c r="AQ11" i="41"/>
  <c r="AQ18" i="60"/>
  <c r="AR11" i="41"/>
  <c r="AR18" i="60"/>
  <c r="W12" i="41"/>
  <c r="W19" i="60"/>
  <c r="X12" i="41"/>
  <c r="X19" i="60"/>
  <c r="Y12" i="41"/>
  <c r="Y19" i="60"/>
  <c r="Z12" i="41"/>
  <c r="Z19" i="60"/>
  <c r="AA12" i="41"/>
  <c r="AA19" i="60"/>
  <c r="AB12" i="41"/>
  <c r="AB19" i="60"/>
  <c r="AC12" i="41"/>
  <c r="AC19" i="60"/>
  <c r="AD12" i="41"/>
  <c r="AD19" i="60"/>
  <c r="AE12" i="41"/>
  <c r="AE19" i="60"/>
  <c r="AF12" i="41"/>
  <c r="AF19" i="60"/>
  <c r="AG12" i="41"/>
  <c r="AG19" i="60"/>
  <c r="AH12" i="41"/>
  <c r="AH19" i="60"/>
  <c r="AI12" i="41"/>
  <c r="AI19" i="60"/>
  <c r="AJ12" i="41"/>
  <c r="AJ19" i="60"/>
  <c r="AK12" i="41"/>
  <c r="AK19" i="60"/>
  <c r="AL12" i="41"/>
  <c r="AL19" i="60"/>
  <c r="AM12" i="41"/>
  <c r="AM19" i="60"/>
  <c r="AN12" i="41"/>
  <c r="AN19" i="60"/>
  <c r="AO12" i="41"/>
  <c r="AO19" i="60"/>
  <c r="AP12" i="41"/>
  <c r="AP19" i="60"/>
  <c r="AQ12" i="41"/>
  <c r="AQ19" i="60"/>
  <c r="AR12" i="41"/>
  <c r="AR19" i="60"/>
  <c r="W13" i="41"/>
  <c r="W20" i="60"/>
  <c r="X13" i="41"/>
  <c r="X20" i="60"/>
  <c r="Y13" i="41"/>
  <c r="Y20" i="60"/>
  <c r="Z13" i="41"/>
  <c r="Z20" i="60"/>
  <c r="AA13" i="41"/>
  <c r="AA20" i="60"/>
  <c r="AB13" i="41"/>
  <c r="AB20" i="60"/>
  <c r="AC13" i="41"/>
  <c r="AC20" i="60"/>
  <c r="AD13" i="41"/>
  <c r="AD20" i="60"/>
  <c r="AE13" i="41"/>
  <c r="AE20" i="60"/>
  <c r="AF13" i="41"/>
  <c r="AF20" i="60"/>
  <c r="AG13" i="41"/>
  <c r="AG20" i="60"/>
  <c r="AH13" i="41"/>
  <c r="AH20" i="60"/>
  <c r="AI13" i="41"/>
  <c r="AI20" i="60"/>
  <c r="AJ13" i="41"/>
  <c r="AJ20" i="60"/>
  <c r="AK13" i="41"/>
  <c r="AK20" i="60"/>
  <c r="AL13" i="41"/>
  <c r="AL20" i="60"/>
  <c r="AM13" i="41"/>
  <c r="AM20" i="60"/>
  <c r="AN13" i="41"/>
  <c r="AN20" i="60"/>
  <c r="AO13" i="41"/>
  <c r="AO20" i="60"/>
  <c r="AP13" i="41"/>
  <c r="AP20" i="60"/>
  <c r="AQ13" i="41"/>
  <c r="AQ20" i="60"/>
  <c r="AR13" i="41"/>
  <c r="AR20" i="60"/>
  <c r="V11" i="41"/>
  <c r="V26" i="41" s="1"/>
  <c r="V18" i="60"/>
  <c r="V12" i="41"/>
  <c r="V19" i="60"/>
  <c r="V13" i="41"/>
  <c r="V20" i="60"/>
  <c r="V10" i="41"/>
  <c r="AJ16" i="41"/>
  <c r="AK16" i="41"/>
  <c r="AL16" i="41"/>
  <c r="AM16" i="41"/>
  <c r="AN16" i="41"/>
  <c r="AO16" i="41"/>
  <c r="AP16" i="41"/>
  <c r="AQ16" i="41"/>
  <c r="AR16" i="41"/>
  <c r="W8" i="41"/>
  <c r="W72" i="41" s="1"/>
  <c r="W85" i="41" s="1"/>
  <c r="X8" i="41"/>
  <c r="Y8" i="41"/>
  <c r="Y72" i="41" s="1"/>
  <c r="Y85" i="41" s="1"/>
  <c r="Z8" i="41"/>
  <c r="Z72" i="41" s="1"/>
  <c r="Z85" i="41" s="1"/>
  <c r="AA8" i="41"/>
  <c r="AB8" i="41"/>
  <c r="AB24" i="60" s="1"/>
  <c r="AC8" i="41"/>
  <c r="AD8" i="41"/>
  <c r="AD24" i="60" s="1"/>
  <c r="AE8" i="41"/>
  <c r="AF8" i="41"/>
  <c r="AF72" i="41" s="1"/>
  <c r="AF85" i="41" s="1"/>
  <c r="AG8" i="41"/>
  <c r="AH8" i="41"/>
  <c r="AH72" i="41" s="1"/>
  <c r="AH85" i="41" s="1"/>
  <c r="AI8" i="41"/>
  <c r="AJ8" i="41"/>
  <c r="AJ24" i="60" s="1"/>
  <c r="AK8" i="41"/>
  <c r="AL8" i="41"/>
  <c r="AL24" i="60" s="1"/>
  <c r="AM8" i="41"/>
  <c r="AN8" i="41"/>
  <c r="AN72" i="41" s="1"/>
  <c r="AN85" i="41" s="1"/>
  <c r="AO8" i="41"/>
  <c r="AP8" i="41"/>
  <c r="AP24" i="60" s="1"/>
  <c r="AQ8" i="41"/>
  <c r="AR8" i="41"/>
  <c r="AR24" i="60" s="1"/>
  <c r="V8" i="41"/>
  <c r="AI16" i="41"/>
  <c r="AG16" i="41"/>
  <c r="AF16" i="41"/>
  <c r="AB16" i="41"/>
  <c r="AA16" i="41"/>
  <c r="X16" i="41"/>
  <c r="W16" i="41"/>
  <c r="AP72" i="41"/>
  <c r="AP85" i="41" s="1"/>
  <c r="AH24" i="60"/>
  <c r="AD72" i="41"/>
  <c r="AD85" i="41" s="1"/>
  <c r="AQ24" i="60"/>
  <c r="AQ72" i="41"/>
  <c r="AQ85" i="41" s="1"/>
  <c r="AM24" i="60"/>
  <c r="AM72" i="41"/>
  <c r="AM85" i="41" s="1"/>
  <c r="AI24" i="60"/>
  <c r="AI72" i="41"/>
  <c r="AI85" i="41" s="1"/>
  <c r="AE24" i="60"/>
  <c r="AE72" i="41"/>
  <c r="AE85" i="41" s="1"/>
  <c r="AG24" i="60"/>
  <c r="AC72" i="41"/>
  <c r="AC85" i="41" s="1"/>
  <c r="AR72" i="41"/>
  <c r="AR85" i="41" s="1"/>
  <c r="AN24" i="60"/>
  <c r="AJ72" i="41"/>
  <c r="AJ85" i="41" s="1"/>
  <c r="AF24" i="60"/>
  <c r="AB72" i="41"/>
  <c r="AB85" i="41" s="1"/>
  <c r="W24" i="60"/>
  <c r="W65" i="41"/>
  <c r="Z24" i="60"/>
  <c r="Z65" i="41"/>
  <c r="V65" i="41"/>
  <c r="Y24" i="60"/>
  <c r="Y65" i="41"/>
  <c r="U67" i="57"/>
  <c r="V59" i="57"/>
  <c r="AA17" i="60"/>
  <c r="Z17" i="60"/>
  <c r="Y17" i="60"/>
  <c r="X17" i="60"/>
  <c r="W17" i="60"/>
  <c r="V17" i="60"/>
  <c r="U76" i="57"/>
  <c r="AE16" i="41"/>
  <c r="U74" i="57"/>
  <c r="U79" i="57"/>
  <c r="V42" i="57"/>
  <c r="V45" i="57"/>
  <c r="V46" i="57"/>
  <c r="V4" i="60"/>
  <c r="L1" i="55"/>
  <c r="L1" i="59"/>
  <c r="L1" i="38"/>
  <c r="M1" i="55"/>
  <c r="M1" i="59"/>
  <c r="M1" i="38"/>
  <c r="N1" i="55"/>
  <c r="N1" i="59"/>
  <c r="Y43" i="57"/>
  <c r="Y60" i="57"/>
  <c r="Y62" i="57"/>
  <c r="X43" i="57"/>
  <c r="X60" i="57"/>
  <c r="X62" i="57"/>
  <c r="AA43" i="57"/>
  <c r="AA60" i="57"/>
  <c r="AA62" i="57"/>
  <c r="V60" i="57"/>
  <c r="V62" i="57"/>
  <c r="V64" i="57"/>
  <c r="W60" i="57"/>
  <c r="W62" i="57"/>
  <c r="W43" i="57"/>
  <c r="Z43" i="57"/>
  <c r="Z60" i="57"/>
  <c r="Z62" i="57"/>
  <c r="V65" i="57"/>
  <c r="V67" i="57"/>
  <c r="N1" i="38"/>
  <c r="O1" i="55"/>
  <c r="O1" i="59"/>
  <c r="V74" i="57"/>
  <c r="P1" i="55"/>
  <c r="P1" i="59"/>
  <c r="O1" i="38"/>
  <c r="V47" i="57"/>
  <c r="W42" i="57"/>
  <c r="W45" i="57"/>
  <c r="W46" i="57"/>
  <c r="V76" i="57"/>
  <c r="V79" i="57"/>
  <c r="V11" i="57"/>
  <c r="Q1" i="55"/>
  <c r="Q1" i="59"/>
  <c r="P1" i="38"/>
  <c r="W74" i="57"/>
  <c r="W59" i="57"/>
  <c r="W64" i="57"/>
  <c r="Q1" i="38"/>
  <c r="R1" i="55"/>
  <c r="R1" i="59"/>
  <c r="W47" i="57"/>
  <c r="X42" i="57"/>
  <c r="X45" i="57"/>
  <c r="W65" i="57"/>
  <c r="R1" i="38"/>
  <c r="S1" i="55"/>
  <c r="S1" i="59"/>
  <c r="X46" i="57"/>
  <c r="X47" i="57"/>
  <c r="Y42" i="57"/>
  <c r="Y45" i="57"/>
  <c r="W67" i="57"/>
  <c r="X59" i="57"/>
  <c r="X64" i="57"/>
  <c r="W76" i="57"/>
  <c r="W79" i="57"/>
  <c r="W11" i="57"/>
  <c r="T1" i="55"/>
  <c r="T1" i="59"/>
  <c r="S1" i="38"/>
  <c r="T1" i="38"/>
  <c r="T1" i="57"/>
  <c r="Y46" i="57"/>
  <c r="Y74" i="57"/>
  <c r="X74" i="57"/>
  <c r="X65" i="57"/>
  <c r="U1" i="55"/>
  <c r="U1" i="59"/>
  <c r="U1" i="56"/>
  <c r="U1" i="38"/>
  <c r="U1" i="57"/>
  <c r="U1" i="41"/>
  <c r="C6" i="60"/>
  <c r="Y47" i="57"/>
  <c r="Z42" i="57"/>
  <c r="Z45" i="57"/>
  <c r="Z46" i="57"/>
  <c r="Z74" i="57"/>
  <c r="X67" i="57"/>
  <c r="Y59" i="57"/>
  <c r="Y64" i="57"/>
  <c r="X76" i="57"/>
  <c r="X79" i="57"/>
  <c r="X11" i="57"/>
  <c r="V1" i="55"/>
  <c r="V1" i="59"/>
  <c r="V1" i="38"/>
  <c r="V1" i="57"/>
  <c r="V16" i="60"/>
  <c r="V1" i="41"/>
  <c r="Z47" i="57"/>
  <c r="AA42" i="57"/>
  <c r="AA45" i="57"/>
  <c r="AA46" i="57"/>
  <c r="AA74" i="57"/>
  <c r="Y65" i="57"/>
  <c r="W1" i="55"/>
  <c r="W1" i="59"/>
  <c r="W1" i="38"/>
  <c r="W16" i="60"/>
  <c r="W1" i="57"/>
  <c r="W1" i="41"/>
  <c r="Y67" i="57"/>
  <c r="Z59" i="57"/>
  <c r="Z64" i="57"/>
  <c r="Y76" i="57"/>
  <c r="Y79" i="57"/>
  <c r="Y11" i="57"/>
  <c r="AA47" i="57"/>
  <c r="AB42" i="57"/>
  <c r="AB45" i="57"/>
  <c r="X1" i="55"/>
  <c r="X1" i="59"/>
  <c r="AB46" i="57"/>
  <c r="AB74" i="57"/>
  <c r="X1" i="38"/>
  <c r="X1" i="57"/>
  <c r="X16" i="60"/>
  <c r="X1" i="41"/>
  <c r="Z65" i="57"/>
  <c r="Y1" i="55"/>
  <c r="Y1" i="59"/>
  <c r="AB47" i="57"/>
  <c r="AC42" i="57"/>
  <c r="AC45" i="57"/>
  <c r="AC46" i="57"/>
  <c r="Y1" i="38"/>
  <c r="Y16" i="60"/>
  <c r="Y1" i="57"/>
  <c r="Y1" i="41"/>
  <c r="Z67" i="57"/>
  <c r="AA59" i="57"/>
  <c r="AA64" i="57"/>
  <c r="Z76" i="57"/>
  <c r="Z79" i="57"/>
  <c r="Z11" i="57"/>
  <c r="Z1" i="55"/>
  <c r="Z1" i="59"/>
  <c r="AC74" i="57"/>
  <c r="AC47" i="57"/>
  <c r="AD42" i="57"/>
  <c r="AD45" i="57"/>
  <c r="AD46" i="57"/>
  <c r="AD74" i="57"/>
  <c r="Z1" i="38"/>
  <c r="Z16" i="60"/>
  <c r="Z1" i="57"/>
  <c r="Z1" i="41"/>
  <c r="AA65" i="57"/>
  <c r="AA1" i="55"/>
  <c r="AA1" i="59"/>
  <c r="AD47" i="57"/>
  <c r="AE42" i="57"/>
  <c r="AE45" i="57"/>
  <c r="AA1" i="38"/>
  <c r="AA16" i="60"/>
  <c r="AA1" i="57"/>
  <c r="AA1" i="41"/>
  <c r="C5" i="60"/>
  <c r="AA67" i="57"/>
  <c r="AB59" i="57"/>
  <c r="AB64" i="57"/>
  <c r="AA76" i="57"/>
  <c r="AA79" i="57"/>
  <c r="AA11" i="57"/>
  <c r="AB1" i="55"/>
  <c r="AB1" i="59"/>
  <c r="AB1" i="57"/>
  <c r="AB16" i="60"/>
  <c r="AB65" i="57"/>
  <c r="AB76" i="57"/>
  <c r="AB79" i="57"/>
  <c r="AB11" i="57"/>
  <c r="AE46" i="57"/>
  <c r="AE74" i="57"/>
  <c r="AB1" i="38"/>
  <c r="AB1" i="41"/>
  <c r="AC1" i="55"/>
  <c r="AC1" i="59"/>
  <c r="AC1" i="57"/>
  <c r="AC16" i="60"/>
  <c r="AE47" i="57"/>
  <c r="AF42" i="57"/>
  <c r="AF45" i="57"/>
  <c r="AB67" i="57"/>
  <c r="AC59" i="57"/>
  <c r="AC64" i="57"/>
  <c r="AC1" i="38"/>
  <c r="AC1" i="41"/>
  <c r="AD1" i="55"/>
  <c r="AD1" i="59"/>
  <c r="AD1" i="57"/>
  <c r="AD16" i="60"/>
  <c r="AF46" i="57"/>
  <c r="AF74" i="57"/>
  <c r="AC65" i="57"/>
  <c r="AC76" i="57"/>
  <c r="AC79" i="57"/>
  <c r="AC11" i="57"/>
  <c r="AD1" i="38"/>
  <c r="AD1" i="41"/>
  <c r="AE1" i="55"/>
  <c r="AE1" i="59"/>
  <c r="AE1" i="57"/>
  <c r="AE16" i="60"/>
  <c r="AC67" i="57"/>
  <c r="AD59" i="57"/>
  <c r="AD64" i="57"/>
  <c r="AD65" i="57"/>
  <c r="AF47" i="57"/>
  <c r="AG42" i="57"/>
  <c r="AG45" i="57"/>
  <c r="AE1" i="38"/>
  <c r="AE1" i="41"/>
  <c r="AF1" i="55"/>
  <c r="AF1" i="59"/>
  <c r="AF1" i="57"/>
  <c r="AF16" i="60"/>
  <c r="AD76" i="57"/>
  <c r="AD79" i="57"/>
  <c r="AD11" i="57"/>
  <c r="AD67" i="57"/>
  <c r="AE59" i="57"/>
  <c r="AE64" i="57"/>
  <c r="AE65" i="57"/>
  <c r="AE76" i="57"/>
  <c r="AE79" i="57"/>
  <c r="AE11" i="57"/>
  <c r="AG46" i="57"/>
  <c r="AG74" i="57"/>
  <c r="AF1" i="38"/>
  <c r="AF1" i="41"/>
  <c r="AG1" i="55"/>
  <c r="AG1" i="59"/>
  <c r="AG1" i="57"/>
  <c r="AG16" i="60"/>
  <c r="AG47" i="57"/>
  <c r="AH42" i="57"/>
  <c r="AH45" i="57"/>
  <c r="AH46" i="57"/>
  <c r="AH74" i="57"/>
  <c r="AE67" i="57"/>
  <c r="AF59" i="57"/>
  <c r="AF64" i="57"/>
  <c r="AG1" i="38"/>
  <c r="AG1" i="41"/>
  <c r="AH1" i="55"/>
  <c r="AH1" i="59"/>
  <c r="AH1" i="57"/>
  <c r="AH16" i="60"/>
  <c r="AH47" i="57"/>
  <c r="AI42" i="57"/>
  <c r="AI45" i="57"/>
  <c r="AF65" i="57"/>
  <c r="AF76" i="57"/>
  <c r="AF79" i="57"/>
  <c r="AF11" i="57"/>
  <c r="AH1" i="38"/>
  <c r="AH1" i="41"/>
  <c r="AI1" i="55"/>
  <c r="AF67" i="57"/>
  <c r="AG59" i="57"/>
  <c r="AG64" i="57"/>
  <c r="AI1" i="59"/>
  <c r="AI1" i="57"/>
  <c r="AI16" i="60"/>
  <c r="AG65" i="57"/>
  <c r="AG76" i="57"/>
  <c r="AG79" i="57"/>
  <c r="AG11" i="57"/>
  <c r="AI46" i="57"/>
  <c r="AI74" i="57"/>
  <c r="AI1" i="38"/>
  <c r="AI1" i="41"/>
  <c r="AJ1" i="55"/>
  <c r="AG67" i="57"/>
  <c r="AH59" i="57"/>
  <c r="AH64" i="57"/>
  <c r="AH65" i="57"/>
  <c r="AH76" i="57"/>
  <c r="AH79" i="57"/>
  <c r="AH11" i="57"/>
  <c r="AJ1" i="59"/>
  <c r="AJ1" i="57"/>
  <c r="AJ16" i="60"/>
  <c r="AI47" i="57"/>
  <c r="AJ42" i="57"/>
  <c r="AJ45" i="57"/>
  <c r="AJ46" i="57"/>
  <c r="AJ1" i="38"/>
  <c r="AJ1" i="41"/>
  <c r="AK1" i="55"/>
  <c r="AJ74" i="57"/>
  <c r="AJ47" i="57"/>
  <c r="AK42" i="57"/>
  <c r="AK45" i="57"/>
  <c r="AK46" i="57"/>
  <c r="AK74" i="57"/>
  <c r="AK1" i="59"/>
  <c r="AK1" i="57"/>
  <c r="AK16" i="60"/>
  <c r="AH67" i="57"/>
  <c r="AI59" i="57"/>
  <c r="AI64" i="57"/>
  <c r="AK1" i="38"/>
  <c r="AK1" i="41"/>
  <c r="AL1" i="55"/>
  <c r="AL1" i="59"/>
  <c r="AL1" i="57"/>
  <c r="AL16" i="60"/>
  <c r="AK47" i="57"/>
  <c r="AL42" i="57"/>
  <c r="AL45" i="57"/>
  <c r="AI65" i="57"/>
  <c r="AI76" i="57"/>
  <c r="AI79" i="57"/>
  <c r="AI11" i="57"/>
  <c r="AL1" i="38"/>
  <c r="AL1" i="41"/>
  <c r="AM1" i="55"/>
  <c r="AI67" i="57"/>
  <c r="AJ59" i="57"/>
  <c r="AJ64" i="57"/>
  <c r="AM1" i="57"/>
  <c r="AM16" i="60"/>
  <c r="AJ65" i="57"/>
  <c r="AJ76" i="57"/>
  <c r="AJ79" i="57"/>
  <c r="AJ11" i="57"/>
  <c r="AL46" i="57"/>
  <c r="AL74" i="57"/>
  <c r="AL47" i="57"/>
  <c r="AM42" i="57"/>
  <c r="AM45" i="57"/>
  <c r="AM1" i="38"/>
  <c r="AM1" i="41"/>
  <c r="AN1" i="55"/>
  <c r="AN1" i="57"/>
  <c r="AN16" i="60"/>
  <c r="AJ67" i="57"/>
  <c r="AK59" i="57"/>
  <c r="AK64" i="57"/>
  <c r="AM46" i="57"/>
  <c r="AM74" i="57"/>
  <c r="AN1" i="38"/>
  <c r="AN1" i="41"/>
  <c r="AO1" i="55"/>
  <c r="AO1" i="57"/>
  <c r="AO16" i="60"/>
  <c r="AM47" i="57"/>
  <c r="AN42" i="57"/>
  <c r="AN45" i="57"/>
  <c r="AN46" i="57"/>
  <c r="AN74" i="57"/>
  <c r="AK65" i="57"/>
  <c r="AK76" i="57"/>
  <c r="AK79" i="57"/>
  <c r="AK11" i="57"/>
  <c r="AO1" i="38"/>
  <c r="AO1" i="41"/>
  <c r="AP1" i="55"/>
  <c r="AN47" i="57"/>
  <c r="AO42" i="57"/>
  <c r="AO45" i="57"/>
  <c r="AP1" i="57"/>
  <c r="AP16" i="60"/>
  <c r="AK67" i="57"/>
  <c r="AL59" i="57"/>
  <c r="AL64" i="57"/>
  <c r="AL65" i="57"/>
  <c r="AL76" i="57"/>
  <c r="AL79" i="57"/>
  <c r="AL11" i="57"/>
  <c r="AP1" i="38"/>
  <c r="AP1" i="41"/>
  <c r="AQ1" i="55"/>
  <c r="AO46" i="57"/>
  <c r="AO74" i="57"/>
  <c r="AQ1" i="57"/>
  <c r="AQ16" i="60"/>
  <c r="AL67" i="57"/>
  <c r="AM59" i="57"/>
  <c r="AM64" i="57"/>
  <c r="AQ1" i="38"/>
  <c r="AQ1" i="41"/>
  <c r="AR1" i="55"/>
  <c r="AR1" i="57"/>
  <c r="AR16" i="60"/>
  <c r="AO47" i="57"/>
  <c r="AP42" i="57"/>
  <c r="AP45" i="57"/>
  <c r="AM65" i="57"/>
  <c r="AM76" i="57"/>
  <c r="AM79" i="57"/>
  <c r="AM11" i="57"/>
  <c r="AR1" i="38"/>
  <c r="AR1" i="41"/>
  <c r="C7" i="60"/>
  <c r="AP46" i="57"/>
  <c r="AP74" i="57"/>
  <c r="AM67" i="57"/>
  <c r="AN59" i="57"/>
  <c r="AN64" i="57"/>
  <c r="AN65" i="57"/>
  <c r="AN76" i="57"/>
  <c r="AN79" i="57"/>
  <c r="AN11" i="57"/>
  <c r="AP47" i="57"/>
  <c r="AQ42" i="57"/>
  <c r="AQ45" i="57"/>
  <c r="AN67" i="57"/>
  <c r="AO59" i="57"/>
  <c r="AO64" i="57"/>
  <c r="AO65" i="57"/>
  <c r="AO76" i="57"/>
  <c r="AO79" i="57"/>
  <c r="AO11" i="57"/>
  <c r="AO67" i="57"/>
  <c r="AP59" i="57"/>
  <c r="AP64" i="57"/>
  <c r="AP65" i="57"/>
  <c r="AQ46" i="57"/>
  <c r="AQ74" i="57"/>
  <c r="W20" i="41"/>
  <c r="X20" i="41" s="1"/>
  <c r="W19" i="41"/>
  <c r="W27" i="60" s="1"/>
  <c r="AP76" i="57"/>
  <c r="AP79" i="57"/>
  <c r="AP11" i="57"/>
  <c r="AP67" i="57"/>
  <c r="AQ59" i="57"/>
  <c r="AQ64" i="57"/>
  <c r="AQ47" i="57"/>
  <c r="AR42" i="57"/>
  <c r="AR45" i="57"/>
  <c r="AQ65" i="57"/>
  <c r="AQ76" i="57"/>
  <c r="AQ79" i="57"/>
  <c r="AQ11" i="57"/>
  <c r="V4" i="41"/>
  <c r="AR46" i="57"/>
  <c r="AR74" i="57"/>
  <c r="AQ67" i="57"/>
  <c r="AR59" i="57"/>
  <c r="AR64" i="57"/>
  <c r="AR47" i="57"/>
  <c r="AR65" i="57"/>
  <c r="AR76" i="57"/>
  <c r="AR79" i="57"/>
  <c r="AR11" i="57"/>
  <c r="W4" i="41"/>
  <c r="AR67" i="57"/>
  <c r="X4" i="41"/>
  <c r="Y4" i="41"/>
  <c r="Z4" i="41"/>
  <c r="X27" i="41"/>
  <c r="W27" i="41"/>
  <c r="AA4" i="41"/>
  <c r="V27" i="41"/>
  <c r="AB4" i="41"/>
  <c r="AC4" i="41"/>
  <c r="AD4" i="41"/>
  <c r="AE4" i="41"/>
  <c r="AF4" i="41"/>
  <c r="AG4" i="41"/>
  <c r="AH4" i="41"/>
  <c r="AI4" i="41"/>
  <c r="AJ4" i="41"/>
  <c r="AK4" i="41"/>
  <c r="AL4" i="41"/>
  <c r="P28" i="38"/>
  <c r="AM4" i="41"/>
  <c r="Q5" i="38"/>
  <c r="Q8" i="38"/>
  <c r="Q28" i="38"/>
  <c r="AN4" i="41"/>
  <c r="AO4" i="41"/>
  <c r="R5" i="38"/>
  <c r="R8" i="38"/>
  <c r="AP4" i="41"/>
  <c r="AQ4" i="41"/>
  <c r="R28" i="38"/>
  <c r="AR4" i="41"/>
  <c r="S5" i="38"/>
  <c r="S8" i="38"/>
  <c r="S28" i="38"/>
  <c r="T5" i="38"/>
  <c r="T8" i="38"/>
  <c r="Y27" i="41"/>
  <c r="T28" i="38"/>
  <c r="AA27" i="41"/>
  <c r="Z27" i="41"/>
  <c r="U5" i="38"/>
  <c r="AB27" i="41"/>
  <c r="U8" i="38"/>
  <c r="U28" i="38"/>
  <c r="AC27" i="41"/>
  <c r="S43" i="55"/>
  <c r="V35" i="38"/>
  <c r="AD27" i="41"/>
  <c r="AE27" i="41"/>
  <c r="AF27" i="41"/>
  <c r="AG27" i="41"/>
  <c r="AH27" i="41"/>
  <c r="AI27" i="41"/>
  <c r="AJ27" i="41"/>
  <c r="AK27" i="41"/>
  <c r="AL27" i="41"/>
  <c r="AM27" i="41"/>
  <c r="AN27" i="41"/>
  <c r="AO27" i="41"/>
  <c r="AP27" i="41"/>
  <c r="AQ27" i="41"/>
  <c r="AR27" i="41"/>
  <c r="W28" i="41"/>
  <c r="W6" i="56" s="1"/>
  <c r="W15" i="56" s="1"/>
  <c r="W27" i="56" s="1"/>
  <c r="W9" i="57"/>
  <c r="Y28" i="41"/>
  <c r="Y6" i="56"/>
  <c r="Y15" i="56" s="1"/>
  <c r="Y27" i="56" s="1"/>
  <c r="Y9" i="57"/>
  <c r="Z28" i="41"/>
  <c r="Z6" i="56" s="1"/>
  <c r="Z15" i="56" s="1"/>
  <c r="Z27" i="56" s="1"/>
  <c r="AD28" i="41"/>
  <c r="AD6" i="56" s="1"/>
  <c r="AD15" i="56" s="1"/>
  <c r="AD27" i="56" s="1"/>
  <c r="AE28" i="41"/>
  <c r="AE6" i="56" s="1"/>
  <c r="AE15" i="56" s="1"/>
  <c r="AE27" i="56" s="1"/>
  <c r="AE9" i="57"/>
  <c r="AH28" i="41"/>
  <c r="AH6" i="56" s="1"/>
  <c r="AH15" i="56" s="1"/>
  <c r="AH27" i="56" s="1"/>
  <c r="AI28" i="41"/>
  <c r="AI6" i="56" s="1"/>
  <c r="AI15" i="56" s="1"/>
  <c r="AI27" i="56" s="1"/>
  <c r="AI9" i="57"/>
  <c r="AL28" i="41"/>
  <c r="AM28" i="41"/>
  <c r="AM6" i="56" s="1"/>
  <c r="AM15" i="56" s="1"/>
  <c r="AM27" i="56" s="1"/>
  <c r="AP28" i="41"/>
  <c r="AP6" i="56" s="1"/>
  <c r="AP15" i="56" s="1"/>
  <c r="AP27" i="56" s="1"/>
  <c r="AQ28" i="41"/>
  <c r="AQ6" i="56" s="1"/>
  <c r="AQ15" i="56" s="1"/>
  <c r="AQ27" i="56" s="1"/>
  <c r="AQ9" i="57"/>
  <c r="W22" i="41"/>
  <c r="X22" i="41" s="1"/>
  <c r="V55" i="38"/>
  <c r="W32" i="38"/>
  <c r="V33" i="41"/>
  <c r="W35" i="38"/>
  <c r="W55" i="38"/>
  <c r="X32" i="38"/>
  <c r="W33" i="41"/>
  <c r="X35" i="38"/>
  <c r="X55" i="38"/>
  <c r="Y32" i="38"/>
  <c r="X33" i="41"/>
  <c r="Y35" i="38"/>
  <c r="Y55" i="38"/>
  <c r="Z32" i="38"/>
  <c r="Y33" i="41"/>
  <c r="Z35" i="38"/>
  <c r="Z55" i="38"/>
  <c r="AA32" i="38"/>
  <c r="Z33" i="41"/>
  <c r="AA35" i="38"/>
  <c r="U43" i="55"/>
  <c r="V43" i="55"/>
  <c r="U49" i="41"/>
  <c r="U51" i="55"/>
  <c r="V51" i="55"/>
  <c r="AA55" i="38"/>
  <c r="AB32" i="38"/>
  <c r="U35" i="41"/>
  <c r="U42" i="41"/>
  <c r="AA33" i="41"/>
  <c r="V49" i="41"/>
  <c r="AB35" i="38"/>
  <c r="U52" i="41"/>
  <c r="V34" i="60"/>
  <c r="AB55" i="38"/>
  <c r="AC32" i="38"/>
  <c r="U63" i="41"/>
  <c r="V60" i="41"/>
  <c r="V47" i="56"/>
  <c r="AB33" i="41"/>
  <c r="AB34" i="60"/>
  <c r="AC35" i="38"/>
  <c r="AC55" i="38"/>
  <c r="AD32" i="38"/>
  <c r="W49" i="41"/>
  <c r="W34" i="60"/>
  <c r="AC33" i="41"/>
  <c r="AC34" i="60"/>
  <c r="AD35" i="38"/>
  <c r="X34" i="60"/>
  <c r="X49" i="41"/>
  <c r="AD55" i="38"/>
  <c r="AE32" i="38"/>
  <c r="AD33" i="41"/>
  <c r="AD34" i="60"/>
  <c r="AE35" i="38"/>
  <c r="Y34" i="60"/>
  <c r="Y49" i="41"/>
  <c r="AE55" i="38"/>
  <c r="AF32" i="38"/>
  <c r="AE33" i="41"/>
  <c r="AE34" i="60"/>
  <c r="AF35" i="38"/>
  <c r="AF55" i="38"/>
  <c r="AG32" i="38"/>
  <c r="AF33" i="41"/>
  <c r="AF34" i="60"/>
  <c r="AG35" i="38"/>
  <c r="Z49" i="41"/>
  <c r="Z34" i="60"/>
  <c r="AA34" i="60"/>
  <c r="AG55" i="38"/>
  <c r="AH32" i="38"/>
  <c r="AB49" i="41"/>
  <c r="AA49" i="41"/>
  <c r="AA43" i="41"/>
  <c r="AG33" i="41"/>
  <c r="AG34" i="60"/>
  <c r="AH35" i="38"/>
  <c r="AH55" i="38"/>
  <c r="AI32" i="38"/>
  <c r="AC49" i="41"/>
  <c r="AH33" i="41"/>
  <c r="AH34" i="60"/>
  <c r="AD49" i="41"/>
  <c r="AI35" i="38"/>
  <c r="AI55" i="38"/>
  <c r="AJ32" i="38"/>
  <c r="AE49" i="41"/>
  <c r="AI33" i="41"/>
  <c r="AI34" i="60"/>
  <c r="AF49" i="41"/>
  <c r="AJ35" i="38"/>
  <c r="AJ55" i="38"/>
  <c r="AK32" i="38"/>
  <c r="AG49" i="41"/>
  <c r="AJ33" i="41"/>
  <c r="AJ34" i="60"/>
  <c r="AG43" i="41"/>
  <c r="AH49" i="41"/>
  <c r="AK35" i="38"/>
  <c r="AK55" i="38"/>
  <c r="AL32" i="38"/>
  <c r="AI49" i="41"/>
  <c r="AK33" i="41"/>
  <c r="AK34" i="60"/>
  <c r="AJ49" i="41"/>
  <c r="AL35" i="38"/>
  <c r="AL55" i="38"/>
  <c r="AM32" i="38"/>
  <c r="AK49" i="41"/>
  <c r="AL33" i="41"/>
  <c r="AL49" i="41"/>
  <c r="AL34" i="60"/>
  <c r="AM35" i="38"/>
  <c r="AM55" i="38"/>
  <c r="AN32" i="38"/>
  <c r="AM33" i="41"/>
  <c r="AM43" i="41"/>
  <c r="AM34" i="60"/>
  <c r="AM49" i="41"/>
  <c r="AN35" i="38"/>
  <c r="AN55" i="38"/>
  <c r="AO32" i="38"/>
  <c r="AN33" i="41"/>
  <c r="AN49" i="41"/>
  <c r="AN34" i="60"/>
  <c r="AO35" i="38"/>
  <c r="AO55" i="38"/>
  <c r="AP32" i="38"/>
  <c r="AO33" i="41"/>
  <c r="AO49" i="41"/>
  <c r="AO34" i="60"/>
  <c r="AP35" i="38"/>
  <c r="AP55" i="38"/>
  <c r="AQ32" i="38"/>
  <c r="AP33" i="41"/>
  <c r="AP49" i="41"/>
  <c r="AP34" i="60"/>
  <c r="AQ35" i="38"/>
  <c r="AQ55" i="38"/>
  <c r="AR32" i="38"/>
  <c r="AQ33" i="41"/>
  <c r="AQ49" i="41"/>
  <c r="AQ34" i="60"/>
  <c r="AR35" i="38"/>
  <c r="AR55" i="38"/>
  <c r="AR33" i="41"/>
  <c r="AR34" i="60"/>
  <c r="U36" i="41"/>
  <c r="AR43" i="41"/>
  <c r="AR49" i="41"/>
  <c r="W29" i="60" l="1"/>
  <c r="X21" i="41"/>
  <c r="X29" i="60" s="1"/>
  <c r="W23" i="41"/>
  <c r="W32" i="60"/>
  <c r="AM9" i="57"/>
  <c r="AL72" i="41"/>
  <c r="AL85" i="41" s="1"/>
  <c r="W26" i="41"/>
  <c r="W5" i="56" s="1"/>
  <c r="W14" i="56" s="1"/>
  <c r="W26" i="56" s="1"/>
  <c r="W28" i="60"/>
  <c r="Y20" i="41"/>
  <c r="Z20" i="41" s="1"/>
  <c r="Z28" i="60" s="1"/>
  <c r="X28" i="60"/>
  <c r="W30" i="60"/>
  <c r="Y24" i="41"/>
  <c r="X30" i="60"/>
  <c r="Y22" i="41"/>
  <c r="AA20" i="41"/>
  <c r="Y28" i="60"/>
  <c r="X19" i="41"/>
  <c r="Y21" i="41"/>
  <c r="AD9" i="57"/>
  <c r="X72" i="41"/>
  <c r="X85" i="41" s="1"/>
  <c r="X28" i="41"/>
  <c r="X24" i="60"/>
  <c r="AL9" i="57"/>
  <c r="AL6" i="56"/>
  <c r="AL15" i="56" s="1"/>
  <c r="AL27" i="56" s="1"/>
  <c r="AA72" i="41"/>
  <c r="AA85" i="41" s="1"/>
  <c r="AA24" i="60"/>
  <c r="AA28" i="41"/>
  <c r="AA65" i="41"/>
  <c r="AP9" i="57"/>
  <c r="AH9" i="57"/>
  <c r="Z9" i="57"/>
  <c r="X65" i="41"/>
  <c r="V72" i="41"/>
  <c r="V85" i="41" s="1"/>
  <c r="V28" i="41"/>
  <c r="V24" i="60"/>
  <c r="AO28" i="41"/>
  <c r="AO24" i="60"/>
  <c r="AO72" i="41"/>
  <c r="AO85" i="41" s="1"/>
  <c r="AK24" i="60"/>
  <c r="AK28" i="41"/>
  <c r="AK72" i="41"/>
  <c r="AK85" i="41" s="1"/>
  <c r="AG72" i="41"/>
  <c r="AG85" i="41" s="1"/>
  <c r="AG28" i="41"/>
  <c r="AC24" i="60"/>
  <c r="AC28" i="41"/>
  <c r="AR28" i="41"/>
  <c r="AN28" i="41"/>
  <c r="AJ28" i="41"/>
  <c r="AF28" i="41"/>
  <c r="AB28" i="41"/>
  <c r="V5" i="56"/>
  <c r="V14" i="56" s="1"/>
  <c r="V26" i="56" s="1"/>
  <c r="V8" i="57"/>
  <c r="V33" i="60"/>
  <c r="AP21" i="60"/>
  <c r="AH21" i="60"/>
  <c r="Z21" i="60"/>
  <c r="W33" i="60" l="1"/>
  <c r="W31" i="60"/>
  <c r="X23" i="41"/>
  <c r="X26" i="41" s="1"/>
  <c r="X29" i="41" s="1"/>
  <c r="W29" i="41"/>
  <c r="W8" i="57"/>
  <c r="Y32" i="60"/>
  <c r="Z24" i="41"/>
  <c r="Y29" i="60"/>
  <c r="Z21" i="41"/>
  <c r="AB20" i="41"/>
  <c r="AA28" i="60"/>
  <c r="X27" i="60"/>
  <c r="Y19" i="41"/>
  <c r="Y30" i="60"/>
  <c r="Z22" i="41"/>
  <c r="AB9" i="57"/>
  <c r="AB6" i="56"/>
  <c r="AB15" i="56" s="1"/>
  <c r="AB27" i="56" s="1"/>
  <c r="AR9" i="57"/>
  <c r="AR6" i="56"/>
  <c r="AR15" i="56" s="1"/>
  <c r="AR27" i="56" s="1"/>
  <c r="V6" i="56"/>
  <c r="V15" i="56" s="1"/>
  <c r="V27" i="56" s="1"/>
  <c r="V9" i="57"/>
  <c r="X6" i="56"/>
  <c r="X15" i="56" s="1"/>
  <c r="X27" i="56" s="1"/>
  <c r="X9" i="57"/>
  <c r="V29" i="41"/>
  <c r="V31" i="41" s="1"/>
  <c r="AF9" i="57"/>
  <c r="AF6" i="56"/>
  <c r="AF15" i="56" s="1"/>
  <c r="AF27" i="56" s="1"/>
  <c r="AC6" i="56"/>
  <c r="AC15" i="56" s="1"/>
  <c r="AC27" i="56" s="1"/>
  <c r="AC9" i="57"/>
  <c r="AJ9" i="57"/>
  <c r="AJ6" i="56"/>
  <c r="AJ15" i="56" s="1"/>
  <c r="AJ27" i="56" s="1"/>
  <c r="AK9" i="57"/>
  <c r="AK6" i="56"/>
  <c r="AK15" i="56" s="1"/>
  <c r="AK27" i="56" s="1"/>
  <c r="AO6" i="56"/>
  <c r="AO15" i="56" s="1"/>
  <c r="AO27" i="56" s="1"/>
  <c r="AO9" i="57"/>
  <c r="AN9" i="57"/>
  <c r="AN6" i="56"/>
  <c r="AN15" i="56" s="1"/>
  <c r="AN27" i="56" s="1"/>
  <c r="AG9" i="57"/>
  <c r="AG6" i="56"/>
  <c r="AG15" i="56" s="1"/>
  <c r="AG27" i="56" s="1"/>
  <c r="AA9" i="57"/>
  <c r="AA6" i="56"/>
  <c r="AA15" i="56" s="1"/>
  <c r="AA27" i="56" s="1"/>
  <c r="V26" i="60" l="1"/>
  <c r="X31" i="60"/>
  <c r="Y23" i="41"/>
  <c r="V41" i="41"/>
  <c r="V55" i="41"/>
  <c r="V56" i="41" s="1"/>
  <c r="V70" i="41" s="1"/>
  <c r="W26" i="60"/>
  <c r="W31" i="41"/>
  <c r="W41" i="41"/>
  <c r="W55" i="41"/>
  <c r="W56" i="41" s="1"/>
  <c r="W62" i="41" s="1"/>
  <c r="X26" i="60"/>
  <c r="X31" i="41"/>
  <c r="X55" i="41"/>
  <c r="X56" i="41" s="1"/>
  <c r="X62" i="41" s="1"/>
  <c r="X41" i="41"/>
  <c r="Z32" i="60"/>
  <c r="AA24" i="41"/>
  <c r="Y27" i="60"/>
  <c r="Z19" i="41"/>
  <c r="AA22" i="41"/>
  <c r="Z30" i="60"/>
  <c r="AC20" i="41"/>
  <c r="AB28" i="60"/>
  <c r="AA21" i="41"/>
  <c r="Z29" i="60"/>
  <c r="X33" i="60"/>
  <c r="X5" i="56"/>
  <c r="X14" i="56" s="1"/>
  <c r="X26" i="56" s="1"/>
  <c r="X8" i="57"/>
  <c r="Z23" i="41" l="1"/>
  <c r="Y31" i="60"/>
  <c r="Y26" i="41"/>
  <c r="Y8" i="57" s="1"/>
  <c r="AB24" i="41"/>
  <c r="AA32" i="60"/>
  <c r="AD20" i="41"/>
  <c r="AC28" i="60"/>
  <c r="Z27" i="60"/>
  <c r="AA19" i="41"/>
  <c r="Z26" i="41"/>
  <c r="AA29" i="60"/>
  <c r="AB21" i="41"/>
  <c r="AA30" i="60"/>
  <c r="AB22" i="41"/>
  <c r="V83" i="41"/>
  <c r="V62" i="41"/>
  <c r="V63" i="41" s="1"/>
  <c r="W60" i="41" s="1"/>
  <c r="V58" i="41"/>
  <c r="Y29" i="41" l="1"/>
  <c r="Y33" i="60"/>
  <c r="Y5" i="56"/>
  <c r="Y14" i="56" s="1"/>
  <c r="Y26" i="56" s="1"/>
  <c r="AA23" i="41"/>
  <c r="AA26" i="41" s="1"/>
  <c r="Z31" i="60"/>
  <c r="AC24" i="41"/>
  <c r="AB32" i="60"/>
  <c r="AA27" i="60"/>
  <c r="AB19" i="41"/>
  <c r="Y26" i="60"/>
  <c r="Y55" i="41"/>
  <c r="Y31" i="41"/>
  <c r="Y41" i="41"/>
  <c r="AC22" i="41"/>
  <c r="AB30" i="60"/>
  <c r="AB29" i="60"/>
  <c r="AC21" i="41"/>
  <c r="Z33" i="60"/>
  <c r="Z5" i="56"/>
  <c r="Z14" i="56" s="1"/>
  <c r="Z26" i="56" s="1"/>
  <c r="Z8" i="57"/>
  <c r="Z29" i="41"/>
  <c r="AD28" i="60"/>
  <c r="AE20" i="41"/>
  <c r="V47" i="41"/>
  <c r="V50" i="41" s="1"/>
  <c r="W54" i="41"/>
  <c r="W61" i="41"/>
  <c r="W63" i="41" s="1"/>
  <c r="X60" i="41" s="1"/>
  <c r="W70" i="41"/>
  <c r="AA31" i="60" l="1"/>
  <c r="AB23" i="41"/>
  <c r="AD24" i="41"/>
  <c r="AC32" i="60"/>
  <c r="AB27" i="60"/>
  <c r="AB26" i="41"/>
  <c r="AC19" i="41"/>
  <c r="Z26" i="60"/>
  <c r="Z41" i="41"/>
  <c r="Z55" i="41"/>
  <c r="Z56" i="41" s="1"/>
  <c r="Z62" i="41" s="1"/>
  <c r="Z31" i="41"/>
  <c r="AD21" i="41"/>
  <c r="AC29" i="60"/>
  <c r="Y56" i="41"/>
  <c r="Y62" i="41" s="1"/>
  <c r="AC30" i="60"/>
  <c r="AD22" i="41"/>
  <c r="AF20" i="41"/>
  <c r="AE28" i="60"/>
  <c r="AA8" i="57"/>
  <c r="AA33" i="60"/>
  <c r="AA5" i="56"/>
  <c r="AA14" i="56" s="1"/>
  <c r="AA26" i="56" s="1"/>
  <c r="AA29" i="41"/>
  <c r="W83" i="41"/>
  <c r="W57" i="41"/>
  <c r="W58" i="41" s="1"/>
  <c r="X61" i="41"/>
  <c r="X63" i="41" s="1"/>
  <c r="Y60" i="41" s="1"/>
  <c r="X70" i="41"/>
  <c r="V52" i="41"/>
  <c r="V74" i="41"/>
  <c r="V8" i="56"/>
  <c r="V17" i="56" s="1"/>
  <c r="V40" i="56" s="1"/>
  <c r="AC23" i="41" l="1"/>
  <c r="AB31" i="60"/>
  <c r="AE24" i="41"/>
  <c r="AD32" i="60"/>
  <c r="AA41" i="41"/>
  <c r="AA31" i="41"/>
  <c r="AA55" i="41"/>
  <c r="AA26" i="60"/>
  <c r="AE21" i="41"/>
  <c r="AD29" i="60"/>
  <c r="AC27" i="60"/>
  <c r="AD19" i="41"/>
  <c r="AC26" i="41"/>
  <c r="AE22" i="41"/>
  <c r="AD30" i="60"/>
  <c r="AB5" i="56"/>
  <c r="AB14" i="56" s="1"/>
  <c r="AB26" i="56" s="1"/>
  <c r="AB33" i="60"/>
  <c r="AB8" i="57"/>
  <c r="AB29" i="41"/>
  <c r="AG20" i="41"/>
  <c r="AF28" i="60"/>
  <c r="AA44" i="41"/>
  <c r="Y70" i="41"/>
  <c r="Y61" i="41"/>
  <c r="Y63" i="41" s="1"/>
  <c r="Z60" i="41" s="1"/>
  <c r="X54" i="41"/>
  <c r="W47" i="41"/>
  <c r="W50" i="41" s="1"/>
  <c r="V66" i="41"/>
  <c r="V67" i="41" s="1"/>
  <c r="V4" i="56"/>
  <c r="V13" i="56" s="1"/>
  <c r="V19" i="56" s="1"/>
  <c r="X83" i="41"/>
  <c r="V87" i="41"/>
  <c r="V89" i="41" s="1"/>
  <c r="V90" i="41" s="1"/>
  <c r="V76" i="41"/>
  <c r="V77" i="41" s="1"/>
  <c r="AD23" i="41" l="1"/>
  <c r="AC31" i="60"/>
  <c r="AF24" i="41"/>
  <c r="AE32" i="60"/>
  <c r="AH20" i="41"/>
  <c r="AG28" i="60"/>
  <c r="AE19" i="41"/>
  <c r="AD27" i="60"/>
  <c r="AD26" i="41"/>
  <c r="AB41" i="41"/>
  <c r="AB26" i="60"/>
  <c r="AB31" i="41"/>
  <c r="AB55" i="41"/>
  <c r="AA56" i="41"/>
  <c r="AA62" i="41" s="1"/>
  <c r="AA36" i="60"/>
  <c r="AA39" i="41"/>
  <c r="AE30" i="60"/>
  <c r="AF22" i="41"/>
  <c r="AC5" i="56"/>
  <c r="AC14" i="56" s="1"/>
  <c r="AC26" i="56" s="1"/>
  <c r="AC33" i="60"/>
  <c r="AC8" i="57"/>
  <c r="AC29" i="41"/>
  <c r="AE29" i="60"/>
  <c r="AF21" i="41"/>
  <c r="Z61" i="41"/>
  <c r="Z63" i="41" s="1"/>
  <c r="AA60" i="41" s="1"/>
  <c r="Z70" i="41"/>
  <c r="W47" i="56"/>
  <c r="V20" i="56"/>
  <c r="W52" i="41"/>
  <c r="W8" i="56"/>
  <c r="W17" i="56" s="1"/>
  <c r="W40" i="56" s="1"/>
  <c r="W74" i="41"/>
  <c r="X57" i="41"/>
  <c r="X58" i="41" s="1"/>
  <c r="Y83" i="41"/>
  <c r="AE23" i="41" l="1"/>
  <c r="AD31" i="60"/>
  <c r="AF32" i="60"/>
  <c r="AG24" i="41"/>
  <c r="AG21" i="41"/>
  <c r="AF29" i="60"/>
  <c r="AG42" i="41"/>
  <c r="AA35" i="60"/>
  <c r="AE26" i="41"/>
  <c r="AE27" i="60"/>
  <c r="AF19" i="41"/>
  <c r="AC26" i="60"/>
  <c r="AC31" i="41"/>
  <c r="AC55" i="41"/>
  <c r="AC41" i="41"/>
  <c r="AG22" i="41"/>
  <c r="AF30" i="60"/>
  <c r="AB56" i="41"/>
  <c r="AB62" i="41" s="1"/>
  <c r="AD5" i="56"/>
  <c r="AD14" i="56" s="1"/>
  <c r="AD26" i="56" s="1"/>
  <c r="AD33" i="60"/>
  <c r="AD8" i="57"/>
  <c r="AD29" i="41"/>
  <c r="AH28" i="60"/>
  <c r="AI20" i="41"/>
  <c r="AA70" i="41"/>
  <c r="AA61" i="41"/>
  <c r="AA63" i="41" s="1"/>
  <c r="AB60" i="41" s="1"/>
  <c r="W87" i="41"/>
  <c r="W89" i="41" s="1"/>
  <c r="W90" i="41" s="1"/>
  <c r="W76" i="41"/>
  <c r="W77" i="41" s="1"/>
  <c r="Z83" i="41"/>
  <c r="Y54" i="41"/>
  <c r="X47" i="41"/>
  <c r="X50" i="41" s="1"/>
  <c r="V57" i="56"/>
  <c r="V22" i="56"/>
  <c r="W4" i="56"/>
  <c r="W13" i="56" s="1"/>
  <c r="W19" i="56" s="1"/>
  <c r="W66" i="41"/>
  <c r="W67" i="41" s="1"/>
  <c r="AF23" i="41" l="1"/>
  <c r="AE31" i="60"/>
  <c r="AG32" i="60"/>
  <c r="AH24" i="41"/>
  <c r="AG30" i="60"/>
  <c r="AH22" i="41"/>
  <c r="AD41" i="41"/>
  <c r="AD26" i="60"/>
  <c r="AD55" i="41"/>
  <c r="AD31" i="41"/>
  <c r="AF27" i="60"/>
  <c r="AF26" i="41"/>
  <c r="AG19" i="41"/>
  <c r="AC56" i="41"/>
  <c r="AC62" i="41" s="1"/>
  <c r="AJ20" i="41"/>
  <c r="AI28" i="60"/>
  <c r="AE29" i="41"/>
  <c r="AE8" i="57"/>
  <c r="AE5" i="56"/>
  <c r="AE14" i="56" s="1"/>
  <c r="AE26" i="56" s="1"/>
  <c r="AE33" i="60"/>
  <c r="AH21" i="41"/>
  <c r="AG29" i="60"/>
  <c r="AB70" i="41"/>
  <c r="AB61" i="41"/>
  <c r="AB63" i="41" s="1"/>
  <c r="AC60" i="41" s="1"/>
  <c r="X47" i="56"/>
  <c r="W20" i="56"/>
  <c r="Y57" i="41"/>
  <c r="Y58" i="41" s="1"/>
  <c r="V24" i="56"/>
  <c r="V53" i="56"/>
  <c r="V56" i="56" s="1"/>
  <c r="V58" i="56" s="1"/>
  <c r="V65" i="56" s="1"/>
  <c r="X52" i="41"/>
  <c r="X8" i="56"/>
  <c r="X17" i="56" s="1"/>
  <c r="X40" i="56" s="1"/>
  <c r="X74" i="41"/>
  <c r="AA83" i="41"/>
  <c r="AG23" i="41" l="1"/>
  <c r="AG26" i="41" s="1"/>
  <c r="AF31" i="60"/>
  <c r="AI24" i="41"/>
  <c r="AH32" i="60"/>
  <c r="AH29" i="60"/>
  <c r="AI21" i="41"/>
  <c r="AK20" i="41"/>
  <c r="AJ28" i="60"/>
  <c r="AE31" i="41"/>
  <c r="AE55" i="41"/>
  <c r="AE26" i="60"/>
  <c r="AE41" i="41"/>
  <c r="AH19" i="41"/>
  <c r="AG27" i="60"/>
  <c r="AD56" i="41"/>
  <c r="AD62" i="41" s="1"/>
  <c r="AF8" i="57"/>
  <c r="AF5" i="56"/>
  <c r="AF14" i="56" s="1"/>
  <c r="AF26" i="56" s="1"/>
  <c r="AF33" i="60"/>
  <c r="AF29" i="41"/>
  <c r="AI22" i="41"/>
  <c r="AH30" i="60"/>
  <c r="Z54" i="41"/>
  <c r="Y47" i="41"/>
  <c r="Y50" i="41" s="1"/>
  <c r="AC70" i="41"/>
  <c r="AC61" i="41"/>
  <c r="AC63" i="41" s="1"/>
  <c r="AD60" i="41" s="1"/>
  <c r="X4" i="56"/>
  <c r="X13" i="56" s="1"/>
  <c r="X19" i="56" s="1"/>
  <c r="X66" i="41"/>
  <c r="X67" i="41" s="1"/>
  <c r="X87" i="41"/>
  <c r="X89" i="41" s="1"/>
  <c r="X90" i="41" s="1"/>
  <c r="X76" i="41"/>
  <c r="X77" i="41" s="1"/>
  <c r="V10" i="57"/>
  <c r="V12" i="57" s="1"/>
  <c r="V29" i="56"/>
  <c r="W22" i="56"/>
  <c r="W57" i="56"/>
  <c r="AB83" i="41"/>
  <c r="AH23" i="41" l="1"/>
  <c r="AG31" i="60"/>
  <c r="AJ24" i="41"/>
  <c r="AI32" i="60"/>
  <c r="AG33" i="60"/>
  <c r="AG8" i="57"/>
  <c r="AG5" i="56"/>
  <c r="AG14" i="56" s="1"/>
  <c r="AG26" i="56" s="1"/>
  <c r="AG29" i="41"/>
  <c r="AE56" i="41"/>
  <c r="AE62" i="41" s="1"/>
  <c r="AI19" i="41"/>
  <c r="AH27" i="60"/>
  <c r="AH26" i="41"/>
  <c r="AL20" i="41"/>
  <c r="AK28" i="60"/>
  <c r="AI30" i="60"/>
  <c r="AJ22" i="41"/>
  <c r="AJ21" i="41"/>
  <c r="AI29" i="60"/>
  <c r="AF26" i="60"/>
  <c r="AF41" i="41"/>
  <c r="AF31" i="41"/>
  <c r="AF55" i="41"/>
  <c r="AD70" i="41"/>
  <c r="AD61" i="41"/>
  <c r="AD63" i="41" s="1"/>
  <c r="AE60" i="41" s="1"/>
  <c r="V41" i="56"/>
  <c r="V33" i="56"/>
  <c r="V35" i="56" s="1"/>
  <c r="AC83" i="41"/>
  <c r="V24" i="57"/>
  <c r="V25" i="57" s="1"/>
  <c r="V28" i="56" s="1"/>
  <c r="V21" i="57"/>
  <c r="V22" i="57" s="1"/>
  <c r="W19" i="57" s="1"/>
  <c r="Y52" i="41"/>
  <c r="Y8" i="56"/>
  <c r="Y17" i="56" s="1"/>
  <c r="Y40" i="56" s="1"/>
  <c r="Y74" i="41"/>
  <c r="Y47" i="56"/>
  <c r="X20" i="56"/>
  <c r="W24" i="56"/>
  <c r="W53" i="56"/>
  <c r="W56" i="56" s="1"/>
  <c r="W58" i="56" s="1"/>
  <c r="W65" i="56" s="1"/>
  <c r="Z57" i="41"/>
  <c r="Z58" i="41" s="1"/>
  <c r="AH31" i="60" l="1"/>
  <c r="AI23" i="41"/>
  <c r="AK24" i="41"/>
  <c r="AJ32" i="60"/>
  <c r="AL28" i="60"/>
  <c r="AM20" i="41"/>
  <c r="AH8" i="57"/>
  <c r="AH33" i="60"/>
  <c r="AH29" i="41"/>
  <c r="AH5" i="56"/>
  <c r="AH14" i="56" s="1"/>
  <c r="AH26" i="56" s="1"/>
  <c r="AK22" i="41"/>
  <c r="AJ30" i="60"/>
  <c r="AF56" i="41"/>
  <c r="AF62" i="41" s="1"/>
  <c r="AG55" i="41"/>
  <c r="AG56" i="41" s="1"/>
  <c r="AG62" i="41" s="1"/>
  <c r="AG41" i="41"/>
  <c r="AG44" i="41" s="1"/>
  <c r="AG26" i="60"/>
  <c r="AG31" i="41"/>
  <c r="AK21" i="41"/>
  <c r="AJ29" i="60"/>
  <c r="AI27" i="60"/>
  <c r="AJ19" i="41"/>
  <c r="AI26" i="41"/>
  <c r="AE61" i="41"/>
  <c r="AE63" i="41" s="1"/>
  <c r="AF60" i="41" s="1"/>
  <c r="AE70" i="41"/>
  <c r="W16" i="57"/>
  <c r="W20" i="57" s="1"/>
  <c r="W15" i="57"/>
  <c r="V30" i="56"/>
  <c r="Z47" i="41"/>
  <c r="Z50" i="41" s="1"/>
  <c r="AA54" i="41"/>
  <c r="X22" i="56"/>
  <c r="X57" i="56"/>
  <c r="V43" i="56"/>
  <c r="V49" i="56" s="1"/>
  <c r="AD83" i="41"/>
  <c r="W10" i="57"/>
  <c r="W12" i="57" s="1"/>
  <c r="W29" i="56"/>
  <c r="Y87" i="41"/>
  <c r="Y89" i="41" s="1"/>
  <c r="Y90" i="41" s="1"/>
  <c r="Y76" i="41"/>
  <c r="Y77" i="41" s="1"/>
  <c r="Y4" i="56"/>
  <c r="Y13" i="56" s="1"/>
  <c r="Y19" i="56" s="1"/>
  <c r="Y66" i="41"/>
  <c r="Y67" i="41" s="1"/>
  <c r="AJ23" i="41" l="1"/>
  <c r="AI31" i="60"/>
  <c r="AL24" i="41"/>
  <c r="AK32" i="60"/>
  <c r="AG36" i="60"/>
  <c r="AG39" i="41"/>
  <c r="AI33" i="60"/>
  <c r="AI8" i="57"/>
  <c r="AI5" i="56"/>
  <c r="AI14" i="56" s="1"/>
  <c r="AI26" i="56" s="1"/>
  <c r="AI29" i="41"/>
  <c r="AL21" i="41"/>
  <c r="AK29" i="60"/>
  <c r="AH41" i="41"/>
  <c r="AH55" i="41"/>
  <c r="AH56" i="41" s="1"/>
  <c r="AH62" i="41" s="1"/>
  <c r="AH31" i="41"/>
  <c r="AH26" i="60"/>
  <c r="AJ27" i="60"/>
  <c r="AJ26" i="41"/>
  <c r="AK19" i="41"/>
  <c r="AN20" i="41"/>
  <c r="AM28" i="60"/>
  <c r="AK30" i="60"/>
  <c r="AL22" i="41"/>
  <c r="Z52" i="41"/>
  <c r="Z8" i="56"/>
  <c r="Z17" i="56" s="1"/>
  <c r="Z40" i="56" s="1"/>
  <c r="Z74" i="41"/>
  <c r="AF61" i="41"/>
  <c r="AF63" i="41" s="1"/>
  <c r="AG60" i="41" s="1"/>
  <c r="AF70" i="41"/>
  <c r="V38" i="56"/>
  <c r="V32" i="56"/>
  <c r="V34" i="56" s="1"/>
  <c r="V36" i="56" s="1"/>
  <c r="V61" i="56" s="1"/>
  <c r="V52" i="56"/>
  <c r="V54" i="56" s="1"/>
  <c r="V64" i="56" s="1"/>
  <c r="AE83" i="41"/>
  <c r="W41" i="56"/>
  <c r="W33" i="56"/>
  <c r="W35" i="56" s="1"/>
  <c r="X24" i="56"/>
  <c r="X53" i="56"/>
  <c r="X56" i="56" s="1"/>
  <c r="X58" i="56" s="1"/>
  <c r="X65" i="56" s="1"/>
  <c r="Z47" i="56"/>
  <c r="Y20" i="56"/>
  <c r="W21" i="57"/>
  <c r="W22" i="57" s="1"/>
  <c r="X19" i="57" s="1"/>
  <c r="W24" i="57"/>
  <c r="W25" i="57" s="1"/>
  <c r="W28" i="56" s="1"/>
  <c r="AA57" i="41"/>
  <c r="AA58" i="41" s="1"/>
  <c r="AK23" i="41" l="1"/>
  <c r="AJ31" i="60"/>
  <c r="AM24" i="41"/>
  <c r="AL32" i="60"/>
  <c r="AO20" i="41"/>
  <c r="AN28" i="60"/>
  <c r="AL19" i="41"/>
  <c r="AK26" i="41"/>
  <c r="AK27" i="60"/>
  <c r="AL29" i="60"/>
  <c r="AM21" i="41"/>
  <c r="AJ8" i="57"/>
  <c r="AJ5" i="56"/>
  <c r="AJ14" i="56" s="1"/>
  <c r="AJ26" i="56" s="1"/>
  <c r="AJ33" i="60"/>
  <c r="AJ29" i="41"/>
  <c r="AI31" i="41"/>
  <c r="AI26" i="60"/>
  <c r="AI55" i="41"/>
  <c r="AI41" i="41"/>
  <c r="AG35" i="60"/>
  <c r="AM42" i="41"/>
  <c r="AM22" i="41"/>
  <c r="AL30" i="60"/>
  <c r="X16" i="57"/>
  <c r="X20" i="57" s="1"/>
  <c r="X15" i="57"/>
  <c r="AB54" i="41"/>
  <c r="AA47" i="41"/>
  <c r="AA50" i="41" s="1"/>
  <c r="W43" i="56"/>
  <c r="W49" i="56" s="1"/>
  <c r="W30" i="56"/>
  <c r="AF83" i="41"/>
  <c r="Z87" i="41"/>
  <c r="Z89" i="41" s="1"/>
  <c r="Z90" i="41" s="1"/>
  <c r="Z76" i="41"/>
  <c r="Z77" i="41" s="1"/>
  <c r="Y22" i="56"/>
  <c r="Y57" i="56"/>
  <c r="X10" i="57"/>
  <c r="X12" i="57" s="1"/>
  <c r="X29" i="56"/>
  <c r="AG70" i="41"/>
  <c r="AG61" i="41"/>
  <c r="AG63" i="41" s="1"/>
  <c r="AH60" i="41" s="1"/>
  <c r="Z4" i="56"/>
  <c r="Z13" i="56" s="1"/>
  <c r="Z19" i="56" s="1"/>
  <c r="Z66" i="41"/>
  <c r="Z67" i="41" s="1"/>
  <c r="V42" i="56"/>
  <c r="AK31" i="60" l="1"/>
  <c r="AL23" i="41"/>
  <c r="AM32" i="60"/>
  <c r="AN24" i="41"/>
  <c r="AK33" i="60"/>
  <c r="AK8" i="57"/>
  <c r="AK5" i="56"/>
  <c r="AK14" i="56" s="1"/>
  <c r="AK26" i="56" s="1"/>
  <c r="AK29" i="41"/>
  <c r="AJ55" i="41"/>
  <c r="AJ56" i="41" s="1"/>
  <c r="AJ62" i="41" s="1"/>
  <c r="AJ31" i="41"/>
  <c r="AJ26" i="60"/>
  <c r="AJ41" i="41"/>
  <c r="AN21" i="41"/>
  <c r="AM29" i="60"/>
  <c r="AM19" i="41"/>
  <c r="AL27" i="60"/>
  <c r="AL26" i="41"/>
  <c r="AM30" i="60"/>
  <c r="AN22" i="41"/>
  <c r="AI56" i="41"/>
  <c r="AI62" i="41" s="1"/>
  <c r="AP20" i="41"/>
  <c r="AO28" i="60"/>
  <c r="Y24" i="56"/>
  <c r="Y53" i="56"/>
  <c r="Y56" i="56" s="1"/>
  <c r="Y58" i="56" s="1"/>
  <c r="Y65" i="56" s="1"/>
  <c r="X33" i="56"/>
  <c r="X35" i="56" s="1"/>
  <c r="X41" i="56"/>
  <c r="AH70" i="41"/>
  <c r="AH61" i="41"/>
  <c r="AH63" i="41" s="1"/>
  <c r="AI60" i="41" s="1"/>
  <c r="X21" i="57"/>
  <c r="X22" i="57" s="1"/>
  <c r="Y19" i="57" s="1"/>
  <c r="X24" i="57"/>
  <c r="X25" i="57" s="1"/>
  <c r="X28" i="56" s="1"/>
  <c r="W52" i="56"/>
  <c r="W54" i="56" s="1"/>
  <c r="W64" i="56" s="1"/>
  <c r="W38" i="56"/>
  <c r="W32" i="56"/>
  <c r="W34" i="56" s="1"/>
  <c r="W36" i="56" s="1"/>
  <c r="W61" i="56" s="1"/>
  <c r="AA52" i="41"/>
  <c r="AA74" i="41"/>
  <c r="AA8" i="56"/>
  <c r="AA17" i="56" s="1"/>
  <c r="AA40" i="56" s="1"/>
  <c r="V46" i="56"/>
  <c r="V48" i="56" s="1"/>
  <c r="V50" i="56" s="1"/>
  <c r="V63" i="56" s="1"/>
  <c r="V44" i="56"/>
  <c r="V62" i="56" s="1"/>
  <c r="AA47" i="56"/>
  <c r="Z20" i="56"/>
  <c r="AG83" i="41"/>
  <c r="AB57" i="41"/>
  <c r="AB58" i="41" s="1"/>
  <c r="AM23" i="41" l="1"/>
  <c r="AL31" i="60"/>
  <c r="AN32" i="60"/>
  <c r="AO24" i="41"/>
  <c r="AQ20" i="41"/>
  <c r="AP28" i="60"/>
  <c r="AL33" i="60"/>
  <c r="AL5" i="56"/>
  <c r="AL14" i="56" s="1"/>
  <c r="AL26" i="56" s="1"/>
  <c r="AL8" i="57"/>
  <c r="AL29" i="41"/>
  <c r="AO21" i="41"/>
  <c r="AN29" i="60"/>
  <c r="AK31" i="41"/>
  <c r="AK26" i="60"/>
  <c r="AK55" i="41"/>
  <c r="AK41" i="41"/>
  <c r="AO22" i="41"/>
  <c r="AN30" i="60"/>
  <c r="AM27" i="60"/>
  <c r="AN19" i="41"/>
  <c r="AM26" i="41"/>
  <c r="AC54" i="41"/>
  <c r="AB47" i="41"/>
  <c r="AB50" i="41" s="1"/>
  <c r="Y16" i="57"/>
  <c r="Y20" i="57" s="1"/>
  <c r="Y15" i="57"/>
  <c r="AA87" i="41"/>
  <c r="AA89" i="41" s="1"/>
  <c r="AA90" i="41" s="1"/>
  <c r="AA76" i="41"/>
  <c r="AA77" i="41" s="1"/>
  <c r="AA4" i="56"/>
  <c r="AA13" i="56" s="1"/>
  <c r="AA19" i="56" s="1"/>
  <c r="AA66" i="41"/>
  <c r="AA67" i="41" s="1"/>
  <c r="X30" i="56"/>
  <c r="AI70" i="41"/>
  <c r="AI61" i="41"/>
  <c r="AI63" i="41" s="1"/>
  <c r="AJ60" i="41" s="1"/>
  <c r="Z22" i="56"/>
  <c r="Z57" i="56"/>
  <c r="AH83" i="41"/>
  <c r="Y10" i="57"/>
  <c r="Y12" i="57" s="1"/>
  <c r="Y29" i="56"/>
  <c r="W42" i="56"/>
  <c r="X43" i="56"/>
  <c r="X49" i="56" s="1"/>
  <c r="AN23" i="41" l="1"/>
  <c r="AM31" i="60"/>
  <c r="AO32" i="60"/>
  <c r="AP24" i="41"/>
  <c r="AL26" i="60"/>
  <c r="AL55" i="41"/>
  <c r="AL41" i="41"/>
  <c r="AL31" i="41"/>
  <c r="AM33" i="60"/>
  <c r="AM8" i="57"/>
  <c r="AM5" i="56"/>
  <c r="AM14" i="56" s="1"/>
  <c r="AM26" i="56" s="1"/>
  <c r="AM29" i="41"/>
  <c r="AO30" i="60"/>
  <c r="AP22" i="41"/>
  <c r="AR20" i="41"/>
  <c r="AR28" i="60" s="1"/>
  <c r="AQ28" i="60"/>
  <c r="AN27" i="60"/>
  <c r="AN26" i="41"/>
  <c r="AO19" i="41"/>
  <c r="AK56" i="41"/>
  <c r="AK62" i="41" s="1"/>
  <c r="AP21" i="41"/>
  <c r="AO29" i="60"/>
  <c r="Y41" i="56"/>
  <c r="Y33" i="56"/>
  <c r="Y35" i="56" s="1"/>
  <c r="Y21" i="57"/>
  <c r="Y22" i="57" s="1"/>
  <c r="Z19" i="57" s="1"/>
  <c r="Y24" i="57"/>
  <c r="Y25" i="57" s="1"/>
  <c r="Y28" i="56" s="1"/>
  <c r="AJ61" i="41"/>
  <c r="AJ63" i="41" s="1"/>
  <c r="AK60" i="41" s="1"/>
  <c r="AJ70" i="41"/>
  <c r="W44" i="56"/>
  <c r="W62" i="56" s="1"/>
  <c r="W46" i="56"/>
  <c r="W48" i="56" s="1"/>
  <c r="W50" i="56" s="1"/>
  <c r="W63" i="56" s="1"/>
  <c r="Z24" i="56"/>
  <c r="Z53" i="56"/>
  <c r="Z56" i="56" s="1"/>
  <c r="Z58" i="56" s="1"/>
  <c r="Z65" i="56" s="1"/>
  <c r="AI83" i="41"/>
  <c r="AB47" i="56"/>
  <c r="AA20" i="56"/>
  <c r="AB8" i="56"/>
  <c r="AB17" i="56" s="1"/>
  <c r="AB40" i="56" s="1"/>
  <c r="AB74" i="41"/>
  <c r="AB52" i="41"/>
  <c r="AB4" i="56" s="1"/>
  <c r="AB13" i="56" s="1"/>
  <c r="AB19" i="56" s="1"/>
  <c r="X52" i="56"/>
  <c r="X54" i="56" s="1"/>
  <c r="X64" i="56" s="1"/>
  <c r="X32" i="56"/>
  <c r="X34" i="56" s="1"/>
  <c r="X36" i="56" s="1"/>
  <c r="X61" i="56" s="1"/>
  <c r="X38" i="56"/>
  <c r="AC57" i="41"/>
  <c r="AC58" i="41" s="1"/>
  <c r="AN31" i="60" l="1"/>
  <c r="AO23" i="41"/>
  <c r="AQ24" i="41"/>
  <c r="AP32" i="60"/>
  <c r="AM41" i="41"/>
  <c r="AM44" i="41" s="1"/>
  <c r="AM31" i="41"/>
  <c r="AM26" i="60"/>
  <c r="AM55" i="41"/>
  <c r="AP29" i="60"/>
  <c r="AQ21" i="41"/>
  <c r="AO27" i="60"/>
  <c r="AP19" i="41"/>
  <c r="AO26" i="41"/>
  <c r="AN8" i="57"/>
  <c r="AN5" i="56"/>
  <c r="AN14" i="56" s="1"/>
  <c r="AN26" i="56" s="1"/>
  <c r="AN33" i="60"/>
  <c r="AN29" i="41"/>
  <c r="AQ22" i="41"/>
  <c r="AP30" i="60"/>
  <c r="AL56" i="41"/>
  <c r="AL62" i="41" s="1"/>
  <c r="Z16" i="57"/>
  <c r="Z20" i="57" s="1"/>
  <c r="Z15" i="57"/>
  <c r="AD54" i="41"/>
  <c r="AC47" i="41"/>
  <c r="AC50" i="41" s="1"/>
  <c r="AK70" i="41"/>
  <c r="AK61" i="41"/>
  <c r="AK63" i="41" s="1"/>
  <c r="AL60" i="41" s="1"/>
  <c r="AA22" i="56"/>
  <c r="AA57" i="56"/>
  <c r="AJ83" i="41"/>
  <c r="AC47" i="56"/>
  <c r="X42" i="56"/>
  <c r="AB87" i="41"/>
  <c r="AB89" i="41" s="1"/>
  <c r="AB90" i="41" s="1"/>
  <c r="AB76" i="41"/>
  <c r="AB77" i="41" s="1"/>
  <c r="AB20" i="56"/>
  <c r="Y30" i="56"/>
  <c r="Y43" i="56"/>
  <c r="Y49" i="56" s="1"/>
  <c r="Z10" i="57"/>
  <c r="Z12" i="57" s="1"/>
  <c r="Z29" i="56"/>
  <c r="AP23" i="41" l="1"/>
  <c r="AO31" i="60"/>
  <c r="AR24" i="41"/>
  <c r="AR32" i="60" s="1"/>
  <c r="AQ32" i="60"/>
  <c r="AM39" i="41"/>
  <c r="AM36" i="60"/>
  <c r="AN55" i="41"/>
  <c r="AN41" i="41"/>
  <c r="AN31" i="41"/>
  <c r="AN26" i="60"/>
  <c r="AO8" i="57"/>
  <c r="AO33" i="60"/>
  <c r="AO5" i="56"/>
  <c r="AO14" i="56" s="1"/>
  <c r="AO26" i="56" s="1"/>
  <c r="AO29" i="41"/>
  <c r="AQ30" i="60"/>
  <c r="AR22" i="41"/>
  <c r="AR30" i="60" s="1"/>
  <c r="AR21" i="41"/>
  <c r="AR29" i="60" s="1"/>
  <c r="AQ29" i="60"/>
  <c r="AP27" i="60"/>
  <c r="AQ19" i="41"/>
  <c r="AP26" i="41"/>
  <c r="AM56" i="41"/>
  <c r="AM62" i="41" s="1"/>
  <c r="AL70" i="41"/>
  <c r="AL61" i="41"/>
  <c r="AL63" i="41" s="1"/>
  <c r="AM60" i="41" s="1"/>
  <c r="Z21" i="57"/>
  <c r="Z22" i="57" s="1"/>
  <c r="AA19" i="57" s="1"/>
  <c r="Z24" i="57"/>
  <c r="Z25" i="57" s="1"/>
  <c r="Z28" i="56" s="1"/>
  <c r="X46" i="56"/>
  <c r="X48" i="56" s="1"/>
  <c r="X50" i="56" s="1"/>
  <c r="X63" i="56" s="1"/>
  <c r="X44" i="56"/>
  <c r="X62" i="56" s="1"/>
  <c r="AK83" i="41"/>
  <c r="AB22" i="56"/>
  <c r="AB57" i="56"/>
  <c r="AA24" i="56"/>
  <c r="AA53" i="56"/>
  <c r="AA56" i="56" s="1"/>
  <c r="AA58" i="56" s="1"/>
  <c r="AA65" i="56" s="1"/>
  <c r="AC52" i="41"/>
  <c r="AC4" i="56" s="1"/>
  <c r="AC13" i="56" s="1"/>
  <c r="AC19" i="56" s="1"/>
  <c r="AC8" i="56"/>
  <c r="AC17" i="56" s="1"/>
  <c r="AC40" i="56" s="1"/>
  <c r="AC74" i="41"/>
  <c r="Z41" i="56"/>
  <c r="Z33" i="56"/>
  <c r="Z35" i="56" s="1"/>
  <c r="Y38" i="56"/>
  <c r="Y52" i="56"/>
  <c r="Y54" i="56" s="1"/>
  <c r="Y64" i="56" s="1"/>
  <c r="Y32" i="56"/>
  <c r="Y34" i="56" s="1"/>
  <c r="Y36" i="56" s="1"/>
  <c r="Y61" i="56" s="1"/>
  <c r="AD57" i="41"/>
  <c r="AD58" i="41" s="1"/>
  <c r="AQ23" i="41" l="1"/>
  <c r="AP31" i="60"/>
  <c r="AQ27" i="60"/>
  <c r="AR19" i="41"/>
  <c r="AQ26" i="41"/>
  <c r="AN56" i="41"/>
  <c r="AN62" i="41" s="1"/>
  <c r="AO41" i="41"/>
  <c r="AO26" i="60"/>
  <c r="AO31" i="41"/>
  <c r="AO55" i="41"/>
  <c r="AP5" i="56"/>
  <c r="AP14" i="56" s="1"/>
  <c r="AP26" i="56" s="1"/>
  <c r="AP8" i="57"/>
  <c r="AP33" i="60"/>
  <c r="AP29" i="41"/>
  <c r="AR42" i="41"/>
  <c r="AM35" i="60"/>
  <c r="AM61" i="41"/>
  <c r="AM63" i="41" s="1"/>
  <c r="AN60" i="41" s="1"/>
  <c r="AM70" i="41"/>
  <c r="AA16" i="57"/>
  <c r="AA20" i="57" s="1"/>
  <c r="AA15" i="57"/>
  <c r="AE54" i="41"/>
  <c r="AD47" i="41"/>
  <c r="AD50" i="41" s="1"/>
  <c r="AC87" i="41"/>
  <c r="AC89" i="41" s="1"/>
  <c r="AC90" i="41" s="1"/>
  <c r="AC76" i="41"/>
  <c r="AC77" i="41" s="1"/>
  <c r="AA10" i="57"/>
  <c r="AA12" i="57" s="1"/>
  <c r="AA29" i="56"/>
  <c r="Z30" i="56"/>
  <c r="Y42" i="56"/>
  <c r="AD47" i="56"/>
  <c r="AC20" i="56"/>
  <c r="AL83" i="41"/>
  <c r="Z43" i="56"/>
  <c r="Z49" i="56" s="1"/>
  <c r="AB24" i="56"/>
  <c r="AB53" i="56"/>
  <c r="AB56" i="56" s="1"/>
  <c r="AB58" i="56" s="1"/>
  <c r="AB65" i="56" s="1"/>
  <c r="AQ31" i="60" l="1"/>
  <c r="AR23" i="41"/>
  <c r="AR31" i="60" s="1"/>
  <c r="AQ8" i="57"/>
  <c r="AQ33" i="60"/>
  <c r="AQ29" i="41"/>
  <c r="AQ5" i="56"/>
  <c r="AQ14" i="56" s="1"/>
  <c r="AQ26" i="56" s="1"/>
  <c r="AR27" i="60"/>
  <c r="AR26" i="41"/>
  <c r="AP31" i="41"/>
  <c r="AP55" i="41"/>
  <c r="AP56" i="41" s="1"/>
  <c r="AP62" i="41" s="1"/>
  <c r="AP26" i="60"/>
  <c r="AP41" i="41"/>
  <c r="AO56" i="41"/>
  <c r="AO62" i="41" s="1"/>
  <c r="Y44" i="56"/>
  <c r="Y62" i="56" s="1"/>
  <c r="Y46" i="56"/>
  <c r="Y48" i="56" s="1"/>
  <c r="Y50" i="56" s="1"/>
  <c r="Y63" i="56" s="1"/>
  <c r="AC22" i="56"/>
  <c r="AC57" i="56"/>
  <c r="AA41" i="56"/>
  <c r="AA33" i="56"/>
  <c r="AA35" i="56" s="1"/>
  <c r="AD8" i="56"/>
  <c r="AD17" i="56" s="1"/>
  <c r="AD40" i="56" s="1"/>
  <c r="AD52" i="41"/>
  <c r="AD4" i="56" s="1"/>
  <c r="AD13" i="56" s="1"/>
  <c r="AD19" i="56" s="1"/>
  <c r="AD74" i="41"/>
  <c r="AM83" i="41"/>
  <c r="AB10" i="57"/>
  <c r="AB12" i="57" s="1"/>
  <c r="AB29" i="56"/>
  <c r="AN61" i="41"/>
  <c r="AN63" i="41" s="1"/>
  <c r="AO60" i="41" s="1"/>
  <c r="AN70" i="41"/>
  <c r="Z32" i="56"/>
  <c r="Z34" i="56" s="1"/>
  <c r="Z36" i="56" s="1"/>
  <c r="Z61" i="56" s="1"/>
  <c r="Z52" i="56"/>
  <c r="Z54" i="56" s="1"/>
  <c r="Z64" i="56" s="1"/>
  <c r="Z38" i="56"/>
  <c r="AA21" i="57"/>
  <c r="AA22" i="57" s="1"/>
  <c r="AB19" i="57" s="1"/>
  <c r="AA24" i="57"/>
  <c r="AA25" i="57" s="1"/>
  <c r="AA28" i="56" s="1"/>
  <c r="AE57" i="41"/>
  <c r="AE58" i="41" s="1"/>
  <c r="AR8" i="57" l="1"/>
  <c r="AR29" i="41"/>
  <c r="AR33" i="60"/>
  <c r="AR5" i="56"/>
  <c r="AR14" i="56" s="1"/>
  <c r="AR26" i="56" s="1"/>
  <c r="AQ26" i="60"/>
  <c r="AQ41" i="41"/>
  <c r="AQ31" i="41"/>
  <c r="AQ55" i="41"/>
  <c r="AQ56" i="41" s="1"/>
  <c r="AQ62" i="41" s="1"/>
  <c r="AB16" i="57"/>
  <c r="AB20" i="57" s="1"/>
  <c r="AB15" i="57"/>
  <c r="AF54" i="41"/>
  <c r="AE47" i="41"/>
  <c r="AE50" i="41" s="1"/>
  <c r="AO70" i="41"/>
  <c r="AO61" i="41"/>
  <c r="AO63" i="41" s="1"/>
  <c r="AP60" i="41" s="1"/>
  <c r="Z42" i="56"/>
  <c r="AB33" i="56"/>
  <c r="AB35" i="56" s="1"/>
  <c r="AB41" i="56"/>
  <c r="AC24" i="56"/>
  <c r="AC53" i="56"/>
  <c r="AC56" i="56" s="1"/>
  <c r="AC58" i="56" s="1"/>
  <c r="AC65" i="56" s="1"/>
  <c r="AB21" i="57"/>
  <c r="AB24" i="57"/>
  <c r="AB25" i="57" s="1"/>
  <c r="AB28" i="56" s="1"/>
  <c r="AD87" i="41"/>
  <c r="AD89" i="41" s="1"/>
  <c r="AD90" i="41" s="1"/>
  <c r="AD76" i="41"/>
  <c r="AD77" i="41" s="1"/>
  <c r="AA43" i="56"/>
  <c r="AA49" i="56" s="1"/>
  <c r="AA30" i="56"/>
  <c r="AN83" i="41"/>
  <c r="AE47" i="56"/>
  <c r="AD20" i="56"/>
  <c r="AR31" i="41" l="1"/>
  <c r="U31" i="41" s="1"/>
  <c r="U37" i="41" s="1"/>
  <c r="AR41" i="41"/>
  <c r="AR44" i="41" s="1"/>
  <c r="AR55" i="41"/>
  <c r="AR56" i="41" s="1"/>
  <c r="AR62" i="41" s="1"/>
  <c r="AR26" i="60"/>
  <c r="AB22" i="57"/>
  <c r="AC19" i="57" s="1"/>
  <c r="AP61" i="41"/>
  <c r="AP63" i="41" s="1"/>
  <c r="AQ60" i="41" s="1"/>
  <c r="AP70" i="41"/>
  <c r="AA52" i="56"/>
  <c r="AA54" i="56" s="1"/>
  <c r="AA64" i="56" s="1"/>
  <c r="AA38" i="56"/>
  <c r="AA32" i="56"/>
  <c r="AA34" i="56" s="1"/>
  <c r="AA36" i="56" s="1"/>
  <c r="AA61" i="56" s="1"/>
  <c r="Z44" i="56"/>
  <c r="Z62" i="56" s="1"/>
  <c r="Z46" i="56"/>
  <c r="Z48" i="56" s="1"/>
  <c r="Z50" i="56" s="1"/>
  <c r="Z63" i="56" s="1"/>
  <c r="AO83" i="41"/>
  <c r="AD57" i="56"/>
  <c r="AD22" i="56"/>
  <c r="AC10" i="57"/>
  <c r="AC12" i="57" s="1"/>
  <c r="AC29" i="56"/>
  <c r="AC16" i="57"/>
  <c r="AC20" i="57" s="1"/>
  <c r="AC15" i="57"/>
  <c r="AB30" i="56"/>
  <c r="AB43" i="56"/>
  <c r="AB49" i="56" s="1"/>
  <c r="AE52" i="41"/>
  <c r="AE4" i="56" s="1"/>
  <c r="AE13" i="56" s="1"/>
  <c r="AE19" i="56" s="1"/>
  <c r="AE8" i="56"/>
  <c r="AE17" i="56" s="1"/>
  <c r="AE40" i="56" s="1"/>
  <c r="AE74" i="41"/>
  <c r="AF57" i="41"/>
  <c r="AF58" i="41"/>
  <c r="AR36" i="60" l="1"/>
  <c r="AR39" i="41"/>
  <c r="AR35" i="60" s="1"/>
  <c r="AQ61" i="41"/>
  <c r="AQ63" i="41" s="1"/>
  <c r="AR60" i="41" s="1"/>
  <c r="AQ70" i="41"/>
  <c r="AE87" i="41"/>
  <c r="AE89" i="41" s="1"/>
  <c r="AE90" i="41" s="1"/>
  <c r="AE76" i="41"/>
  <c r="AE77" i="41" s="1"/>
  <c r="AC21" i="57"/>
  <c r="AC22" i="57" s="1"/>
  <c r="AD19" i="57" s="1"/>
  <c r="AC24" i="57"/>
  <c r="AC25" i="57" s="1"/>
  <c r="AC28" i="56" s="1"/>
  <c r="AB38" i="56"/>
  <c r="AB32" i="56"/>
  <c r="AB34" i="56" s="1"/>
  <c r="AB36" i="56" s="1"/>
  <c r="AB61" i="56" s="1"/>
  <c r="AB52" i="56"/>
  <c r="AB54" i="56" s="1"/>
  <c r="AB64" i="56" s="1"/>
  <c r="AP83" i="41"/>
  <c r="AG54" i="41"/>
  <c r="AF47" i="41"/>
  <c r="AF50" i="41" s="1"/>
  <c r="AF47" i="56"/>
  <c r="AE20" i="56"/>
  <c r="AD24" i="56"/>
  <c r="AD53" i="56"/>
  <c r="AD56" i="56" s="1"/>
  <c r="AD58" i="56" s="1"/>
  <c r="AD65" i="56" s="1"/>
  <c r="AA42" i="56"/>
  <c r="AC41" i="56"/>
  <c r="AC33" i="56"/>
  <c r="AC35" i="56" s="1"/>
  <c r="AD16" i="57" l="1"/>
  <c r="AD20" i="57"/>
  <c r="AD15" i="57"/>
  <c r="AR70" i="41"/>
  <c r="AR61" i="41"/>
  <c r="AR63" i="41"/>
  <c r="AB42" i="56"/>
  <c r="AC43" i="56"/>
  <c r="AC49" i="56" s="1"/>
  <c r="AD10" i="57"/>
  <c r="AD12" i="57" s="1"/>
  <c r="AD29" i="56"/>
  <c r="AF52" i="41"/>
  <c r="AF4" i="56" s="1"/>
  <c r="AF13" i="56" s="1"/>
  <c r="AF19" i="56" s="1"/>
  <c r="AF74" i="41"/>
  <c r="AF8" i="56"/>
  <c r="AF17" i="56" s="1"/>
  <c r="AF40" i="56" s="1"/>
  <c r="AA46" i="56"/>
  <c r="AA48" i="56" s="1"/>
  <c r="AA50" i="56" s="1"/>
  <c r="AA63" i="56" s="1"/>
  <c r="AA44" i="56"/>
  <c r="AA62" i="56" s="1"/>
  <c r="AE22" i="56"/>
  <c r="AE57" i="56"/>
  <c r="AG57" i="41"/>
  <c r="AG58" i="41" s="1"/>
  <c r="AC30" i="56"/>
  <c r="AQ83" i="41"/>
  <c r="AG47" i="41" l="1"/>
  <c r="AG50" i="41" s="1"/>
  <c r="AH54" i="41"/>
  <c r="AG47" i="56"/>
  <c r="AF20" i="56"/>
  <c r="AD33" i="56"/>
  <c r="AD35" i="56" s="1"/>
  <c r="AD41" i="56"/>
  <c r="AB44" i="56"/>
  <c r="AB62" i="56" s="1"/>
  <c r="AB46" i="56"/>
  <c r="AB48" i="56" s="1"/>
  <c r="AB50" i="56" s="1"/>
  <c r="AB63" i="56" s="1"/>
  <c r="AC38" i="56"/>
  <c r="AC32" i="56"/>
  <c r="AC34" i="56" s="1"/>
  <c r="AC36" i="56" s="1"/>
  <c r="AC61" i="56" s="1"/>
  <c r="AC52" i="56"/>
  <c r="AC54" i="56" s="1"/>
  <c r="AC64" i="56" s="1"/>
  <c r="AD24" i="57"/>
  <c r="AD25" i="57" s="1"/>
  <c r="AD28" i="56" s="1"/>
  <c r="AD21" i="57"/>
  <c r="AD22" i="57" s="1"/>
  <c r="AE19" i="57" s="1"/>
  <c r="AE24" i="56"/>
  <c r="AE53" i="56"/>
  <c r="AE56" i="56" s="1"/>
  <c r="AE58" i="56" s="1"/>
  <c r="AE65" i="56" s="1"/>
  <c r="AF87" i="41"/>
  <c r="AF89" i="41" s="1"/>
  <c r="AF90" i="41" s="1"/>
  <c r="AF76" i="41"/>
  <c r="AF77" i="41" s="1"/>
  <c r="AR83" i="41"/>
  <c r="AE29" i="56" l="1"/>
  <c r="AE10" i="57"/>
  <c r="AE12" i="57" s="1"/>
  <c r="AD43" i="56"/>
  <c r="AD49" i="56" s="1"/>
  <c r="AE16" i="57"/>
  <c r="AE20" i="57" s="1"/>
  <c r="AE15" i="57"/>
  <c r="AC42" i="56"/>
  <c r="AD30" i="56"/>
  <c r="AF22" i="56"/>
  <c r="AF57" i="56"/>
  <c r="AH57" i="41"/>
  <c r="AH58" i="41" s="1"/>
  <c r="AG52" i="41"/>
  <c r="AG4" i="56" s="1"/>
  <c r="AG13" i="56" s="1"/>
  <c r="AG19" i="56" s="1"/>
  <c r="AG8" i="56"/>
  <c r="AG17" i="56" s="1"/>
  <c r="AG40" i="56" s="1"/>
  <c r="AG74" i="41"/>
  <c r="AI54" i="41" l="1"/>
  <c r="AH47" i="41"/>
  <c r="AH50" i="41" s="1"/>
  <c r="AG87" i="41"/>
  <c r="AG89" i="41" s="1"/>
  <c r="AG90" i="41" s="1"/>
  <c r="AG76" i="41"/>
  <c r="AG77" i="41" s="1"/>
  <c r="AC46" i="56"/>
  <c r="AC48" i="56" s="1"/>
  <c r="AC50" i="56" s="1"/>
  <c r="AC63" i="56" s="1"/>
  <c r="AC44" i="56"/>
  <c r="AC62" i="56" s="1"/>
  <c r="AE21" i="57"/>
  <c r="AE22" i="57" s="1"/>
  <c r="AF19" i="57" s="1"/>
  <c r="AE24" i="57"/>
  <c r="AE25" i="57" s="1"/>
  <c r="AE28" i="56" s="1"/>
  <c r="AH47" i="56"/>
  <c r="AG20" i="56"/>
  <c r="AF24" i="56"/>
  <c r="AF53" i="56"/>
  <c r="AF56" i="56" s="1"/>
  <c r="AF58" i="56" s="1"/>
  <c r="AF65" i="56" s="1"/>
  <c r="AE41" i="56"/>
  <c r="AE33" i="56"/>
  <c r="AE35" i="56" s="1"/>
  <c r="AD32" i="56"/>
  <c r="AD34" i="56" s="1"/>
  <c r="AD36" i="56" s="1"/>
  <c r="AD61" i="56" s="1"/>
  <c r="AD38" i="56"/>
  <c r="AD52" i="56"/>
  <c r="AD54" i="56" s="1"/>
  <c r="AD64" i="56" s="1"/>
  <c r="AG57" i="56" l="1"/>
  <c r="AG22" i="56"/>
  <c r="AF15" i="57"/>
  <c r="AF16" i="57"/>
  <c r="AF20" i="57" s="1"/>
  <c r="AD42" i="56"/>
  <c r="AH52" i="41"/>
  <c r="AH4" i="56" s="1"/>
  <c r="AH13" i="56" s="1"/>
  <c r="AH19" i="56" s="1"/>
  <c r="AH8" i="56"/>
  <c r="AH17" i="56" s="1"/>
  <c r="AH40" i="56" s="1"/>
  <c r="AH74" i="41"/>
  <c r="AE43" i="56"/>
  <c r="AE49" i="56" s="1"/>
  <c r="AF29" i="56"/>
  <c r="AF10" i="57"/>
  <c r="AF12" i="57" s="1"/>
  <c r="AE30" i="56"/>
  <c r="AI57" i="41"/>
  <c r="AI58" i="41" s="1"/>
  <c r="AJ54" i="41" l="1"/>
  <c r="AI47" i="41"/>
  <c r="AI50" i="41" s="1"/>
  <c r="AD46" i="56"/>
  <c r="AD48" i="56" s="1"/>
  <c r="AD50" i="56" s="1"/>
  <c r="AD63" i="56" s="1"/>
  <c r="AD44" i="56"/>
  <c r="AD62" i="56" s="1"/>
  <c r="AF21" i="57"/>
  <c r="AF22" i="57" s="1"/>
  <c r="AG19" i="57" s="1"/>
  <c r="AF24" i="57"/>
  <c r="AF25" i="57" s="1"/>
  <c r="AF28" i="56" s="1"/>
  <c r="AH87" i="41"/>
  <c r="AH89" i="41" s="1"/>
  <c r="AH90" i="41" s="1"/>
  <c r="AH76" i="41"/>
  <c r="AH77" i="41" s="1"/>
  <c r="AF41" i="56"/>
  <c r="AF33" i="56"/>
  <c r="AF35" i="56" s="1"/>
  <c r="AG53" i="56"/>
  <c r="AG56" i="56" s="1"/>
  <c r="AG58" i="56" s="1"/>
  <c r="AG65" i="56" s="1"/>
  <c r="AG24" i="56"/>
  <c r="AE32" i="56"/>
  <c r="AE34" i="56" s="1"/>
  <c r="AE36" i="56" s="1"/>
  <c r="AE61" i="56" s="1"/>
  <c r="AE52" i="56"/>
  <c r="AE54" i="56" s="1"/>
  <c r="AE64" i="56" s="1"/>
  <c r="AE38" i="56"/>
  <c r="AI47" i="56"/>
  <c r="AH20" i="56"/>
  <c r="AE42" i="56" l="1"/>
  <c r="AG16" i="57"/>
  <c r="AG20" i="57" s="1"/>
  <c r="AG15" i="57"/>
  <c r="AF30" i="56"/>
  <c r="AF43" i="56"/>
  <c r="AF49" i="56" s="1"/>
  <c r="AI8" i="56"/>
  <c r="AI17" i="56" s="1"/>
  <c r="AI40" i="56" s="1"/>
  <c r="AI52" i="41"/>
  <c r="AI4" i="56" s="1"/>
  <c r="AI13" i="56" s="1"/>
  <c r="AI19" i="56" s="1"/>
  <c r="AI74" i="41"/>
  <c r="AH57" i="56"/>
  <c r="AH22" i="56"/>
  <c r="AG10" i="57"/>
  <c r="AG12" i="57" s="1"/>
  <c r="AG29" i="56"/>
  <c r="AJ57" i="41"/>
  <c r="AJ58" i="41" s="1"/>
  <c r="AK54" i="41" l="1"/>
  <c r="AJ47" i="41"/>
  <c r="AJ50" i="41" s="1"/>
  <c r="AG21" i="57"/>
  <c r="AG22" i="57" s="1"/>
  <c r="AH19" i="57" s="1"/>
  <c r="AG24" i="57"/>
  <c r="AG25" i="57" s="1"/>
  <c r="AG28" i="56" s="1"/>
  <c r="AJ47" i="56"/>
  <c r="AI20" i="56"/>
  <c r="AF32" i="56"/>
  <c r="AF34" i="56" s="1"/>
  <c r="AF36" i="56" s="1"/>
  <c r="AF61" i="56" s="1"/>
  <c r="AF52" i="56"/>
  <c r="AF54" i="56" s="1"/>
  <c r="AF64" i="56" s="1"/>
  <c r="AF38" i="56"/>
  <c r="AH24" i="56"/>
  <c r="AH53" i="56"/>
  <c r="AH56" i="56" s="1"/>
  <c r="AH58" i="56" s="1"/>
  <c r="AH65" i="56" s="1"/>
  <c r="AE44" i="56"/>
  <c r="AE62" i="56" s="1"/>
  <c r="AE46" i="56"/>
  <c r="AE48" i="56" s="1"/>
  <c r="AE50" i="56" s="1"/>
  <c r="AE63" i="56" s="1"/>
  <c r="AG41" i="56"/>
  <c r="AG33" i="56"/>
  <c r="AG35" i="56" s="1"/>
  <c r="AI87" i="41"/>
  <c r="AI89" i="41" s="1"/>
  <c r="AI90" i="41" s="1"/>
  <c r="AI76" i="41"/>
  <c r="AI77" i="41" s="1"/>
  <c r="AH16" i="57" l="1"/>
  <c r="AH15" i="57"/>
  <c r="AH20" i="57"/>
  <c r="AG43" i="56"/>
  <c r="AG49" i="56" s="1"/>
  <c r="AH10" i="57"/>
  <c r="AH12" i="57" s="1"/>
  <c r="AH29" i="56"/>
  <c r="AI57" i="56"/>
  <c r="AI22" i="56"/>
  <c r="AF42" i="56"/>
  <c r="AJ52" i="41"/>
  <c r="AJ4" i="56" s="1"/>
  <c r="AJ13" i="56" s="1"/>
  <c r="AJ19" i="56" s="1"/>
  <c r="AJ8" i="56"/>
  <c r="AJ17" i="56" s="1"/>
  <c r="AJ40" i="56" s="1"/>
  <c r="AJ74" i="41"/>
  <c r="AK57" i="41"/>
  <c r="AK58" i="41" s="1"/>
  <c r="AG30" i="56"/>
  <c r="AK47" i="41" l="1"/>
  <c r="AK50" i="41" s="1"/>
  <c r="AL54" i="41"/>
  <c r="AF46" i="56"/>
  <c r="AF48" i="56" s="1"/>
  <c r="AF50" i="56" s="1"/>
  <c r="AF63" i="56" s="1"/>
  <c r="AF44" i="56"/>
  <c r="AF62" i="56" s="1"/>
  <c r="AH41" i="56"/>
  <c r="AH33" i="56"/>
  <c r="AH35" i="56" s="1"/>
  <c r="AG38" i="56"/>
  <c r="AG32" i="56"/>
  <c r="AG34" i="56" s="1"/>
  <c r="AG36" i="56" s="1"/>
  <c r="AG61" i="56" s="1"/>
  <c r="AG52" i="56"/>
  <c r="AG54" i="56" s="1"/>
  <c r="AG64" i="56" s="1"/>
  <c r="AJ87" i="41"/>
  <c r="AJ89" i="41" s="1"/>
  <c r="AJ90" i="41" s="1"/>
  <c r="AJ76" i="41"/>
  <c r="AJ77" i="41" s="1"/>
  <c r="AH24" i="57"/>
  <c r="AH25" i="57" s="1"/>
  <c r="AH28" i="56" s="1"/>
  <c r="AH21" i="57"/>
  <c r="AH22" i="57" s="1"/>
  <c r="AI19" i="57" s="1"/>
  <c r="AI24" i="56"/>
  <c r="AI53" i="56"/>
  <c r="AI56" i="56" s="1"/>
  <c r="AI58" i="56" s="1"/>
  <c r="AI65" i="56" s="1"/>
  <c r="AK47" i="56"/>
  <c r="AJ20" i="56"/>
  <c r="AI15" i="57" l="1"/>
  <c r="AI16" i="57"/>
  <c r="AI20" i="57" s="1"/>
  <c r="AG42" i="56"/>
  <c r="AJ22" i="56"/>
  <c r="AJ57" i="56"/>
  <c r="AI10" i="57"/>
  <c r="AI12" i="57" s="1"/>
  <c r="AI29" i="56"/>
  <c r="AH43" i="56"/>
  <c r="AH49" i="56" s="1"/>
  <c r="AL57" i="41"/>
  <c r="AL58" i="41"/>
  <c r="AH30" i="56"/>
  <c r="AK52" i="41"/>
  <c r="AK4" i="56" s="1"/>
  <c r="AK13" i="56" s="1"/>
  <c r="AK19" i="56" s="1"/>
  <c r="AK74" i="41"/>
  <c r="AK8" i="56"/>
  <c r="AK17" i="56" s="1"/>
  <c r="AK40" i="56" s="1"/>
  <c r="AH52" i="56" l="1"/>
  <c r="AH54" i="56" s="1"/>
  <c r="AH64" i="56" s="1"/>
  <c r="AH32" i="56"/>
  <c r="AH34" i="56" s="1"/>
  <c r="AH36" i="56" s="1"/>
  <c r="AH61" i="56" s="1"/>
  <c r="AH38" i="56"/>
  <c r="AJ24" i="56"/>
  <c r="AJ53" i="56"/>
  <c r="AJ56" i="56" s="1"/>
  <c r="AJ58" i="56" s="1"/>
  <c r="AJ65" i="56" s="1"/>
  <c r="AK87" i="41"/>
  <c r="AK89" i="41" s="1"/>
  <c r="AK90" i="41" s="1"/>
  <c r="AK76" i="41"/>
  <c r="AK77" i="41" s="1"/>
  <c r="AM54" i="41"/>
  <c r="AL47" i="41"/>
  <c r="AL50" i="41" s="1"/>
  <c r="AI41" i="56"/>
  <c r="AI33" i="56"/>
  <c r="AI35" i="56" s="1"/>
  <c r="AG44" i="56"/>
  <c r="AG62" i="56" s="1"/>
  <c r="AG46" i="56"/>
  <c r="AG48" i="56" s="1"/>
  <c r="AG50" i="56" s="1"/>
  <c r="AG63" i="56" s="1"/>
  <c r="AL47" i="56"/>
  <c r="AK20" i="56"/>
  <c r="AI21" i="57"/>
  <c r="AI22" i="57" s="1"/>
  <c r="AJ19" i="57" s="1"/>
  <c r="AI24" i="57"/>
  <c r="AI25" i="57" s="1"/>
  <c r="AI28" i="56" s="1"/>
  <c r="AJ16" i="57" l="1"/>
  <c r="AJ15" i="57"/>
  <c r="AJ20" i="57"/>
  <c r="AH42" i="56"/>
  <c r="AI30" i="56"/>
  <c r="AI43" i="56"/>
  <c r="AI49" i="56" s="1"/>
  <c r="AL74" i="41"/>
  <c r="AL52" i="41"/>
  <c r="AL4" i="56" s="1"/>
  <c r="AL13" i="56" s="1"/>
  <c r="AL19" i="56" s="1"/>
  <c r="AL8" i="56"/>
  <c r="AL17" i="56" s="1"/>
  <c r="AL40" i="56" s="1"/>
  <c r="AK22" i="56"/>
  <c r="AK57" i="56"/>
  <c r="AM57" i="41"/>
  <c r="AM58" i="41" s="1"/>
  <c r="AJ10" i="57"/>
  <c r="AJ12" i="57" s="1"/>
  <c r="AJ29" i="56"/>
  <c r="AN54" i="41" l="1"/>
  <c r="AM47" i="41"/>
  <c r="AM50" i="41" s="1"/>
  <c r="AM47" i="56"/>
  <c r="AL20" i="56"/>
  <c r="AI32" i="56"/>
  <c r="AI34" i="56" s="1"/>
  <c r="AI36" i="56" s="1"/>
  <c r="AI61" i="56" s="1"/>
  <c r="AI38" i="56"/>
  <c r="AI52" i="56"/>
  <c r="AI54" i="56" s="1"/>
  <c r="AI64" i="56" s="1"/>
  <c r="AJ41" i="56"/>
  <c r="AJ33" i="56"/>
  <c r="AJ35" i="56" s="1"/>
  <c r="AL87" i="41"/>
  <c r="AL89" i="41" s="1"/>
  <c r="AL90" i="41" s="1"/>
  <c r="AL76" i="41"/>
  <c r="AL77" i="41" s="1"/>
  <c r="AJ21" i="57"/>
  <c r="AJ22" i="57" s="1"/>
  <c r="AK19" i="57" s="1"/>
  <c r="AJ24" i="57"/>
  <c r="AJ25" i="57" s="1"/>
  <c r="AJ28" i="56" s="1"/>
  <c r="AK24" i="56"/>
  <c r="AK53" i="56"/>
  <c r="AK56" i="56" s="1"/>
  <c r="AK58" i="56" s="1"/>
  <c r="AK65" i="56" s="1"/>
  <c r="AH46" i="56"/>
  <c r="AH48" i="56" s="1"/>
  <c r="AH50" i="56" s="1"/>
  <c r="AH63" i="56" s="1"/>
  <c r="AH44" i="56"/>
  <c r="AH62" i="56" s="1"/>
  <c r="AK29" i="56" l="1"/>
  <c r="AK10" i="57"/>
  <c r="AK12" i="57" s="1"/>
  <c r="AI42" i="56"/>
  <c r="AJ30" i="56"/>
  <c r="AM52" i="41"/>
  <c r="AM4" i="56" s="1"/>
  <c r="AM13" i="56" s="1"/>
  <c r="AM19" i="56" s="1"/>
  <c r="AM74" i="41"/>
  <c r="AM8" i="56"/>
  <c r="AM17" i="56" s="1"/>
  <c r="AM40" i="56" s="1"/>
  <c r="AK15" i="57"/>
  <c r="AK16" i="57"/>
  <c r="AK20" i="57" s="1"/>
  <c r="AJ43" i="56"/>
  <c r="AJ49" i="56" s="1"/>
  <c r="AL22" i="56"/>
  <c r="AL57" i="56"/>
  <c r="AN57" i="41"/>
  <c r="AN58" i="41" s="1"/>
  <c r="AO54" i="41" l="1"/>
  <c r="AN47" i="41"/>
  <c r="AN50" i="41" s="1"/>
  <c r="AL53" i="56"/>
  <c r="AL56" i="56" s="1"/>
  <c r="AL58" i="56" s="1"/>
  <c r="AL65" i="56" s="1"/>
  <c r="AL24" i="56"/>
  <c r="AM87" i="41"/>
  <c r="AM89" i="41" s="1"/>
  <c r="AM90" i="41" s="1"/>
  <c r="AM76" i="41"/>
  <c r="AM77" i="41" s="1"/>
  <c r="AI46" i="56"/>
  <c r="AI48" i="56" s="1"/>
  <c r="AI50" i="56" s="1"/>
  <c r="AI63" i="56" s="1"/>
  <c r="AI44" i="56"/>
  <c r="AI62" i="56" s="1"/>
  <c r="AN47" i="56"/>
  <c r="AM20" i="56"/>
  <c r="AJ38" i="56"/>
  <c r="AJ52" i="56"/>
  <c r="AJ54" i="56" s="1"/>
  <c r="AJ64" i="56" s="1"/>
  <c r="AJ32" i="56"/>
  <c r="AJ34" i="56" s="1"/>
  <c r="AJ36" i="56" s="1"/>
  <c r="AJ61" i="56" s="1"/>
  <c r="AK24" i="57"/>
  <c r="AK25" i="57" s="1"/>
  <c r="AK28" i="56" s="1"/>
  <c r="AK21" i="57"/>
  <c r="AK22" i="57" s="1"/>
  <c r="AL19" i="57" s="1"/>
  <c r="AK41" i="56"/>
  <c r="AK33" i="56"/>
  <c r="AK35" i="56" s="1"/>
  <c r="AL16" i="57" l="1"/>
  <c r="AL15" i="57"/>
  <c r="AL20" i="57"/>
  <c r="AK30" i="56"/>
  <c r="AM22" i="56"/>
  <c r="AM57" i="56"/>
  <c r="AK43" i="56"/>
  <c r="AK49" i="56" s="1"/>
  <c r="AN52" i="41"/>
  <c r="AN4" i="56" s="1"/>
  <c r="AN13" i="56" s="1"/>
  <c r="AN19" i="56" s="1"/>
  <c r="AN8" i="56"/>
  <c r="AN17" i="56" s="1"/>
  <c r="AN40" i="56" s="1"/>
  <c r="AN74" i="41"/>
  <c r="AJ42" i="56"/>
  <c r="AL10" i="57"/>
  <c r="AL12" i="57" s="1"/>
  <c r="AL29" i="56"/>
  <c r="AO57" i="41"/>
  <c r="AO58" i="41"/>
  <c r="AL21" i="57" l="1"/>
  <c r="AL22" i="57" s="1"/>
  <c r="AM19" i="57" s="1"/>
  <c r="AL24" i="57"/>
  <c r="AL25" i="57" s="1"/>
  <c r="AL28" i="56" s="1"/>
  <c r="AJ46" i="56"/>
  <c r="AJ48" i="56" s="1"/>
  <c r="AJ50" i="56" s="1"/>
  <c r="AJ63" i="56" s="1"/>
  <c r="AJ44" i="56"/>
  <c r="AJ62" i="56" s="1"/>
  <c r="AO47" i="56"/>
  <c r="AN20" i="56"/>
  <c r="AM24" i="56"/>
  <c r="AM53" i="56"/>
  <c r="AM56" i="56" s="1"/>
  <c r="AM58" i="56" s="1"/>
  <c r="AM65" i="56" s="1"/>
  <c r="AK52" i="56"/>
  <c r="AK54" i="56" s="1"/>
  <c r="AK64" i="56" s="1"/>
  <c r="AK32" i="56"/>
  <c r="AK34" i="56" s="1"/>
  <c r="AK36" i="56" s="1"/>
  <c r="AK61" i="56" s="1"/>
  <c r="AK38" i="56"/>
  <c r="AP54" i="41"/>
  <c r="AO47" i="41"/>
  <c r="AO50" i="41" s="1"/>
  <c r="AL33" i="56"/>
  <c r="AL35" i="56" s="1"/>
  <c r="AL41" i="56"/>
  <c r="AN87" i="41"/>
  <c r="AN89" i="41" s="1"/>
  <c r="AN90" i="41" s="1"/>
  <c r="AN76" i="41"/>
  <c r="AN77" i="41" s="1"/>
  <c r="AL43" i="56" l="1"/>
  <c r="AL49" i="56" s="1"/>
  <c r="AK42" i="56"/>
  <c r="AM29" i="56"/>
  <c r="AM10" i="57"/>
  <c r="AM12" i="57" s="1"/>
  <c r="AN22" i="56"/>
  <c r="AN57" i="56"/>
  <c r="AO52" i="41"/>
  <c r="AO4" i="56" s="1"/>
  <c r="AO13" i="56" s="1"/>
  <c r="AO19" i="56" s="1"/>
  <c r="AO8" i="56"/>
  <c r="AO17" i="56" s="1"/>
  <c r="AO40" i="56" s="1"/>
  <c r="AO74" i="41"/>
  <c r="AL30" i="56"/>
  <c r="AP57" i="41"/>
  <c r="AP58" i="41" s="1"/>
  <c r="AM16" i="57"/>
  <c r="AM20" i="57" s="1"/>
  <c r="AM15" i="57"/>
  <c r="AQ54" i="41" l="1"/>
  <c r="AP47" i="41"/>
  <c r="AP50" i="41" s="1"/>
  <c r="AK46" i="56"/>
  <c r="AK48" i="56" s="1"/>
  <c r="AK50" i="56" s="1"/>
  <c r="AK63" i="56" s="1"/>
  <c r="AK44" i="56"/>
  <c r="AK62" i="56" s="1"/>
  <c r="AO87" i="41"/>
  <c r="AO89" i="41" s="1"/>
  <c r="AO90" i="41" s="1"/>
  <c r="AO76" i="41"/>
  <c r="AO77" i="41" s="1"/>
  <c r="AN24" i="56"/>
  <c r="AN53" i="56"/>
  <c r="AN56" i="56" s="1"/>
  <c r="AN58" i="56" s="1"/>
  <c r="AN65" i="56" s="1"/>
  <c r="AM24" i="57"/>
  <c r="AM25" i="57" s="1"/>
  <c r="AM28" i="56" s="1"/>
  <c r="AM21" i="57"/>
  <c r="AM22" i="57" s="1"/>
  <c r="AN19" i="57" s="1"/>
  <c r="AL38" i="56"/>
  <c r="AL52" i="56"/>
  <c r="AL54" i="56" s="1"/>
  <c r="AL64" i="56" s="1"/>
  <c r="AL32" i="56"/>
  <c r="AL34" i="56" s="1"/>
  <c r="AL36" i="56" s="1"/>
  <c r="AL61" i="56" s="1"/>
  <c r="AP47" i="56"/>
  <c r="AO20" i="56"/>
  <c r="AM33" i="56"/>
  <c r="AM35" i="56" s="1"/>
  <c r="AM41" i="56"/>
  <c r="AN15" i="57" l="1"/>
  <c r="AN16" i="57"/>
  <c r="AN20" i="57" s="1"/>
  <c r="AL42" i="56"/>
  <c r="AN10" i="57"/>
  <c r="AN12" i="57" s="1"/>
  <c r="AN29" i="56"/>
  <c r="AM43" i="56"/>
  <c r="AM49" i="56" s="1"/>
  <c r="AP8" i="56"/>
  <c r="AP17" i="56" s="1"/>
  <c r="AP40" i="56" s="1"/>
  <c r="AP52" i="41"/>
  <c r="AP4" i="56" s="1"/>
  <c r="AP13" i="56" s="1"/>
  <c r="AP19" i="56" s="1"/>
  <c r="AP74" i="41"/>
  <c r="AM30" i="56"/>
  <c r="AQ57" i="41"/>
  <c r="AQ58" i="41" s="1"/>
  <c r="AO22" i="56"/>
  <c r="AO57" i="56"/>
  <c r="AQ47" i="56" l="1"/>
  <c r="AP20" i="56"/>
  <c r="AN41" i="56"/>
  <c r="AN33" i="56"/>
  <c r="AN35" i="56" s="1"/>
  <c r="AN21" i="57"/>
  <c r="AN22" i="57" s="1"/>
  <c r="AO19" i="57" s="1"/>
  <c r="AN24" i="57"/>
  <c r="AN25" i="57" s="1"/>
  <c r="AN28" i="56" s="1"/>
  <c r="AQ47" i="41"/>
  <c r="AQ50" i="41" s="1"/>
  <c r="AR54" i="41"/>
  <c r="AL46" i="56"/>
  <c r="AL48" i="56" s="1"/>
  <c r="AL50" i="56" s="1"/>
  <c r="AL63" i="56" s="1"/>
  <c r="AL44" i="56"/>
  <c r="AL62" i="56" s="1"/>
  <c r="AM52" i="56"/>
  <c r="AM54" i="56" s="1"/>
  <c r="AM64" i="56" s="1"/>
  <c r="AM38" i="56"/>
  <c r="AM32" i="56"/>
  <c r="AM34" i="56" s="1"/>
  <c r="AM36" i="56" s="1"/>
  <c r="AM61" i="56" s="1"/>
  <c r="AO53" i="56"/>
  <c r="AO56" i="56" s="1"/>
  <c r="AO58" i="56" s="1"/>
  <c r="AO65" i="56" s="1"/>
  <c r="AO24" i="56"/>
  <c r="AP87" i="41"/>
  <c r="AP89" i="41" s="1"/>
  <c r="AP90" i="41" s="1"/>
  <c r="AP76" i="41"/>
  <c r="AP77" i="41" s="1"/>
  <c r="AO15" i="57" l="1"/>
  <c r="AO16" i="57"/>
  <c r="AO20" i="57" s="1"/>
  <c r="AN30" i="56"/>
  <c r="AP22" i="56"/>
  <c r="AP57" i="56"/>
  <c r="AM42" i="56"/>
  <c r="AR57" i="41"/>
  <c r="AR58" i="41" s="1"/>
  <c r="AR47" i="41" s="1"/>
  <c r="AR50" i="41" s="1"/>
  <c r="AO29" i="56"/>
  <c r="AO10" i="57"/>
  <c r="AO12" i="57" s="1"/>
  <c r="AQ52" i="41"/>
  <c r="AQ4" i="56" s="1"/>
  <c r="AQ13" i="56" s="1"/>
  <c r="AQ19" i="56" s="1"/>
  <c r="AQ8" i="56"/>
  <c r="AQ17" i="56" s="1"/>
  <c r="AQ40" i="56" s="1"/>
  <c r="AQ74" i="41"/>
  <c r="AN43" i="56"/>
  <c r="AN49" i="56" s="1"/>
  <c r="AR8" i="56" l="1"/>
  <c r="AR17" i="56" s="1"/>
  <c r="AR40" i="56" s="1"/>
  <c r="AR52" i="41"/>
  <c r="AR4" i="56" s="1"/>
  <c r="AR13" i="56" s="1"/>
  <c r="AR19" i="56" s="1"/>
  <c r="AR20" i="56" s="1"/>
  <c r="AR74" i="41"/>
  <c r="AR47" i="56"/>
  <c r="AQ20" i="56"/>
  <c r="AP53" i="56"/>
  <c r="AP56" i="56" s="1"/>
  <c r="AP58" i="56" s="1"/>
  <c r="AP65" i="56" s="1"/>
  <c r="AP24" i="56"/>
  <c r="AO21" i="57"/>
  <c r="AO22" i="57" s="1"/>
  <c r="AP19" i="57" s="1"/>
  <c r="AO24" i="57"/>
  <c r="AO25" i="57" s="1"/>
  <c r="AO28" i="56" s="1"/>
  <c r="AM46" i="56"/>
  <c r="AM48" i="56" s="1"/>
  <c r="AM50" i="56" s="1"/>
  <c r="AM63" i="56" s="1"/>
  <c r="AM44" i="56"/>
  <c r="AM62" i="56" s="1"/>
  <c r="AN38" i="56"/>
  <c r="AN52" i="56"/>
  <c r="AN54" i="56" s="1"/>
  <c r="AN64" i="56" s="1"/>
  <c r="AN32" i="56"/>
  <c r="AN34" i="56" s="1"/>
  <c r="AN36" i="56" s="1"/>
  <c r="AN61" i="56" s="1"/>
  <c r="AQ87" i="41"/>
  <c r="AQ89" i="41" s="1"/>
  <c r="AQ90" i="41" s="1"/>
  <c r="AQ76" i="41"/>
  <c r="AQ77" i="41" s="1"/>
  <c r="AO41" i="56"/>
  <c r="AO33" i="56"/>
  <c r="AO35" i="56" s="1"/>
  <c r="AP16" i="57" l="1"/>
  <c r="AP20" i="57"/>
  <c r="AP15" i="57"/>
  <c r="AR87" i="41"/>
  <c r="AR89" i="41" s="1"/>
  <c r="AR90" i="41" s="1"/>
  <c r="AR76" i="41"/>
  <c r="AR77" i="41" s="1"/>
  <c r="AO30" i="56"/>
  <c r="AQ57" i="56"/>
  <c r="AQ22" i="56"/>
  <c r="AR22" i="56"/>
  <c r="AR57" i="56"/>
  <c r="AO43" i="56"/>
  <c r="AO49" i="56" s="1"/>
  <c r="AN42" i="56"/>
  <c r="AP10" i="57"/>
  <c r="AP12" i="57" s="1"/>
  <c r="AP29" i="56"/>
  <c r="AR24" i="56" l="1"/>
  <c r="AR53" i="56"/>
  <c r="AR56" i="56" s="1"/>
  <c r="AR58" i="56" s="1"/>
  <c r="AR65" i="56" s="1"/>
  <c r="AO52" i="56"/>
  <c r="AO54" i="56" s="1"/>
  <c r="AO64" i="56" s="1"/>
  <c r="AO38" i="56"/>
  <c r="AO32" i="56"/>
  <c r="AO34" i="56" s="1"/>
  <c r="AO36" i="56" s="1"/>
  <c r="AO61" i="56" s="1"/>
  <c r="AN44" i="56"/>
  <c r="AN62" i="56" s="1"/>
  <c r="AN46" i="56"/>
  <c r="AN48" i="56" s="1"/>
  <c r="AN50" i="56" s="1"/>
  <c r="AN63" i="56" s="1"/>
  <c r="AQ53" i="56"/>
  <c r="AQ56" i="56" s="1"/>
  <c r="AQ58" i="56" s="1"/>
  <c r="AQ65" i="56" s="1"/>
  <c r="AQ24" i="56"/>
  <c r="AP41" i="56"/>
  <c r="AP33" i="56"/>
  <c r="AP35" i="56" s="1"/>
  <c r="AP21" i="57"/>
  <c r="AP22" i="57" s="1"/>
  <c r="AQ19" i="57" s="1"/>
  <c r="AP24" i="57"/>
  <c r="AP25" i="57" s="1"/>
  <c r="AP28" i="56" s="1"/>
  <c r="AQ15" i="57" l="1"/>
  <c r="AQ16" i="57"/>
  <c r="AQ20" i="57"/>
  <c r="AP30" i="56"/>
  <c r="AR29" i="56"/>
  <c r="AR10" i="57"/>
  <c r="AR12" i="57" s="1"/>
  <c r="AP43" i="56"/>
  <c r="AP49" i="56" s="1"/>
  <c r="AQ10" i="57"/>
  <c r="AQ12" i="57" s="1"/>
  <c r="AQ29" i="56"/>
  <c r="AO42" i="56"/>
  <c r="AQ21" i="57" l="1"/>
  <c r="AQ22" i="57" s="1"/>
  <c r="AR19" i="57" s="1"/>
  <c r="AQ24" i="57"/>
  <c r="AQ25" i="57" s="1"/>
  <c r="AQ28" i="56" s="1"/>
  <c r="AR41" i="56"/>
  <c r="AR33" i="56"/>
  <c r="AR35" i="56" s="1"/>
  <c r="AQ41" i="56"/>
  <c r="AQ33" i="56"/>
  <c r="AQ35" i="56" s="1"/>
  <c r="AO46" i="56"/>
  <c r="AO48" i="56" s="1"/>
  <c r="AO50" i="56" s="1"/>
  <c r="AO63" i="56" s="1"/>
  <c r="AO44" i="56"/>
  <c r="AO62" i="56" s="1"/>
  <c r="AP38" i="56"/>
  <c r="AP32" i="56"/>
  <c r="AP34" i="56" s="1"/>
  <c r="AP36" i="56" s="1"/>
  <c r="AP61" i="56" s="1"/>
  <c r="AP52" i="56"/>
  <c r="AP54" i="56" s="1"/>
  <c r="AP64" i="56" s="1"/>
  <c r="AR24" i="57"/>
  <c r="AR25" i="57" s="1"/>
  <c r="AR28" i="56" s="1"/>
  <c r="AR21" i="57"/>
  <c r="AR16" i="57" l="1"/>
  <c r="AR15" i="57"/>
  <c r="AR20" i="57"/>
  <c r="AR22" i="57" s="1"/>
  <c r="AR43" i="56"/>
  <c r="AR49" i="56" s="1"/>
  <c r="AQ30" i="56"/>
  <c r="AP42" i="56"/>
  <c r="AQ43" i="56"/>
  <c r="AQ49" i="56" s="1"/>
  <c r="AR30" i="56"/>
  <c r="AQ38" i="56" l="1"/>
  <c r="AQ52" i="56"/>
  <c r="AQ54" i="56" s="1"/>
  <c r="AQ64" i="56" s="1"/>
  <c r="AQ32" i="56"/>
  <c r="AQ34" i="56" s="1"/>
  <c r="AQ36" i="56" s="1"/>
  <c r="AQ61" i="56" s="1"/>
  <c r="AR38" i="56"/>
  <c r="AR52" i="56"/>
  <c r="AR54" i="56" s="1"/>
  <c r="AR64" i="56" s="1"/>
  <c r="AR32" i="56"/>
  <c r="AR34" i="56" s="1"/>
  <c r="AR36" i="56" s="1"/>
  <c r="AR61" i="56" s="1"/>
  <c r="AP44" i="56"/>
  <c r="AP62" i="56" s="1"/>
  <c r="AP46" i="56"/>
  <c r="AP48" i="56" s="1"/>
  <c r="AP50" i="56" s="1"/>
  <c r="AP63" i="56" s="1"/>
  <c r="AR42" i="56" l="1"/>
  <c r="AQ42" i="56"/>
  <c r="AQ44" i="56" l="1"/>
  <c r="AQ62" i="56" s="1"/>
  <c r="AQ46" i="56"/>
  <c r="AQ48" i="56" s="1"/>
  <c r="AQ50" i="56" s="1"/>
  <c r="AQ63" i="56" s="1"/>
  <c r="AR46" i="56"/>
  <c r="AR48" i="56" s="1"/>
  <c r="AR50" i="56" s="1"/>
  <c r="AR63" i="56" s="1"/>
  <c r="AR44" i="56"/>
  <c r="AR62" i="56" s="1"/>
</calcChain>
</file>

<file path=xl/sharedStrings.xml><?xml version="1.0" encoding="utf-8"?>
<sst xmlns="http://schemas.openxmlformats.org/spreadsheetml/2006/main" count="649" uniqueCount="356">
  <si>
    <t>TRV</t>
  </si>
  <si>
    <t>DAV</t>
  </si>
  <si>
    <t>PA</t>
  </si>
  <si>
    <t>Capex</t>
  </si>
  <si>
    <t>Cashflows</t>
  </si>
  <si>
    <t>Closing DAV</t>
  </si>
  <si>
    <t>Real Return pa</t>
  </si>
  <si>
    <t>Discount Factor (Yr End)</t>
  </si>
  <si>
    <t>Opex</t>
  </si>
  <si>
    <t>Allowed Revenue</t>
  </si>
  <si>
    <t>Discounted Cashflow</t>
  </si>
  <si>
    <t>Total Regulatory Value (TRV)</t>
  </si>
  <si>
    <t>Adjusted Cashflows</t>
  </si>
  <si>
    <t>Closing TRV (Incl Return)</t>
  </si>
  <si>
    <t>Calculated PA</t>
  </si>
  <si>
    <t>Volumes (therms '000)</t>
  </si>
  <si>
    <t>£/therm</t>
  </si>
  <si>
    <t>Opening DAV (Incl Rolling Capex Incentive)</t>
  </si>
  <si>
    <t>Volumes (Therms)</t>
  </si>
  <si>
    <t>P1</t>
  </si>
  <si>
    <t>P2</t>
  </si>
  <si>
    <t>Contract</t>
  </si>
  <si>
    <t>Core asset depreciation</t>
  </si>
  <si>
    <t>PMICR</t>
  </si>
  <si>
    <t>Tax</t>
  </si>
  <si>
    <t>Interest</t>
  </si>
  <si>
    <t>Losses</t>
  </si>
  <si>
    <t>Debt</t>
  </si>
  <si>
    <t>Average debt</t>
  </si>
  <si>
    <t>Average TRV</t>
  </si>
  <si>
    <t>Opening:</t>
  </si>
  <si>
    <t>Cshflow:</t>
  </si>
  <si>
    <t>Return on in year cashflow:</t>
  </si>
  <si>
    <t>Return on in year opening:</t>
  </si>
  <si>
    <t>Closing:</t>
  </si>
  <si>
    <t>Cashflow</t>
  </si>
  <si>
    <t>Opening TRV incl. return</t>
  </si>
  <si>
    <t xml:space="preserve">DAV </t>
  </si>
  <si>
    <t xml:space="preserve">PA </t>
  </si>
  <si>
    <t>Domestic/Very Small IC</t>
  </si>
  <si>
    <t>V Dom/Very Small IC Tariff (&lt;2,500 tpa) (P1)</t>
  </si>
  <si>
    <t>V Small/Med Tariff IC (2,500 - 25k tpa) (P2)</t>
  </si>
  <si>
    <t>Small/Medium IC</t>
  </si>
  <si>
    <t>V Large Tariff (25k tpa - 75k tpa) (P3)</t>
  </si>
  <si>
    <t>V Contract IC (&gt;75k tpa) (P4)</t>
  </si>
  <si>
    <t>P Dom/Very Small IC Tariff (&lt;2,500 tpa) (P1)</t>
  </si>
  <si>
    <t>P Small/Med Tariff IC (2,500 - 25k tpa) (P2)</t>
  </si>
  <si>
    <t>P Large Tariff (25k tpa - 75k tpa) (P3)</t>
  </si>
  <si>
    <t>P Contract IC (&gt;75k tpa) (P4)</t>
  </si>
  <si>
    <t xml:space="preserve">Large IC </t>
  </si>
  <si>
    <t>P3</t>
  </si>
  <si>
    <t>P4</t>
  </si>
  <si>
    <t>Real Return</t>
  </si>
  <si>
    <t>Year</t>
  </si>
  <si>
    <t>Opening DAV/TRV (2023)</t>
  </si>
  <si>
    <t>TRV GD17 debt adjusted WACC adjustment</t>
  </si>
  <si>
    <t xml:space="preserve">Rolling </t>
  </si>
  <si>
    <t>Opening DAV (excl Rolling Capex Incentive)</t>
  </si>
  <si>
    <t>Total Volume</t>
  </si>
  <si>
    <t>Profile adjustment movement</t>
  </si>
  <si>
    <t>Financial Year Corporation Tax Rate:</t>
  </si>
  <si>
    <t>Calendar Year Corporation Tax Rate:</t>
  </si>
  <si>
    <t>Revenue:</t>
  </si>
  <si>
    <t>Less opex:</t>
  </si>
  <si>
    <t>Less interest:</t>
  </si>
  <si>
    <t>Less capital allowances:</t>
  </si>
  <si>
    <t>Profits attributable to corporation tax:</t>
  </si>
  <si>
    <t>Capital Allowances</t>
  </si>
  <si>
    <t>Total For Capital Allowances</t>
  </si>
  <si>
    <t>Capital Allowances Pro-Rata Percentages</t>
  </si>
  <si>
    <t>Plant &amp; Machinery (inc ECA) 18%</t>
  </si>
  <si>
    <t>Long Life Assets - Plant &amp; Machinery 6%</t>
  </si>
  <si>
    <t>Assets not qualifying for capital allowances or revenue deductions</t>
  </si>
  <si>
    <t>GENERAL POOL</t>
  </si>
  <si>
    <t>General Pool Brought Forward</t>
  </si>
  <si>
    <t>Total</t>
  </si>
  <si>
    <t>Capital Allowances at 18%</t>
  </si>
  <si>
    <t>General Pool Closing Balance</t>
  </si>
  <si>
    <t>SUPER DEDUCTION POOL</t>
  </si>
  <si>
    <t>Additions</t>
  </si>
  <si>
    <t>Capital Allowances at 130%</t>
  </si>
  <si>
    <t>LONG LIFE ASSET POOL</t>
  </si>
  <si>
    <t>Long Life Pool Brought Forward</t>
  </si>
  <si>
    <t>Capital Allowances at 6%</t>
  </si>
  <si>
    <t>LLA Closing Balance</t>
  </si>
  <si>
    <t>Total Allowances</t>
  </si>
  <si>
    <t>Losses brought forward</t>
  </si>
  <si>
    <t>Losses used in the period</t>
  </si>
  <si>
    <t>Losses carried forward</t>
  </si>
  <si>
    <t>Adjusted profit</t>
  </si>
  <si>
    <t>Revenue</t>
  </si>
  <si>
    <t>Funds from operations (FFO)</t>
  </si>
  <si>
    <t>FFO</t>
  </si>
  <si>
    <t>FFO Excluding Interest</t>
  </si>
  <si>
    <t>FFO Interest Cover</t>
  </si>
  <si>
    <t>Post Maintenance FFO</t>
  </si>
  <si>
    <t>Net Debt</t>
  </si>
  <si>
    <t>FFO / Net Debt</t>
  </si>
  <si>
    <t>RCV</t>
  </si>
  <si>
    <t>Gearing</t>
  </si>
  <si>
    <t>Financeability Summary</t>
  </si>
  <si>
    <t>Operating  costs</t>
  </si>
  <si>
    <t>General</t>
  </si>
  <si>
    <t>Long life</t>
  </si>
  <si>
    <t>Tax Assumptions</t>
  </si>
  <si>
    <t>General Pool Opening Balance</t>
  </si>
  <si>
    <t>General Pool %</t>
  </si>
  <si>
    <t>Super Deduction Pool %</t>
  </si>
  <si>
    <t>Long Life Pool Opening Balance</t>
  </si>
  <si>
    <t xml:space="preserve">Assets Qualifying for 100% FYA </t>
  </si>
  <si>
    <t>Long Life Pool %</t>
  </si>
  <si>
    <t>SR Pool %</t>
  </si>
  <si>
    <t>SBA Pool Opening Balance</t>
  </si>
  <si>
    <t>Structures &amp; Buildings %</t>
  </si>
  <si>
    <t>Discounted DAV2046</t>
  </si>
  <si>
    <t>Additions in the year</t>
  </si>
  <si>
    <t>General Pool 2021 for Super deduction</t>
  </si>
  <si>
    <t>Assets Qualifying for 100% AIA</t>
  </si>
  <si>
    <t>Annual Investment Allowance</t>
  </si>
  <si>
    <t>Special Rate Pool</t>
  </si>
  <si>
    <t>Contributions</t>
  </si>
  <si>
    <t>Remaining balance for pools</t>
  </si>
  <si>
    <t>Capital Allowances at 50%</t>
  </si>
  <si>
    <t>Addback remaining balance from SR Pool</t>
  </si>
  <si>
    <t>Super Deduction Pool</t>
  </si>
  <si>
    <t>SR Pool</t>
  </si>
  <si>
    <t>TOTAL ALLOWANCES</t>
  </si>
  <si>
    <t>Tax Losses B/F</t>
  </si>
  <si>
    <t>Total Capex</t>
  </si>
  <si>
    <t>Capex 40 Year</t>
  </si>
  <si>
    <t>Capex 15 Year</t>
  </si>
  <si>
    <t>Capex 5 Year</t>
  </si>
  <si>
    <t>Annual Depreciation Capex 40 Year</t>
  </si>
  <si>
    <t>Annual Depreciation Capex 15 Year</t>
  </si>
  <si>
    <t>Annual Depreciation Capex 5 Year</t>
  </si>
  <si>
    <t>Depreciation Capex 40 Year</t>
  </si>
  <si>
    <t>Depreciation Capex 15 Year</t>
  </si>
  <si>
    <t>Depreciation Capex 5 Year</t>
  </si>
  <si>
    <t>Depreciation Opening DAV</t>
  </si>
  <si>
    <t>Opening DAV</t>
  </si>
  <si>
    <t>Actual Capex - 2020 Prices</t>
  </si>
  <si>
    <t>Underspend /  Overspend</t>
  </si>
  <si>
    <t>m</t>
  </si>
  <si>
    <t>n</t>
  </si>
  <si>
    <t>q</t>
  </si>
  <si>
    <t>RPI</t>
  </si>
  <si>
    <t>Designated Parameters</t>
  </si>
  <si>
    <t>Determined Values</t>
  </si>
  <si>
    <t>i = 1</t>
  </si>
  <si>
    <t>i = 2</t>
  </si>
  <si>
    <t>i = 3</t>
  </si>
  <si>
    <t>i = 4</t>
  </si>
  <si>
    <t>Assumed Geaing</t>
  </si>
  <si>
    <t>Nominal Cost of Debt</t>
  </si>
  <si>
    <t>Contributions (Capital) (Based on total Figure)</t>
  </si>
  <si>
    <r>
      <t>Additions (Based on Net Figure</t>
    </r>
    <r>
      <rPr>
        <sz val="10"/>
        <rFont val="Arial Narrow"/>
        <family val="2"/>
      </rPr>
      <t>)</t>
    </r>
  </si>
  <si>
    <t>Additional TRV and PA calculations on an annual basis</t>
  </si>
  <si>
    <t>GD23</t>
  </si>
  <si>
    <t>GDN</t>
  </si>
  <si>
    <t>Price Control</t>
  </si>
  <si>
    <t>Determination</t>
  </si>
  <si>
    <t xml:space="preserve">Gearing </t>
  </si>
  <si>
    <t>Nominal interest rate</t>
  </si>
  <si>
    <t xml:space="preserve">Firmus </t>
  </si>
  <si>
    <t>Firm Contract</t>
  </si>
  <si>
    <t>Interruptible Contract</t>
  </si>
  <si>
    <t>P5</t>
  </si>
  <si>
    <t>P6</t>
  </si>
  <si>
    <t>10% Additions Qualifying</t>
  </si>
  <si>
    <t>Super Deduction Pool Allocation %</t>
  </si>
  <si>
    <t>General Pool Allocation %</t>
  </si>
  <si>
    <t>Special Rate Pool Allocation %</t>
  </si>
  <si>
    <t>Non Qualifying CA Allocation</t>
  </si>
  <si>
    <t>GENERAL POOL ALLOCATIONS FOR SPECIALS</t>
  </si>
  <si>
    <t>Allocate to super deduction pool</t>
  </si>
  <si>
    <t>Allocate remaninder to general pool</t>
  </si>
  <si>
    <t>Special Rate Pool FYA % Allocation</t>
  </si>
  <si>
    <t>SPECIAL RATE POOL ALLOCATIONS FOR SPECIALS</t>
  </si>
  <si>
    <t>Allocate to additional 50% SR pool</t>
  </si>
  <si>
    <t>Allocate remaninder direct to special rate pool</t>
  </si>
  <si>
    <t>Capital Rolling Incentive</t>
  </si>
  <si>
    <t>Discount Factor (Mid Year)</t>
  </si>
  <si>
    <t>V Firm Contract (&gt;75k tpa) (P5)</t>
  </si>
  <si>
    <t>V Int Contract (&gt;75k tpa) (P6)</t>
  </si>
  <si>
    <t>Additions Total</t>
  </si>
  <si>
    <t>First 5m allowable loss</t>
  </si>
  <si>
    <t>50% Profits exceeding 5m available for loss</t>
  </si>
  <si>
    <t>Total Profits available for loss relief</t>
  </si>
  <si>
    <t>Losses unused in the period</t>
  </si>
  <si>
    <t xml:space="preserve"> </t>
  </si>
  <si>
    <t>GD17 UM Adjustments - 2014 Prices</t>
  </si>
  <si>
    <t>GD17 Determined - 2014 Prices</t>
  </si>
  <si>
    <t>GD17 Adjusted - 2014 Prices</t>
  </si>
  <si>
    <t>Actual Capex - 2014 Prices</t>
  </si>
  <si>
    <t>The last year of the current control period, before the new control period starts</t>
  </si>
  <si>
    <t>w</t>
  </si>
  <si>
    <t>The incentive period - number of formula years of benefit</t>
  </si>
  <si>
    <t>l</t>
  </si>
  <si>
    <t>The notional asset life for incentive depreciation</t>
  </si>
  <si>
    <t>r(B)</t>
  </si>
  <si>
    <t>The assessed cost of capital - Best available info at this review</t>
  </si>
  <si>
    <t>r(E)</t>
  </si>
  <si>
    <t>The assessed cost of capital - Established value, determined at the last review</t>
  </si>
  <si>
    <t>f(B,t)</t>
  </si>
  <si>
    <t>The averaging factor applied to the rate of return - Best available</t>
  </si>
  <si>
    <t>f(E,t)</t>
  </si>
  <si>
    <t>The averaging factor applied to the rate of return - Established value</t>
  </si>
  <si>
    <t>h</t>
  </si>
  <si>
    <t>Designated parameter established at the preceding review (CRI On/Off)</t>
  </si>
  <si>
    <t>d</t>
  </si>
  <si>
    <t>Designated parameter established at the preceding review (Depn Adj On/Off)</t>
  </si>
  <si>
    <t>Capex Saving</t>
  </si>
  <si>
    <t>t</t>
  </si>
  <si>
    <t>Allowed Capex - C(E,t)</t>
  </si>
  <si>
    <t>Average 2014</t>
  </si>
  <si>
    <t>Inflation adjustment - RPI(B)/RPI( E)</t>
  </si>
  <si>
    <t>Allowed Capex</t>
  </si>
  <si>
    <t>Actual Capex - C(B,t)</t>
  </si>
  <si>
    <t>Capex Saving C(S,t)</t>
  </si>
  <si>
    <t>CRI Summary</t>
  </si>
  <si>
    <t>Term 1</t>
  </si>
  <si>
    <t>Term 2</t>
  </si>
  <si>
    <t>Term 3</t>
  </si>
  <si>
    <t>Term 4</t>
  </si>
  <si>
    <t>Term 5a</t>
  </si>
  <si>
    <t>Term 5b</t>
  </si>
  <si>
    <t>CRI</t>
  </si>
  <si>
    <t>Main equation terms</t>
  </si>
  <si>
    <t>Summation</t>
  </si>
  <si>
    <t>y=n+1</t>
  </si>
  <si>
    <t>to</t>
  </si>
  <si>
    <t>y=t+w-1</t>
  </si>
  <si>
    <t>Number of periods under consideration in discounting</t>
  </si>
  <si>
    <t>y-n</t>
  </si>
  <si>
    <t>Finance benefit and discount factor</t>
  </si>
  <si>
    <t>y=t+w+1</t>
  </si>
  <si>
    <t>y=n</t>
  </si>
  <si>
    <t>n-y</t>
  </si>
  <si>
    <t>Adjustment for in-year discounting (rather than end-of-year)</t>
  </si>
  <si>
    <t>t=n-w+1</t>
  </si>
  <si>
    <t>t=n</t>
  </si>
  <si>
    <t>t+w-n</t>
  </si>
  <si>
    <t>Adjustment to finance benefit and discount factor</t>
  </si>
  <si>
    <t>Individual components in the summation</t>
  </si>
  <si>
    <t>t=0</t>
  </si>
  <si>
    <t>t=n-w</t>
  </si>
  <si>
    <t>n-(t+w)</t>
  </si>
  <si>
    <t>Depreciation component</t>
  </si>
  <si>
    <t>w/l</t>
  </si>
  <si>
    <t>Depreciation adjustment and discount factor</t>
  </si>
  <si>
    <t>Capex Rolling Incentive</t>
  </si>
  <si>
    <t>Totex</t>
  </si>
  <si>
    <t>Totex to TRV</t>
  </si>
  <si>
    <t>Tariff allocation relative to P1</t>
  </si>
  <si>
    <t>Solved</t>
  </si>
  <si>
    <t>GD17 FD</t>
  </si>
  <si>
    <t>Separate Excel</t>
  </si>
  <si>
    <t>Actual Depreciation</t>
  </si>
  <si>
    <t>Determined Depreciation</t>
  </si>
  <si>
    <t>Dav Pi</t>
  </si>
  <si>
    <t>GD14 Final</t>
  </si>
  <si>
    <t>GD17 UM</t>
  </si>
  <si>
    <t>Opex incl RoR</t>
  </si>
  <si>
    <t>Inflation factor</t>
  </si>
  <si>
    <t>TRV indexation</t>
  </si>
  <si>
    <t>Nominal Post Maintenance FFO</t>
  </si>
  <si>
    <t>Nominal PMICR</t>
  </si>
  <si>
    <t>Capex RoR only</t>
  </si>
  <si>
    <t>GD14 Determined - 2012 Prices</t>
  </si>
  <si>
    <t>CRI working example</t>
  </si>
  <si>
    <t>Average 2012</t>
  </si>
  <si>
    <t>2012 to 2014</t>
  </si>
  <si>
    <t>Adjusted  - 2020 Prices</t>
  </si>
  <si>
    <t>GD14 UM Final</t>
  </si>
  <si>
    <t>GD14 UM Adjustments - 2012 Prices</t>
  </si>
  <si>
    <t>GD14 Adjusted - 2012 Prices</t>
  </si>
  <si>
    <t>GD14 Adjusted - 2014 Prices</t>
  </si>
  <si>
    <t xml:space="preserve">Opening DAV and TRV </t>
  </si>
  <si>
    <t>GD23 Inputs</t>
  </si>
  <si>
    <t>Inflation Assumptions</t>
  </si>
  <si>
    <t>Historical Index</t>
  </si>
  <si>
    <t>RPI (Year Average)</t>
  </si>
  <si>
    <t>RPI (Year End)</t>
  </si>
  <si>
    <t>2020 RPI</t>
  </si>
  <si>
    <t>GD14 FD</t>
  </si>
  <si>
    <t>GD14 UM</t>
  </si>
  <si>
    <t>Actual Capex - Nominal Prices</t>
  </si>
  <si>
    <t>Actual Capex - 2012 Prices</t>
  </si>
  <si>
    <t>2020 Prices</t>
  </si>
  <si>
    <t>Operating costs</t>
  </si>
  <si>
    <t>Core Asset depreciation</t>
  </si>
  <si>
    <t>Profile Adjustment</t>
  </si>
  <si>
    <t>Nominal Prices</t>
  </si>
  <si>
    <t>Act</t>
  </si>
  <si>
    <t>Forecast</t>
  </si>
  <si>
    <t>Annual Inflation</t>
  </si>
  <si>
    <t>g</t>
  </si>
  <si>
    <t>Value</t>
  </si>
  <si>
    <t>CPIH (Year Average)</t>
  </si>
  <si>
    <t>CPIH (Year End)</t>
  </si>
  <si>
    <t>RPI  to CPIH Switch</t>
  </si>
  <si>
    <t>Opex roller switch</t>
  </si>
  <si>
    <t>Capex roller switch</t>
  </si>
  <si>
    <t>Depreciation switch</t>
  </si>
  <si>
    <t>Deemed asset life</t>
  </si>
  <si>
    <t>Rate of return</t>
  </si>
  <si>
    <t>Trigger for review</t>
  </si>
  <si>
    <t>Trigger for previous review</t>
  </si>
  <si>
    <t>Forecasting horizon</t>
  </si>
  <si>
    <t>Indexation base</t>
  </si>
  <si>
    <t>Averaging factor</t>
  </si>
  <si>
    <t>Incentive period</t>
  </si>
  <si>
    <t>Description</t>
  </si>
  <si>
    <t>CPIH</t>
  </si>
  <si>
    <t>Volume (therms)</t>
  </si>
  <si>
    <t>Capital Expenditure</t>
  </si>
  <si>
    <t>Operarting Expenditure</t>
  </si>
  <si>
    <t>Depreciation</t>
  </si>
  <si>
    <t>Revenue per unit</t>
  </si>
  <si>
    <t>Total Revenue</t>
  </si>
  <si>
    <t>Depreciated Asset Value</t>
  </si>
  <si>
    <t>Total Regulated Value</t>
  </si>
  <si>
    <r>
      <t>V</t>
    </r>
    <r>
      <rPr>
        <i/>
        <vertAlign val="subscript"/>
        <sz val="10"/>
        <rFont val="Arial Narrow"/>
        <family val="2"/>
      </rPr>
      <t>E,I,t</t>
    </r>
  </si>
  <si>
    <r>
      <t>C</t>
    </r>
    <r>
      <rPr>
        <i/>
        <vertAlign val="subscript"/>
        <sz val="10"/>
        <rFont val="Arial Narrow"/>
        <family val="2"/>
      </rPr>
      <t>E,t</t>
    </r>
  </si>
  <si>
    <r>
      <t>O</t>
    </r>
    <r>
      <rPr>
        <i/>
        <vertAlign val="subscript"/>
        <sz val="10"/>
        <rFont val="Arial Narrow"/>
        <family val="2"/>
      </rPr>
      <t>E,t</t>
    </r>
  </si>
  <si>
    <r>
      <t>D</t>
    </r>
    <r>
      <rPr>
        <i/>
        <vertAlign val="subscript"/>
        <sz val="10"/>
        <rFont val="Arial Narrow"/>
        <family val="2"/>
      </rPr>
      <t>E,t</t>
    </r>
  </si>
  <si>
    <r>
      <t>F</t>
    </r>
    <r>
      <rPr>
        <i/>
        <vertAlign val="subscript"/>
        <sz val="10"/>
        <rFont val="Arial Narrow"/>
        <family val="2"/>
      </rPr>
      <t>E,t</t>
    </r>
  </si>
  <si>
    <t>t=</t>
  </si>
  <si>
    <r>
      <t>P</t>
    </r>
    <r>
      <rPr>
        <i/>
        <vertAlign val="subscript"/>
        <sz val="10"/>
        <rFont val="Arial Narrow"/>
        <family val="2"/>
      </rPr>
      <t>E,I,t</t>
    </r>
  </si>
  <si>
    <r>
      <t>R</t>
    </r>
    <r>
      <rPr>
        <i/>
        <vertAlign val="subscript"/>
        <sz val="10"/>
        <rFont val="Arial Narrow"/>
        <family val="2"/>
      </rPr>
      <t>E,t</t>
    </r>
  </si>
  <si>
    <r>
      <t>DAV</t>
    </r>
    <r>
      <rPr>
        <i/>
        <vertAlign val="subscript"/>
        <sz val="10"/>
        <rFont val="Arial Narrow"/>
        <family val="2"/>
      </rPr>
      <t>E,t</t>
    </r>
  </si>
  <si>
    <r>
      <t>TRV</t>
    </r>
    <r>
      <rPr>
        <i/>
        <vertAlign val="subscript"/>
        <sz val="10"/>
        <rFont val="Arial Narrow"/>
        <family val="2"/>
      </rPr>
      <t>E,m</t>
    </r>
  </si>
  <si>
    <r>
      <t>PA</t>
    </r>
    <r>
      <rPr>
        <i/>
        <vertAlign val="subscript"/>
        <sz val="10"/>
        <rFont val="Arial Narrow"/>
        <family val="2"/>
      </rPr>
      <t>E,m</t>
    </r>
  </si>
  <si>
    <r>
      <t>r</t>
    </r>
    <r>
      <rPr>
        <i/>
        <vertAlign val="subscript"/>
        <sz val="10"/>
        <rFont val="Arial Narrow"/>
        <family val="2"/>
      </rPr>
      <t>t</t>
    </r>
  </si>
  <si>
    <r>
      <t>f</t>
    </r>
    <r>
      <rPr>
        <i/>
        <vertAlign val="subscript"/>
        <sz val="10"/>
        <rFont val="Arial Narrow"/>
        <family val="2"/>
      </rPr>
      <t>t</t>
    </r>
  </si>
  <si>
    <r>
      <t xml:space="preserve">Goal Seek to 0 by running Macro -  </t>
    </r>
    <r>
      <rPr>
        <b/>
        <sz val="10"/>
        <color rgb="FF0066FF"/>
        <rFont val="Arial Narrow"/>
        <family val="2"/>
      </rPr>
      <t>Ctrl + f</t>
    </r>
  </si>
  <si>
    <t>i = 5</t>
  </si>
  <si>
    <t>i = 6</t>
  </si>
  <si>
    <t>2020 CPIH</t>
  </si>
  <si>
    <t xml:space="preserve">Pre-tax, Real (CPIH) </t>
  </si>
  <si>
    <t>Profile Adjustment Movement</t>
  </si>
  <si>
    <t>Return on</t>
  </si>
  <si>
    <t>Return of</t>
  </si>
  <si>
    <t xml:space="preserve">Opex </t>
  </si>
  <si>
    <t>tax</t>
  </si>
  <si>
    <t>Capex Roller Adjustments to DAV</t>
  </si>
  <si>
    <t>REVENUE</t>
  </si>
  <si>
    <t>TRV x WACC</t>
  </si>
  <si>
    <t>DAV depreciation</t>
  </si>
  <si>
    <t>included in WACC i.e. Return on</t>
  </si>
  <si>
    <t>check</t>
  </si>
  <si>
    <t>Final</t>
  </si>
  <si>
    <t>`</t>
  </si>
  <si>
    <t>Opening TRV</t>
  </si>
  <si>
    <t>Return on TRV</t>
  </si>
  <si>
    <t>Closing TRV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</si>
</sst>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2]* #,##0.00_-;\-[$€-2]* #,##0.00_-;_-[$€-2]* &quot;-&quot;??_-"/>
    <numFmt numFmtId="170" formatCode="0.0000"/>
    <numFmt numFmtId="171" formatCode="#,##0;\(#,##0\)"/>
    <numFmt numFmtId="172" formatCode="[$$-409]#,##0.00"/>
    <numFmt numFmtId="173" formatCode="#,##0.0\ ;\(#,##0.0\)"/>
    <numFmt numFmtId="174" formatCode="&quot;$&quot;#,##0.00_);[Red]\(&quot;$&quot;#,##0.00\)"/>
    <numFmt numFmtId="175" formatCode="#,##0_);[Red]\(#,##0\);&quot;-&quot;"/>
    <numFmt numFmtId="176" formatCode="mmmm\ d\,\ yyyy"/>
    <numFmt numFmtId="177" formatCode="_(&quot;$&quot;#,##0_)&quot;millions&quot;;\(&quot;$&quot;#,##0\)&quot; millions&quot;"/>
    <numFmt numFmtId="178" formatCode="&quot;$&quot;#,##0.00_)\ \ \ ;\(&quot;$&quot;#,##0.00\)\ \ \ "/>
    <numFmt numFmtId="179" formatCode="&quot;$&quot;#,##0.00&quot;*&quot;\ \ ;\(&quot;$&quot;#,##0.00\)&quot;*&quot;\ \ "/>
    <numFmt numFmtId="180" formatCode="&quot;$&quot;#,##0.00\A_)\ ;\(&quot;$&quot;#,##0.00\A\)\ \ "/>
    <numFmt numFmtId="181" formatCode="&quot;$&quot;@\ "/>
    <numFmt numFmtId="182" formatCode="[$-809]d\ mmmm\ yyyy;@"/>
    <numFmt numFmtId="183" formatCode="000\-00\-0000\ "/>
    <numFmt numFmtId="184" formatCode="0.0%"/>
    <numFmt numFmtId="185" formatCode="_(* #,##0_);_(* \(#,##0\);_(* &quot;-&quot;_);_(@_)"/>
    <numFmt numFmtId="186" formatCode="_(* #,##0_);_(* \(#,##0\);_(* &quot;0&quot;_);_(@_)"/>
    <numFmt numFmtId="187" formatCode="#,##0.0_);\(#,##0.0\)"/>
    <numFmt numFmtId="188" formatCode="&quot;$&quot;_(#,##0.00_);&quot;$&quot;\(#,##0.00\)"/>
    <numFmt numFmtId="189" formatCode="_-&quot;$&quot;* #,##0.0_-;\-&quot;$&quot;* #,##0.0_-;_-&quot;$&quot;* &quot;-&quot;??_-;_-@_-"/>
    <numFmt numFmtId="190" formatCode="#,##0_);\(#,##0\);&quot;-  &quot;;&quot; &quot;@&quot; &quot;"/>
    <numFmt numFmtId="191" formatCode="#,##0.0_)\x;\(#,##0.0\)\x"/>
    <numFmt numFmtId="192" formatCode="&quot;$&quot;#,##0"/>
    <numFmt numFmtId="193" formatCode="#,##0.0_)_x;\(#,##0.0\)_x"/>
    <numFmt numFmtId="194" formatCode="_(&quot;$&quot;* #,##0_);_(&quot;$&quot;* \(#,##0\);_(&quot;$&quot;* &quot;-&quot;??_);_(@_)"/>
    <numFmt numFmtId="195" formatCode="0.0_)\%;\(0.0\)\%"/>
    <numFmt numFmtId="196" formatCode="_-* #,##0.000_-;\-* #,##0.000_-;_-* &quot;-&quot;??_-;_-@_-"/>
    <numFmt numFmtId="197" formatCode="#,##0.0_)_%;\(#,##0.0\)_%"/>
    <numFmt numFmtId="198" formatCode="_(&quot;$&quot;* #,##0.0_);_(&quot;$&quot;* \(#,##0.0\);_(&quot;$&quot;* &quot;-&quot;?_);_(@_)"/>
    <numFmt numFmtId="199" formatCode="#,##0.0_);[Red]\(#,##0.0\)"/>
    <numFmt numFmtId="200" formatCode="_-&quot;£&quot;* #,##0.0_-;_-&quot;£&quot;* \(#,##0.0\)"/>
    <numFmt numFmtId="201" formatCode="\£\ #,##0_);[Red]\(\£\ #,##0\)"/>
    <numFmt numFmtId="202" formatCode="#,##0.00;[Red]\(#,##0.00\);\-"/>
    <numFmt numFmtId="203" formatCode="\¥\ #,##0_);[Red]\(\¥\ #,##0\)"/>
    <numFmt numFmtId="204" formatCode="_-\€* #,##0.0_-;_-\€* \(#,##0.0\)"/>
    <numFmt numFmtId="205" formatCode="0;[Red]\(0\);\-"/>
    <numFmt numFmtId="206" formatCode="#,##0;[Red]\(#,##0\);\-"/>
    <numFmt numFmtId="207" formatCode="#,##0,_);[Red]\(#,##0,\)"/>
    <numFmt numFmtId="208" formatCode="0.0;\(0.0\);\-"/>
    <numFmt numFmtId="209" formatCode="0.00;\(0.00\);\-"/>
    <numFmt numFmtId="210" formatCode="0.00;[Red]\(0.00\);\-"/>
    <numFmt numFmtId="211" formatCode="0.000;\(0.000\);\-"/>
    <numFmt numFmtId="212" formatCode="_-&quot;£&quot;* #,##0.000_-;\-&quot;£&quot;* #,##0.000_-;_-&quot;£&quot;* &quot;-&quot;??_-;_-@_-"/>
    <numFmt numFmtId="213" formatCode="0\A"/>
    <numFmt numFmtId="214" formatCode="m\-d\-yy"/>
    <numFmt numFmtId="215" formatCode="0.0_)"/>
    <numFmt numFmtId="216" formatCode="#,##0;[Red]\-#,##0;\-"/>
    <numFmt numFmtId="217" formatCode="_ &quot;R&quot;\ * #,##0_ ;_ &quot;R&quot;\ * \-#,##0_ ;_ &quot;R&quot;\ * &quot;-&quot;_ ;_ @_ "/>
    <numFmt numFmtId="218" formatCode="0.00\ "/>
    <numFmt numFmtId="219" formatCode="#,##0.0,,,&quot;bn&quot;"/>
    <numFmt numFmtId="220" formatCode="0.0%_);[Red]\(0.0%\)"/>
    <numFmt numFmtId="221" formatCode="0.0%;\(0.0\)%"/>
    <numFmt numFmtId="222" formatCode="0&quot; bp&quot;"/>
    <numFmt numFmtId="223" formatCode="#,##0;&quot;(&quot;#,##0&quot;)&quot;;&quot;-&quot;"/>
    <numFmt numFmtId="224" formatCode="_(* #,##0.0_);_(* \(#,##0.0\);_(* &quot;-&quot;?_);@_)"/>
    <numFmt numFmtId="225" formatCode="\•\ \ @"/>
    <numFmt numFmtId="226" formatCode="#,##0_);[Red]\(#,##0\);&quot;-&quot;_);[Blue]&quot;Error-&quot;@"/>
    <numFmt numFmtId="227" formatCode="#,##0.0_);[Red]\(#,##0.0\);&quot;-&quot;_);[Blue]&quot;Error-&quot;@"/>
    <numFmt numFmtId="228" formatCode="#,##0.00_);[Red]\(#,##0.00\);&quot;-&quot;_);[Blue]&quot;Error-&quot;@"/>
    <numFmt numFmtId="229" formatCode="&quot;£&quot;* #,##0_);[Red]&quot;£&quot;* \(#,##0\);&quot;£&quot;* &quot;-&quot;_);[Blue]&quot;Error-&quot;@"/>
    <numFmt numFmtId="230" formatCode="&quot;£&quot;* #,##0.0_);[Red]&quot;£&quot;* \(#,##0.0\);&quot;£&quot;* &quot;-&quot;_);[Blue]&quot;Error-&quot;@"/>
    <numFmt numFmtId="231" formatCode="&quot;£&quot;* #,##0.00_);[Red]&quot;£&quot;* \(#,##0.00\);&quot;£&quot;* &quot;-&quot;_);[Blue]&quot;Error-&quot;@"/>
    <numFmt numFmtId="232" formatCode="dd\ mmm\ yyyy_)"/>
    <numFmt numFmtId="233" formatCode="dd/mm/yy_)"/>
    <numFmt numFmtId="234" formatCode="0%_);[Red]\-0%_);0%_);[Blue]&quot;Error-&quot;@"/>
    <numFmt numFmtId="235" formatCode="0.0%_);[Red]\-0.0%_);0.0%_);[Blue]&quot;Error-&quot;@"/>
    <numFmt numFmtId="236" formatCode="0.00%_);[Red]\-0.00%_);0.00%_);[Blue]&quot;Error-&quot;@"/>
    <numFmt numFmtId="237" formatCode="_-* #,##0_-;* \(#,##0\)_-;_-@_-"/>
    <numFmt numFmtId="238" formatCode="dd\-mmm\-yyyy"/>
    <numFmt numFmtId="239" formatCode="&quot;£&quot;#,###_);[Red]\(&quot;£&quot;#,###\);&quot;£&quot;0"/>
    <numFmt numFmtId="240" formatCode="&quot;£&quot;#,###_);[Red]\(&quot;£&quot;#,###\);"/>
    <numFmt numFmtId="241" formatCode="&quot;£&quot;#,##0.00_);[Red]\(&quot;£&quot;#,##0.00\);&quot;£&quot;0.00"/>
    <numFmt numFmtId="242" formatCode="&quot;£&quot;#,##0.00_);[Red]\(&quot;£&quot;#,##0.00\);"/>
    <numFmt numFmtId="243" formatCode="0.0"/>
    <numFmt numFmtId="244" formatCode="0.000_)"/>
    <numFmt numFmtId="245" formatCode="#,###_);[Red]\(#,###\);0"/>
    <numFmt numFmtId="246" formatCode="#,###_);[Red]\(#,###\);"/>
    <numFmt numFmtId="247" formatCode="##,##0.00_);[Red]\(##,##0.00\);0.00"/>
    <numFmt numFmtId="248" formatCode="#,##0.00_);[Red]\(#,##0.00\);&quot;- &quot;"/>
    <numFmt numFmtId="249" formatCode="#,##0.00_);[Red]\(#,##0.00\);&quot;Nil &quot;"/>
    <numFmt numFmtId="250" formatCode="#,##0.00_);[Red]\(#,##0.00\);"/>
    <numFmt numFmtId="251" formatCode="#,##0_);[Red]\(#,##0\);"/>
    <numFmt numFmtId="252" formatCode="#,##0.000;[Red]\(#,##0.000\);\-"/>
    <numFmt numFmtId="253" formatCode="#,##0_%_);\(#,##0\)_%;**;@_%_)"/>
    <numFmt numFmtId="254" formatCode="#,##0.000_ ;\-#,##0.000\ "/>
    <numFmt numFmtId="255" formatCode="\$#,##0.0,,,&quot;bn&quot;"/>
    <numFmt numFmtId="256" formatCode="_-* #,##0.0000_-;\-* #,##0.0000_-;_-* &quot;-&quot;??_-;_-@_-"/>
    <numFmt numFmtId="257" formatCode="0.0_x_)_);&quot;NM&quot;_x_)_);0.0_x_)_);@_%_)"/>
    <numFmt numFmtId="258" formatCode="0.0\ \x;\(0.0\ \x\)"/>
    <numFmt numFmtId="259" formatCode="#,##0_);[Red]\(#,##0\);&quot;- &quot;"/>
    <numFmt numFmtId="260" formatCode="#,##0_);[Red]\(#,##0\);&quot;Nil &quot;"/>
    <numFmt numFmtId="261" formatCode="0.0_ ;\(0.0\)_ \ "/>
    <numFmt numFmtId="262" formatCode="#,##0.0_);\(#,##0.0\);&quot;--&quot;_)"/>
    <numFmt numFmtId="263" formatCode="#,##0.00_);\(#,##0.00\);&quot;--&quot;_)"/>
    <numFmt numFmtId="264" formatCode="General_)"/>
    <numFmt numFmtId="265" formatCode="0.000;[Red]\-0.000;\-"/>
    <numFmt numFmtId="266" formatCode="#&quot; mins&quot;"/>
    <numFmt numFmtId="267" formatCode="&quot;$&quot;#,##0_);[Red]\(&quot;$&quot;#,##0\)"/>
    <numFmt numFmtId="268" formatCode="&quot;£&quot;#,##0.00_);[Red]\(&quot;£&quot;#,##0.00\);&quot;£&quot;0.00_)"/>
    <numFmt numFmtId="269" formatCode="&quot;£&quot;#,##0.00_);[Red]\(&quot;£&quot;#,##0.00\);&quot;- &quot;"/>
    <numFmt numFmtId="270" formatCode="&quot;£&quot;#,##0.00_);[Red]\(&quot;£&quot;#,##0.00\);&quot;Nil &quot;"/>
    <numFmt numFmtId="271" formatCode="&quot;£&quot;#,##0_);[Red]\(&quot;£&quot;#,##0\);"/>
    <numFmt numFmtId="272" formatCode="_(&quot;$&quot;* #,##0_);_(&quot;$&quot;* \(#,##0\);_(&quot;$&quot;* &quot;-&quot;_);_(@_)"/>
    <numFmt numFmtId="273" formatCode="&quot;£&quot;#,##0.00;\(&quot;£&quot;#,##0.00\)"/>
    <numFmt numFmtId="274" formatCode="m/d"/>
    <numFmt numFmtId="275" formatCode="&quot;£&quot;#,##0_);[Red]\(&quot;£&quot;#,##0\);&quot;- &quot;"/>
    <numFmt numFmtId="276" formatCode="&quot;£&quot;#,##0_);[Red]\(&quot;£&quot;#,##0\);&quot;Nil &quot;"/>
    <numFmt numFmtId="277" formatCode="0.0\ \ \x\ ;\(0.0\)\ \ \x\ "/>
    <numFmt numFmtId="278" formatCode="@\ \ \ \ \ "/>
    <numFmt numFmtId="279" formatCode="\ \ _•\–\ \ \ \ @"/>
    <numFmt numFmtId="280" formatCode="0.00_ ;[Red]\-0.00\ "/>
    <numFmt numFmtId="281" formatCode="000"/>
    <numFmt numFmtId="282" formatCode="#,##0.0;[Red]\(#,##0.0\);\-"/>
    <numFmt numFmtId="283" formatCode="d\-mmm\-yyyy"/>
    <numFmt numFmtId="284" formatCode="&quot;$&quot;#,##0.0;[Red]&quot;$&quot;#,##0.0"/>
    <numFmt numFmtId="285" formatCode="dd/mm/yyyy;;&quot;-&quot;"/>
    <numFmt numFmtId="286" formatCode="dd/mmm/yyyy_);;&quot;-  &quot;;&quot; &quot;@"/>
    <numFmt numFmtId="287" formatCode="dd/mmm/yy_);;&quot;-  &quot;;&quot; &quot;@"/>
    <numFmt numFmtId="288" formatCode="0.00,,;[Red]\(0.00,,\);\-"/>
    <numFmt numFmtId="289" formatCode="_-* #,##0\ _D_M_-;\-* #,##0\ _D_M_-;_-* &quot;-&quot;\ _D_M_-;_-@_-"/>
    <numFmt numFmtId="290" formatCode="_-* #,##0.00\ _D_M_-;\-* #,##0.00\ _D_M_-;_-* &quot;-&quot;??\ _D_M_-;_-@_-"/>
    <numFmt numFmtId="291" formatCode="#,##0.00_)\ \ \ \ \ ;\(#,##0.00\)\ \ \ \ \ "/>
    <numFmt numFmtId="292" formatCode="&quot;$&quot;#,##0.00_)\ \ \ \ \ ;\(&quot;$&quot;#,##0.00\)\ \ \ \ \ "/>
    <numFmt numFmtId="293" formatCode="&quot;$&quot;#,##0.00\A\ \ \ \ ;\(&quot;$&quot;#,##0.00\A\)\ \ \ \ "/>
    <numFmt numFmtId="294" formatCode="&quot;$&quot;#,##0.00&quot;E&quot;\ \ \ \ ;\(&quot;$&quot;#,##0.00&quot;E&quot;\)\ \ \ \ "/>
    <numFmt numFmtId="295" formatCode="#,##0.00\A\ \ \ \ ;\(#,##0.00\A\)\ \ \ \ "/>
    <numFmt numFmtId="296" formatCode="#,##0.00&quot;E&quot;\ \ \ \ ;\(#,##0.00&quot;E&quot;\)\ \ \ \ "/>
    <numFmt numFmtId="297" formatCode="\€#,##0.0,,,&quot;bn&quot;"/>
    <numFmt numFmtId="298" formatCode="\€#,##0.0,,&quot;m&quot;"/>
    <numFmt numFmtId="299" formatCode="\€#,##0.0,&quot;k&quot;"/>
    <numFmt numFmtId="300" formatCode="[Magenta]&quot;Err&quot;;[Magenta]&quot;Err&quot;;[Blue]&quot;OK&quot;"/>
    <numFmt numFmtId="301" formatCode="#,##0.0000_);\(#,##0.0000\);&quot;-  &quot;;&quot; &quot;@"/>
    <numFmt numFmtId="302" formatCode="0;0;&quot;&quot;"/>
    <numFmt numFmtId="303" formatCode="\ ;\ ;"/>
    <numFmt numFmtId="304" formatCode="_-#,##0&quot; hours&quot;"/>
    <numFmt numFmtId="305" formatCode="0.000"/>
    <numFmt numFmtId="306" formatCode="#,##0_);[Red]\(#,##0\);\-_)"/>
    <numFmt numFmtId="307" formatCode="0,&quot; K&quot;_);[Red]\(0,&quot; K&quot;\)"/>
    <numFmt numFmtId="308" formatCode="0.00,&quot; K&quot;_);[Red]\(0.00,&quot; K&quot;\)"/>
    <numFmt numFmtId="309" formatCode="0,,&quot; M&quot;_);[Red]\(0,,&quot; M&quot;\)"/>
    <numFmt numFmtId="310" formatCode="0.00,,&quot; M&quot;_);[Red]\(0.00,,&quot; M&quot;\)"/>
    <numFmt numFmtId="311" formatCode="_-#,##0.0&quot; max&quot;"/>
    <numFmt numFmtId="312" formatCode="_ * #,##0_ ;_ * \-#,##0_ ;_ * &quot;-&quot;_ ;_ @_ "/>
    <numFmt numFmtId="313" formatCode="_ * #,##0.00_ ;_ * \-#,##0.00_ ;_ * &quot;-&quot;??_ ;_ @_ "/>
    <numFmt numFmtId="314" formatCode="&quot;£&quot;#,##0,,&quot;M&quot;_);[Red]\(&quot;£&quot;#,##0,,&quot;M&quot;\);&quot;£&quot;0,,&quot;M&quot;_)"/>
    <numFmt numFmtId="315" formatCode="&quot;£&quot;#,##0.00,,&quot;M&quot;_);[Red]\(&quot;£&quot;#,##0.00,,&quot;M&quot;\);&quot;£&quot;0.00,,&quot;M&quot;_)"/>
    <numFmt numFmtId="316" formatCode="_ &quot;R&quot;\ * #,##0.00_ ;_ &quot;R&quot;\ * \-#,##0.00_ ;_ &quot;R&quot;\ * &quot;-&quot;??_ ;_ @_ "/>
    <numFmt numFmtId="317" formatCode="_-#,##0&quot; months&quot;"/>
    <numFmt numFmtId="318" formatCode="_-#,##0&quot;MW&quot;"/>
    <numFmt numFmtId="319" formatCode="_-#,##0&quot;MWth&quot;"/>
    <numFmt numFmtId="320" formatCode="0.00_)"/>
    <numFmt numFmtId="321" formatCode="##_);[Red]\(##\);0"/>
    <numFmt numFmtId="322" formatCode="##_);[Red]\(##\);"/>
    <numFmt numFmtId="323" formatCode="##0.00_);[Red]\(##0.00\);0.00"/>
    <numFmt numFmtId="324" formatCode="###0.00_);[Red]\(###0.00\);"/>
    <numFmt numFmtId="325" formatCode="_-* #,##0\ ;* \(#,##0\);_-* &quot;-&quot;_-;_-@_-"/>
    <numFmt numFmtId="326" formatCode="#,##0_);[Red]\(#,##0\);\-_0_)"/>
    <numFmt numFmtId="327" formatCode="d\ mmm\ yy"/>
    <numFmt numFmtId="328" formatCode="#,##0.0,,_);[Red]\(#,##0.0,,\);\-_0_)"/>
    <numFmt numFmtId="329" formatCode="&quot;£&quot;#,##0.0,,_)&quot;m&quot;;[Red]\(&quot;£&quot;#,##0.0,,_)&quot;m&quot;\);&quot;£&quot;\-_0_)\ &quot;m&quot;"/>
    <numFmt numFmtId="330" formatCode="#,##0.000,,_);[Red]\(#,##0.000,,\);\-_0_)"/>
    <numFmt numFmtId="331" formatCode="#,##0.0,_);[Red]\(#,##0.0,\);\-_0_)"/>
    <numFmt numFmtId="332" formatCode="dd\ mmm\ yy"/>
    <numFmt numFmtId="333" formatCode="mmm\ yy"/>
    <numFmt numFmtId="334" formatCode="#,##0.0,;\(#,##0.0,\);\-_)_0"/>
    <numFmt numFmtId="335" formatCode="0.00%;\(0.00%\)"/>
    <numFmt numFmtId="336" formatCode="0%;\-0%;&quot;-&quot;"/>
    <numFmt numFmtId="337" formatCode="#,##0.00\x_);\(#,##0.00\x\);&quot;-  &quot;;&quot;  &quot;@"/>
    <numFmt numFmtId="338" formatCode="0.0000%"/>
    <numFmt numFmtId="339" formatCode="m/d/yy\ h:mm:ss"/>
    <numFmt numFmtId="340" formatCode="_(* #,##0.00%_);_(* \(#,##0.00%\);_(* #,##0.00%_);_(@_)"/>
    <numFmt numFmtId="341" formatCode="_-#,##0&quot; t&quot;"/>
    <numFmt numFmtId="342" formatCode="&quot;£&quot;#,##0,&quot;K&quot;_);[Red]\(&quot;£&quot;#,##0,&quot;K&quot;\);&quot;£&quot;0,&quot;K&quot;_)"/>
    <numFmt numFmtId="343" formatCode="&quot;£&quot;#,##0.00,&quot;K&quot;_);[Red]\(&quot;£&quot;#,##0.00,&quot;K&quot;\);&quot;£&quot;0.00,&quot;K&quot;_)"/>
    <numFmt numFmtId="344" formatCode="_-* #,##0\ &quot;TL&quot;_-;\-* #,##0\ &quot;TL&quot;_-;_-* &quot;-&quot;\ &quot;TL&quot;_-;_-@_-"/>
    <numFmt numFmtId="345" formatCode="_-* #,##0.00\ &quot;TL&quot;_-;\-* #,##0.00\ &quot;TL&quot;_-;_-* &quot;-&quot;??\ &quot;TL&quot;_-;_-@_-"/>
    <numFmt numFmtId="346" formatCode="0.00%;[Red]\-0.00%;0.00%"/>
    <numFmt numFmtId="347" formatCode="yyyy"/>
    <numFmt numFmtId="348" formatCode="_-#,##0&quot; years&quot;"/>
    <numFmt numFmtId="349" formatCode="&quot;yes&quot;;&quot;ERROR&quot;;&quot;no&quot;"/>
    <numFmt numFmtId="350" formatCode="#,##0;\(#,##0\);\-"/>
    <numFmt numFmtId="351" formatCode="0.00000"/>
    <numFmt numFmtId="352" formatCode="0.000000"/>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name val="Arial"/>
      <family val="2"/>
    </font>
    <font>
      <b/>
      <sz val="10"/>
      <name val="Arial"/>
      <family val="2"/>
    </font>
    <font>
      <sz val="9"/>
      <name val="Arial"/>
      <family val="2"/>
    </font>
    <font>
      <b/>
      <sz val="10"/>
      <name val="Tms Rmn"/>
    </font>
    <font>
      <sz val="10"/>
      <name val="GillSans"/>
      <family val="2"/>
    </font>
    <font>
      <sz val="10"/>
      <name val="Times New Roman"/>
      <family val="1"/>
    </font>
    <font>
      <sz val="11"/>
      <name val="CG Omega"/>
      <family val="2"/>
    </font>
    <font>
      <sz val="12"/>
      <name val="Arial"/>
      <family val="2"/>
    </font>
    <font>
      <sz val="10"/>
      <color indexed="8"/>
      <name val="MS Sans Serif"/>
      <family val="2"/>
    </font>
    <font>
      <sz val="12"/>
      <name val="Times New Roman"/>
      <family val="1"/>
    </font>
    <font>
      <b/>
      <sz val="10"/>
      <name val="Garamond"/>
      <family val="1"/>
    </font>
    <font>
      <sz val="9"/>
      <name val="Times"/>
      <family val="1"/>
    </font>
    <font>
      <sz val="10"/>
      <name val="Helv"/>
      <charset val="204"/>
    </font>
    <font>
      <sz val="10"/>
      <name val="MS Sans Serif"/>
      <family val="2"/>
    </font>
    <font>
      <sz val="10"/>
      <name val="Geneva"/>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b/>
      <sz val="12"/>
      <name val="Arial"/>
      <family val="2"/>
    </font>
    <font>
      <b/>
      <sz val="14"/>
      <name val="Arial"/>
      <family val="2"/>
    </font>
    <font>
      <sz val="10"/>
      <name val="Tms Rmn"/>
    </font>
    <font>
      <sz val="10"/>
      <name val="Times"/>
      <family val="1"/>
    </font>
    <font>
      <sz val="10"/>
      <color indexed="8"/>
      <name val="Arial"/>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sz val="8"/>
      <name val="Trebuchet MS"/>
      <family val="2"/>
    </font>
    <font>
      <sz val="10"/>
      <name val="Courier New"/>
      <family val="3"/>
    </font>
    <font>
      <b/>
      <sz val="9"/>
      <name val="Helv"/>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sz val="6"/>
      <color indexed="10"/>
      <name val="Trebuchet MS"/>
      <family val="2"/>
    </font>
    <font>
      <b/>
      <sz val="11"/>
      <color indexed="9"/>
      <name val="Calibri"/>
      <family val="2"/>
    </font>
    <font>
      <b/>
      <sz val="9"/>
      <color indexed="18"/>
      <name val="Arial"/>
      <family val="2"/>
    </font>
    <font>
      <b/>
      <sz val="8"/>
      <name val="Arial"/>
      <family val="2"/>
    </font>
    <font>
      <sz val="8"/>
      <name val="Palatino"/>
      <family val="1"/>
    </font>
    <font>
      <sz val="10"/>
      <color indexed="8"/>
      <name val="Verdana"/>
      <family val="2"/>
    </font>
    <font>
      <sz val="10"/>
      <color theme="1"/>
      <name val="Verdana"/>
      <family val="2"/>
    </font>
    <font>
      <sz val="1"/>
      <color indexed="8"/>
      <name val="Courier"/>
      <family val="3"/>
    </font>
    <font>
      <i/>
      <sz val="9"/>
      <name val="MS Sans Serif"/>
      <family val="2"/>
    </font>
    <font>
      <sz val="10"/>
      <name val="MS Serif"/>
      <family val="1"/>
    </font>
    <font>
      <b/>
      <sz val="14"/>
      <color indexed="8"/>
      <name val="Arial"/>
      <family val="2"/>
    </font>
    <font>
      <sz val="10"/>
      <color indexed="10"/>
      <name val="Arial"/>
      <family val="2"/>
    </font>
    <font>
      <sz val="10"/>
      <color indexed="62"/>
      <name val="Arial"/>
      <family val="2"/>
    </font>
    <font>
      <sz val="10"/>
      <color indexed="62"/>
      <name val="Book Antiqua"/>
      <family val="1"/>
    </font>
    <font>
      <sz val="10"/>
      <color indexed="18"/>
      <name val="Arial"/>
      <family val="2"/>
    </font>
    <font>
      <b/>
      <sz val="12"/>
      <color indexed="18"/>
      <name val="Arial"/>
      <family val="2"/>
    </font>
    <font>
      <i/>
      <sz val="10"/>
      <name val="Arial"/>
      <family val="2"/>
    </font>
    <font>
      <b/>
      <sz val="10"/>
      <color indexed="12"/>
      <name val="Arial"/>
      <family val="2"/>
    </font>
    <font>
      <sz val="10"/>
      <name val="Palatino"/>
      <family val="1"/>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sz val="9"/>
      <color indexed="12"/>
      <name val="Arial"/>
      <family val="2"/>
    </font>
    <font>
      <b/>
      <sz val="8"/>
      <color indexed="12"/>
      <name val="Arial"/>
      <family val="2"/>
    </font>
    <font>
      <b/>
      <sz val="10"/>
      <color indexed="43"/>
      <name val="Times New Roman"/>
      <family val="1"/>
    </font>
    <font>
      <sz val="10"/>
      <color indexed="62"/>
      <name val="Times New Roman"/>
      <family val="1"/>
    </font>
    <font>
      <sz val="10"/>
      <color indexed="12"/>
      <name val="Times New Roman"/>
      <family val="1"/>
    </font>
    <font>
      <b/>
      <sz val="12"/>
      <color indexed="9"/>
      <name val="Arial"/>
      <family val="2"/>
    </font>
    <font>
      <b/>
      <sz val="12"/>
      <color indexed="9"/>
      <name val="Trebuchet MS"/>
      <family val="2"/>
    </font>
    <font>
      <b/>
      <sz val="10"/>
      <color indexed="9"/>
      <name val="Arial"/>
      <family val="2"/>
    </font>
    <font>
      <b/>
      <sz val="14"/>
      <name val="Times New Roman"/>
      <family val="1"/>
    </font>
    <font>
      <b/>
      <sz val="10"/>
      <color indexed="9"/>
      <name val="Times New Roman"/>
      <family val="1"/>
    </font>
    <font>
      <b/>
      <sz val="11"/>
      <color indexed="9"/>
      <name val="Arial"/>
      <family val="2"/>
    </font>
    <font>
      <sz val="10"/>
      <color indexed="20"/>
      <name val="Times New Roman"/>
      <family val="1"/>
    </font>
    <font>
      <sz val="10"/>
      <name val="Stone Sans"/>
      <family val="2"/>
    </font>
    <font>
      <sz val="10"/>
      <name val="Optim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8"/>
      <color indexed="56"/>
      <name val="Arial"/>
      <family val="2"/>
    </font>
    <font>
      <b/>
      <sz val="8"/>
      <name val="Times New Roman"/>
      <family val="1"/>
    </font>
    <font>
      <b/>
      <sz val="18"/>
      <color indexed="18"/>
      <name val="Arial"/>
      <family val="2"/>
    </font>
    <font>
      <sz val="12"/>
      <name val="Optima"/>
      <family val="2"/>
    </font>
    <font>
      <b/>
      <i/>
      <sz val="16"/>
      <name val="Helv"/>
    </font>
    <font>
      <sz val="10"/>
      <color rgb="FF000000"/>
      <name val="Verdana"/>
      <family val="2"/>
    </font>
    <font>
      <sz val="10"/>
      <color indexed="14"/>
      <name val="Arial"/>
      <family val="2"/>
    </font>
    <font>
      <b/>
      <sz val="12"/>
      <name val="Stone Sans"/>
      <family val="2"/>
    </font>
    <font>
      <b/>
      <sz val="18"/>
      <name val="Arial"/>
      <family val="2"/>
    </font>
    <font>
      <b/>
      <sz val="14"/>
      <name val="Stone Sans"/>
      <family val="2"/>
    </font>
    <font>
      <sz val="10"/>
      <name val="Stone Sans"/>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sz val="10"/>
      <color indexed="12"/>
      <name val="Arial"/>
      <family val="2"/>
    </font>
    <font>
      <b/>
      <sz val="10"/>
      <color indexed="32"/>
      <name val="Palatino"/>
      <family val="1"/>
    </font>
    <font>
      <i/>
      <sz val="8"/>
      <color indexed="60"/>
      <name val="Times New Roman"/>
      <family val="1"/>
    </font>
    <font>
      <sz val="12"/>
      <color indexed="8"/>
      <name val="Times New Roman"/>
      <family val="1"/>
    </font>
    <font>
      <sz val="14"/>
      <name val="Arial"/>
      <family val="2"/>
    </font>
    <font>
      <b/>
      <sz val="9"/>
      <name val="Arial"/>
      <family val="2"/>
    </font>
    <font>
      <sz val="18"/>
      <name val="Arial"/>
      <family val="2"/>
    </font>
    <font>
      <b/>
      <sz val="14"/>
      <color indexed="9"/>
      <name val="Book Antiqua"/>
      <family val="1"/>
    </font>
    <font>
      <b/>
      <sz val="18"/>
      <color indexed="62"/>
      <name val="Cambria"/>
      <family val="2"/>
    </font>
    <font>
      <b/>
      <sz val="20"/>
      <color indexed="10"/>
      <name val="Arial"/>
      <family val="2"/>
    </font>
    <font>
      <sz val="12"/>
      <color indexed="10"/>
      <name val="Times New Roman"/>
      <family val="1"/>
    </font>
    <font>
      <b/>
      <sz val="10"/>
      <color indexed="62"/>
      <name val="Arial"/>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11"/>
      <name val="Arial"/>
      <family val="2"/>
    </font>
    <font>
      <sz val="9"/>
      <color indexed="8"/>
      <name val="Arial"/>
      <family val="2"/>
    </font>
    <font>
      <u/>
      <sz val="10"/>
      <name val="Arial"/>
      <family val="2"/>
    </font>
    <font>
      <sz val="7"/>
      <name val="Arial"/>
      <family val="2"/>
    </font>
    <font>
      <b/>
      <sz val="16"/>
      <color indexed="9"/>
      <name val="Arial"/>
      <family val="2"/>
    </font>
    <font>
      <b/>
      <sz val="14"/>
      <color indexed="32"/>
      <name val="Arial"/>
      <family val="2"/>
    </font>
    <font>
      <b/>
      <sz val="10"/>
      <name val="Helv"/>
    </font>
    <font>
      <b/>
      <sz val="10"/>
      <color indexed="41"/>
      <name val="Arial"/>
      <family val="2"/>
    </font>
    <font>
      <sz val="10"/>
      <color theme="1"/>
      <name val="Arial Narrow"/>
      <family val="2"/>
    </font>
    <font>
      <b/>
      <sz val="10"/>
      <color theme="1"/>
      <name val="Arial Narrow"/>
      <family val="2"/>
    </font>
    <font>
      <sz val="10"/>
      <name val="Arial Narrow"/>
      <family val="2"/>
    </font>
    <font>
      <b/>
      <sz val="10"/>
      <name val="Arial Narrow"/>
      <family val="2"/>
    </font>
    <font>
      <sz val="10"/>
      <color rgb="FF7030A0"/>
      <name val="Arial Narrow"/>
      <family val="2"/>
    </font>
    <font>
      <sz val="10"/>
      <color rgb="FF000000"/>
      <name val="Arial Narrow"/>
      <family val="2"/>
    </font>
    <font>
      <u/>
      <sz val="10"/>
      <name val="Arial Narrow"/>
      <family val="2"/>
    </font>
    <font>
      <u/>
      <sz val="10"/>
      <color theme="1"/>
      <name val="Arial Narrow"/>
      <family val="2"/>
    </font>
    <font>
      <b/>
      <sz val="10"/>
      <color indexed="8"/>
      <name val="Arial"/>
      <family val="2"/>
    </font>
    <font>
      <i/>
      <sz val="10"/>
      <color indexed="8"/>
      <name val="Arial"/>
      <family val="2"/>
    </font>
    <font>
      <b/>
      <sz val="14"/>
      <color theme="0"/>
      <name val="Arial"/>
      <family val="2"/>
    </font>
    <font>
      <sz val="14"/>
      <color theme="0"/>
      <name val="Arial"/>
      <family val="2"/>
    </font>
    <font>
      <b/>
      <sz val="10"/>
      <color theme="0"/>
      <name val="Arial"/>
      <family val="2"/>
    </font>
    <font>
      <b/>
      <i/>
      <sz val="10"/>
      <color indexed="8"/>
      <name val="Arial"/>
      <family val="2"/>
    </font>
    <font>
      <b/>
      <sz val="10"/>
      <color rgb="FF156579"/>
      <name val="Arial"/>
      <family val="2"/>
    </font>
    <font>
      <i/>
      <sz val="10"/>
      <color theme="0" tint="-0.249977111117893"/>
      <name val="Arial"/>
      <family val="2"/>
    </font>
    <font>
      <sz val="10"/>
      <color theme="0"/>
      <name val="Arial"/>
      <family val="2"/>
    </font>
    <font>
      <b/>
      <sz val="12"/>
      <color indexed="8"/>
      <name val="Arial"/>
      <family val="2"/>
    </font>
    <font>
      <sz val="11"/>
      <color rgb="FF3F3F76"/>
      <name val="Calibri"/>
      <family val="2"/>
      <scheme val="minor"/>
    </font>
    <font>
      <i/>
      <vertAlign val="subscript"/>
      <sz val="10"/>
      <name val="Arial Narrow"/>
      <family val="2"/>
    </font>
    <font>
      <i/>
      <sz val="10"/>
      <name val="Arial Narrow"/>
      <family val="2"/>
    </font>
    <font>
      <b/>
      <sz val="10"/>
      <color rgb="FF0066FF"/>
      <name val="Arial Narrow"/>
      <family val="2"/>
    </font>
    <font>
      <b/>
      <i/>
      <sz val="10"/>
      <name val="Arial Narrow"/>
      <family val="2"/>
    </font>
    <font>
      <sz val="10"/>
      <color theme="0"/>
      <name val="Arial Narrow"/>
      <family val="2"/>
    </font>
  </fonts>
  <fills count="89">
    <fill>
      <patternFill patternType="none"/>
    </fill>
    <fill>
      <patternFill patternType="gray125"/>
    </fill>
    <fill>
      <patternFill patternType="solid">
        <fgColor theme="4" tint="0.59999389629810485"/>
        <bgColor indexed="65"/>
      </patternFill>
    </fill>
    <fill>
      <patternFill patternType="solid">
        <fgColor rgb="FFFFC7CE"/>
      </patternFill>
    </fill>
    <fill>
      <patternFill patternType="solid">
        <fgColor indexed="21"/>
        <bgColor indexed="21"/>
      </patternFill>
    </fill>
    <fill>
      <patternFill patternType="solid">
        <fgColor indexed="22"/>
        <bgColor indexed="64"/>
      </patternFill>
    </fill>
    <fill>
      <patternFill patternType="solid">
        <fgColor indexed="43"/>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61"/>
        <bgColor indexed="61"/>
      </patternFill>
    </fill>
    <fill>
      <patternFill patternType="solid">
        <fgColor indexed="31"/>
        <bgColor indexed="31"/>
      </patternFill>
    </fill>
    <fill>
      <patternFill patternType="solid">
        <fgColor indexed="22"/>
        <bgColor indexed="22"/>
      </patternFill>
    </fill>
    <fill>
      <patternFill patternType="solid">
        <fgColor indexed="44"/>
        <bgColor indexed="44"/>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3"/>
      </patternFill>
    </fill>
    <fill>
      <patternFill patternType="solid">
        <fgColor indexed="10"/>
        <bgColor indexed="64"/>
      </patternFill>
    </fill>
    <fill>
      <patternFill patternType="solid">
        <fgColor indexed="44"/>
        <bgColor indexed="64"/>
      </patternFill>
    </fill>
    <fill>
      <patternFill patternType="solid">
        <fgColor indexed="53"/>
        <bgColor indexed="64"/>
      </patternFill>
    </fill>
    <fill>
      <patternFill patternType="solid">
        <fgColor indexed="45"/>
        <bgColor indexed="45"/>
      </patternFill>
    </fill>
    <fill>
      <patternFill patternType="solid">
        <fgColor indexed="38"/>
        <bgColor indexed="64"/>
      </patternFill>
    </fill>
    <fill>
      <patternFill patternType="solid">
        <fgColor indexed="32"/>
        <bgColor indexed="64"/>
      </patternFill>
    </fill>
    <fill>
      <patternFill patternType="solid">
        <fgColor indexed="45"/>
        <bgColor indexed="64"/>
      </patternFill>
    </fill>
    <fill>
      <patternFill patternType="solid">
        <fgColor indexed="30"/>
        <bgColor indexed="64"/>
      </patternFill>
    </fill>
    <fill>
      <patternFill patternType="solid">
        <fgColor indexed="9"/>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18"/>
        <bgColor indexed="64"/>
      </patternFill>
    </fill>
    <fill>
      <patternFill patternType="solid">
        <fgColor indexed="62"/>
        <bgColor indexed="64"/>
      </patternFill>
    </fill>
    <fill>
      <patternFill patternType="solid">
        <fgColor indexed="12"/>
        <bgColor indexed="64"/>
      </patternFill>
    </fill>
    <fill>
      <patternFill patternType="solid">
        <fgColor indexed="43"/>
      </patternFill>
    </fill>
    <fill>
      <patternFill patternType="solid">
        <fgColor indexed="50"/>
        <bgColor indexed="64"/>
      </patternFill>
    </fill>
    <fill>
      <patternFill patternType="solid">
        <fgColor indexed="55"/>
        <bgColor indexed="64"/>
      </patternFill>
    </fill>
    <fill>
      <patternFill patternType="solid">
        <fgColor indexed="8"/>
        <bgColor indexed="64"/>
      </patternFill>
    </fill>
    <fill>
      <patternFill patternType="solid">
        <fgColor indexed="46"/>
        <bgColor indexed="64"/>
      </patternFill>
    </fill>
    <fill>
      <patternFill patternType="solid">
        <fgColor indexed="48"/>
        <bgColor indexed="64"/>
      </patternFill>
    </fill>
    <fill>
      <patternFill patternType="solid">
        <fgColor indexed="23"/>
        <bgColor indexed="64"/>
      </patternFill>
    </fill>
    <fill>
      <patternFill patternType="solid">
        <fgColor indexed="11"/>
        <bgColor indexed="8"/>
      </patternFill>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15657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83F35"/>
        <bgColor indexed="64"/>
      </patternFill>
    </fill>
    <fill>
      <patternFill patternType="solid">
        <fgColor rgb="FF99BFC2"/>
        <bgColor indexed="64"/>
      </patternFill>
    </fill>
    <fill>
      <patternFill patternType="solid">
        <fgColor rgb="FFFFCC99"/>
      </patternFill>
    </fill>
  </fills>
  <borders count="8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medium">
        <color indexed="2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top/>
      <bottom style="thick">
        <color indexed="22"/>
      </bottom>
      <diagonal/>
    </border>
    <border>
      <left style="double">
        <color indexed="57"/>
      </left>
      <right style="double">
        <color indexed="57"/>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64"/>
      </right>
      <top/>
      <bottom/>
      <diagonal/>
    </border>
    <border>
      <left/>
      <right/>
      <top style="thin">
        <color auto="1"/>
      </top>
      <bottom style="thin">
        <color auto="1"/>
      </bottom>
      <diagonal/>
    </border>
    <border>
      <left/>
      <right/>
      <top style="thin">
        <color indexed="63"/>
      </top>
      <bottom/>
      <diagonal/>
    </border>
    <border>
      <left/>
      <right/>
      <top style="thin">
        <color indexed="64"/>
      </top>
      <bottom style="thin">
        <color indexed="64"/>
      </bottom>
      <diagonal/>
    </border>
    <border>
      <left/>
      <right/>
      <top style="medium">
        <color indexed="63"/>
      </top>
      <bottom style="double">
        <color indexed="63"/>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s>
  <cellStyleXfs count="16710">
    <xf numFmtId="0" fontId="0" fillId="0" borderId="0"/>
    <xf numFmtId="165" fontId="18" fillId="0" borderId="0" applyFont="0" applyFill="0" applyBorder="0" applyAlignment="0" applyProtection="0"/>
    <xf numFmtId="43" fontId="18" fillId="0" borderId="0" applyFont="0" applyFill="0" applyBorder="0" applyAlignment="0" applyProtection="0"/>
    <xf numFmtId="0" fontId="19" fillId="0" borderId="0"/>
    <xf numFmtId="9" fontId="18"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0" fontId="18" fillId="0" borderId="0"/>
    <xf numFmtId="44" fontId="14" fillId="0" borderId="0" applyFont="0" applyFill="0" applyBorder="0" applyAlignment="0" applyProtection="0"/>
    <xf numFmtId="0" fontId="14" fillId="0" borderId="0"/>
    <xf numFmtId="0" fontId="14" fillId="0" borderId="0"/>
    <xf numFmtId="0" fontId="20" fillId="0" borderId="0"/>
    <xf numFmtId="9" fontId="14"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8" fillId="0" borderId="0"/>
    <xf numFmtId="4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8" fillId="0" borderId="0"/>
    <xf numFmtId="43"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lignment vertical="top"/>
    </xf>
    <xf numFmtId="172" fontId="18" fillId="0" borderId="0">
      <alignment vertical="top"/>
    </xf>
    <xf numFmtId="173" fontId="23" fillId="0" borderId="0"/>
    <xf numFmtId="174" fontId="24" fillId="4" borderId="2">
      <alignment horizontal="center"/>
      <protection locked="0"/>
    </xf>
    <xf numFmtId="175" fontId="18" fillId="0" borderId="0"/>
    <xf numFmtId="175" fontId="18" fillId="0" borderId="0"/>
    <xf numFmtId="175" fontId="18" fillId="0" borderId="0"/>
    <xf numFmtId="175" fontId="18" fillId="0" borderId="0"/>
    <xf numFmtId="175" fontId="18" fillId="0" borderId="0"/>
    <xf numFmtId="172" fontId="25" fillId="0" borderId="0"/>
    <xf numFmtId="173" fontId="23" fillId="0" borderId="0"/>
    <xf numFmtId="175" fontId="18" fillId="0" borderId="0"/>
    <xf numFmtId="175" fontId="18" fillId="0" borderId="0"/>
    <xf numFmtId="175" fontId="18" fillId="0" borderId="0"/>
    <xf numFmtId="175" fontId="18" fillId="0" borderId="0"/>
    <xf numFmtId="175" fontId="18" fillId="0" borderId="0"/>
    <xf numFmtId="176" fontId="26" fillId="0" borderId="0" applyFont="0" applyFill="0" applyBorder="0" applyAlignment="0" applyProtection="0">
      <protection locked="0"/>
    </xf>
    <xf numFmtId="177" fontId="25" fillId="0" borderId="0">
      <alignment horizontal="right"/>
    </xf>
    <xf numFmtId="178" fontId="25" fillId="5" borderId="0"/>
    <xf numFmtId="179" fontId="25" fillId="5" borderId="0"/>
    <xf numFmtId="180" fontId="25" fillId="5" borderId="0"/>
    <xf numFmtId="181" fontId="25" fillId="5" borderId="0">
      <alignment horizontal="right"/>
    </xf>
    <xf numFmtId="0" fontId="18" fillId="0" borderId="0"/>
    <xf numFmtId="0" fontId="27" fillId="0" borderId="0"/>
    <xf numFmtId="182" fontId="27" fillId="0" borderId="0"/>
    <xf numFmtId="182"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169" fontId="18" fillId="0" borderId="0"/>
    <xf numFmtId="169" fontId="18" fillId="0" borderId="0"/>
    <xf numFmtId="0" fontId="18" fillId="0" borderId="0"/>
    <xf numFmtId="173" fontId="18" fillId="0" borderId="0"/>
    <xf numFmtId="179"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172" fontId="18" fillId="0" borderId="0"/>
    <xf numFmtId="0" fontId="18" fillId="0" borderId="0"/>
    <xf numFmtId="172" fontId="27" fillId="0" borderId="0"/>
    <xf numFmtId="172" fontId="18" fillId="0" borderId="0"/>
    <xf numFmtId="172" fontId="18" fillId="0" borderId="0"/>
    <xf numFmtId="172"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28" fillId="6" borderId="0" applyBorder="0">
      <alignment vertical="center"/>
    </xf>
    <xf numFmtId="0" fontId="18" fillId="0" borderId="0"/>
    <xf numFmtId="0" fontId="18" fillId="0" borderId="0"/>
    <xf numFmtId="172"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172" fontId="27" fillId="0" borderId="0"/>
    <xf numFmtId="0" fontId="18" fillId="0" borderId="0"/>
    <xf numFmtId="0" fontId="18" fillId="0" borderId="0"/>
    <xf numFmtId="0" fontId="18" fillId="0" borderId="0"/>
    <xf numFmtId="18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172" fontId="18" fillId="0" borderId="0" applyBorder="0"/>
    <xf numFmtId="184" fontId="28" fillId="6" borderId="0" applyBorder="0">
      <alignment vertical="center"/>
    </xf>
    <xf numFmtId="172" fontId="29" fillId="0" borderId="0" applyNumberFormat="0" applyFont="0" applyFill="0" applyBorder="0" applyAlignment="0" applyProtection="0"/>
    <xf numFmtId="9" fontId="18" fillId="0" borderId="0">
      <alignment horizontal="center"/>
    </xf>
    <xf numFmtId="185" fontId="18" fillId="0" borderId="0" applyFont="0" applyFill="0" applyBorder="0" applyAlignment="0" applyProtection="0"/>
    <xf numFmtId="172" fontId="30" fillId="0" borderId="0" applyNumberFormat="0" applyFill="0" applyBorder="0" applyAlignment="0" applyProtection="0">
      <alignment vertical="top"/>
      <protection locked="0"/>
    </xf>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applyNumberFormat="0" applyFill="0" applyBorder="0" applyAlignment="0" applyProtection="0"/>
    <xf numFmtId="0" fontId="31" fillId="0" borderId="0" applyNumberFormat="0" applyFill="0" applyBorder="0" applyAlignment="0" applyProtection="0"/>
    <xf numFmtId="186" fontId="32"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applyFont="0" applyFill="0" applyBorder="0" applyAlignment="0" applyProtection="0"/>
    <xf numFmtId="0" fontId="31" fillId="0" borderId="0" applyNumberForma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38" fontId="34" fillId="0" borderId="0" applyFont="0" applyFill="0" applyBorder="0" applyAlignment="0" applyProtection="0"/>
    <xf numFmtId="38" fontId="34" fillId="0" borderId="0" applyFont="0" applyFill="0" applyBorder="0" applyAlignment="0" applyProtection="0"/>
    <xf numFmtId="172" fontId="33" fillId="0" borderId="0"/>
    <xf numFmtId="172" fontId="18" fillId="0" borderId="0" applyFont="0" applyFill="0" applyBorder="0" applyAlignment="0" applyProtection="0"/>
    <xf numFmtId="172" fontId="33" fillId="0" borderId="0"/>
    <xf numFmtId="172" fontId="33"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applyFont="0" applyFill="0" applyBorder="0" applyAlignment="0" applyProtection="0"/>
    <xf numFmtId="0" fontId="33" fillId="0" borderId="0"/>
    <xf numFmtId="172" fontId="18" fillId="0" borderId="0"/>
    <xf numFmtId="172" fontId="18"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34" fillId="0" borderId="0" applyFont="0" applyFill="0" applyBorder="0" applyAlignment="0" applyProtection="0"/>
    <xf numFmtId="187" fontId="18" fillId="0" borderId="0" applyFont="0" applyFill="0" applyBorder="0" applyAlignment="0" applyProtection="0"/>
    <xf numFmtId="172" fontId="23" fillId="0" borderId="0" applyFont="0" applyFill="0" applyBorder="0" applyAlignment="0" applyProtection="0"/>
    <xf numFmtId="187" fontId="18" fillId="0" borderId="0" applyFont="0" applyFill="0" applyBorder="0" applyAlignment="0" applyProtection="0"/>
    <xf numFmtId="172" fontId="18" fillId="0" borderId="0"/>
    <xf numFmtId="172" fontId="18" fillId="0" borderId="0"/>
    <xf numFmtId="0" fontId="18" fillId="0" borderId="0"/>
    <xf numFmtId="172" fontId="33"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35" fillId="0" borderId="0"/>
    <xf numFmtId="0" fontId="18" fillId="0" borderId="0" applyFont="0" applyFill="0" applyBorder="0" applyAlignment="0" applyProtection="0"/>
    <xf numFmtId="188" fontId="18" fillId="0" borderId="0" applyFont="0" applyFill="0" applyBorder="0" applyAlignment="0" applyProtection="0"/>
    <xf numFmtId="172" fontId="23"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9" fontId="18" fillId="0" borderId="0" applyFont="0" applyFill="0" applyBorder="0" applyAlignment="0" applyProtection="0"/>
    <xf numFmtId="172" fontId="23" fillId="0" borderId="0" applyFont="0" applyFill="0" applyBorder="0" applyAlignment="0" applyProtection="0"/>
    <xf numFmtId="39" fontId="18" fillId="0" borderId="0" applyFont="0" applyFill="0" applyBorder="0" applyAlignment="0" applyProtection="0"/>
    <xf numFmtId="172"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xf numFmtId="172" fontId="33" fillId="0" borderId="0"/>
    <xf numFmtId="172" fontId="30" fillId="0" borderId="0"/>
    <xf numFmtId="172" fontId="30" fillId="0" borderId="0"/>
    <xf numFmtId="38" fontId="34" fillId="0" borderId="0" applyAlignment="0" applyProtection="0"/>
    <xf numFmtId="38" fontId="34" fillId="0" borderId="0" applyFont="0" applyBorder="0" applyAlignment="0" applyProtection="0"/>
    <xf numFmtId="190" fontId="18" fillId="0" borderId="0" applyFont="0" applyFill="0" applyBorder="0" applyProtection="0">
      <alignment vertical="top"/>
    </xf>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3"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38" fontId="36" fillId="0" borderId="0" applyAlignment="0" applyProtection="0"/>
    <xf numFmtId="0" fontId="18" fillId="0" borderId="0" applyFont="0" applyFill="0" applyBorder="0" applyAlignment="0" applyProtection="0"/>
    <xf numFmtId="190" fontId="18" fillId="0" borderId="0" applyFont="0" applyFill="0" applyBorder="0" applyProtection="0">
      <alignment vertical="top"/>
    </xf>
    <xf numFmtId="38" fontId="36" fillId="0" borderId="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18" fillId="0" borderId="0"/>
    <xf numFmtId="172" fontId="33" fillId="0" borderId="0"/>
    <xf numFmtId="191" fontId="18" fillId="0" borderId="0" applyFont="0" applyFill="0" applyBorder="0" applyAlignment="0" applyProtection="0"/>
    <xf numFmtId="172" fontId="23" fillId="0" borderId="0" applyFont="0" applyFill="0" applyBorder="0" applyAlignment="0" applyProtection="0"/>
    <xf numFmtId="192"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72" fontId="23" fillId="0" borderId="0" applyFont="0" applyFill="0" applyBorder="0" applyAlignment="0" applyProtection="0"/>
    <xf numFmtId="19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72" fontId="33" fillId="0" borderId="0"/>
    <xf numFmtId="172" fontId="33" fillId="0" borderId="0"/>
    <xf numFmtId="172" fontId="18" fillId="0" borderId="0"/>
    <xf numFmtId="0" fontId="18" fillId="0" borderId="0" applyFont="0" applyFill="0" applyBorder="0" applyAlignment="0" applyProtection="0"/>
    <xf numFmtId="172" fontId="33" fillId="0" borderId="0"/>
    <xf numFmtId="38" fontId="36" fillId="0" borderId="0" applyAlignment="0" applyProtection="0"/>
    <xf numFmtId="0" fontId="35" fillId="0" borderId="0"/>
    <xf numFmtId="0" fontId="35" fillId="0" borderId="0"/>
    <xf numFmtId="172" fontId="18" fillId="0" borderId="0"/>
    <xf numFmtId="172" fontId="18" fillId="0" borderId="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195" fontId="18" fillId="0" borderId="0" applyFont="0" applyFill="0" applyBorder="0" applyAlignment="0" applyProtection="0"/>
    <xf numFmtId="172" fontId="23"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72" fontId="23" fillId="0" borderId="0" applyFont="0" applyFill="0" applyBorder="0" applyAlignment="0" applyProtection="0"/>
    <xf numFmtId="198"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72" fontId="37" fillId="0" borderId="0"/>
    <xf numFmtId="172" fontId="37" fillId="0" borderId="0"/>
    <xf numFmtId="172" fontId="37" fillId="0" borderId="0"/>
    <xf numFmtId="172" fontId="18" fillId="0" borderId="0" applyFont="0" applyFill="0" applyBorder="0" applyAlignment="0" applyProtection="0"/>
    <xf numFmtId="0" fontId="1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35" fillId="0" borderId="0"/>
    <xf numFmtId="0" fontId="35" fillId="0" borderId="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172" fontId="38" fillId="0" borderId="0" applyNumberFormat="0" applyFill="0" applyBorder="0" applyProtection="0">
      <alignment horizontal="left"/>
    </xf>
    <xf numFmtId="172" fontId="39" fillId="0" borderId="0" applyNumberFormat="0" applyFill="0" applyBorder="0" applyProtection="0">
      <alignment horizontal="centerContinuous"/>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7" fillId="0" borderId="0"/>
    <xf numFmtId="172" fontId="37" fillId="0" borderId="0"/>
    <xf numFmtId="199" fontId="40" fillId="0" borderId="0"/>
    <xf numFmtId="172" fontId="30" fillId="0" borderId="0"/>
    <xf numFmtId="172" fontId="30" fillId="0" borderId="0"/>
    <xf numFmtId="172" fontId="37" fillId="0" borderId="0"/>
    <xf numFmtId="172" fontId="37" fillId="0" borderId="0"/>
    <xf numFmtId="172" fontId="37" fillId="0" borderId="0"/>
    <xf numFmtId="0" fontId="18" fillId="0" borderId="0" applyFont="0" applyFill="0" applyBorder="0" applyAlignment="0" applyProtection="0"/>
    <xf numFmtId="172" fontId="18" fillId="0" borderId="0"/>
    <xf numFmtId="172" fontId="33" fillId="0" borderId="0"/>
    <xf numFmtId="199" fontId="4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200" fontId="41" fillId="0" borderId="0" applyFont="0" applyFill="0" applyBorder="0" applyAlignment="0" applyProtection="0"/>
    <xf numFmtId="201" fontId="30" fillId="0" borderId="0" applyFont="0" applyFill="0" applyBorder="0" applyAlignment="0" applyProtection="0"/>
    <xf numFmtId="202" fontId="42" fillId="0" borderId="0"/>
    <xf numFmtId="203" fontId="30" fillId="0" borderId="0" applyFont="0" applyFill="0" applyBorder="0" applyAlignment="0" applyProtection="0"/>
    <xf numFmtId="204" fontId="41" fillId="0" borderId="0" applyFont="0" applyFill="0" applyBorder="0" applyAlignment="0" applyProtection="0"/>
    <xf numFmtId="0" fontId="27"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172" fontId="18" fillId="0" borderId="0"/>
    <xf numFmtId="171" fontId="18" fillId="0" borderId="0" applyBorder="0"/>
    <xf numFmtId="0" fontId="18" fillId="0" borderId="0"/>
    <xf numFmtId="0" fontId="18" fillId="0" borderId="0"/>
    <xf numFmtId="172" fontId="18" fillId="0" borderId="0" applyBorder="0"/>
    <xf numFmtId="171" fontId="18" fillId="0" borderId="0" applyBorder="0"/>
    <xf numFmtId="199" fontId="40" fillId="0" borderId="0"/>
    <xf numFmtId="205" fontId="42" fillId="0" borderId="0"/>
    <xf numFmtId="205" fontId="43" fillId="0" borderId="0"/>
    <xf numFmtId="206" fontId="42" fillId="0" borderId="0"/>
    <xf numFmtId="207" fontId="26" fillId="0" borderId="0" applyFont="0" applyFill="0" applyBorder="0" applyAlignment="0" applyProtection="0">
      <protection locked="0"/>
    </xf>
    <xf numFmtId="0" fontId="44" fillId="0" borderId="0" applyNumberFormat="0" applyFill="0" applyBorder="0" applyAlignment="0" applyProtection="0"/>
    <xf numFmtId="0" fontId="45" fillId="0" borderId="0" applyNumberFormat="0" applyFill="0" applyBorder="0" applyAlignment="0" applyProtection="0"/>
    <xf numFmtId="208" fontId="46" fillId="0" borderId="0"/>
    <xf numFmtId="172" fontId="43" fillId="0" borderId="0"/>
    <xf numFmtId="208" fontId="47" fillId="0" borderId="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9" fontId="49" fillId="8"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9" fontId="49" fillId="10"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9" fontId="49" fillId="12"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9" fontId="49" fillId="16"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9" fontId="49" fillId="17" borderId="0" applyNumberFormat="0" applyBorder="0" applyAlignment="0" applyProtection="0"/>
    <xf numFmtId="209" fontId="42" fillId="0" borderId="0"/>
    <xf numFmtId="210" fontId="43" fillId="0" borderId="0"/>
    <xf numFmtId="209" fontId="50" fillId="0" borderId="0"/>
    <xf numFmtId="0" fontId="18" fillId="0" borderId="0"/>
    <xf numFmtId="0" fontId="18" fillId="0" borderId="0"/>
    <xf numFmtId="211" fontId="42" fillId="0" borderId="0"/>
    <xf numFmtId="0" fontId="12" fillId="2"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2" fillId="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9" fontId="49" fillId="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9" fontId="49" fillId="20"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9" fontId="49" fillId="22"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169" fontId="53" fillId="23"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169" fontId="53" fillId="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9" fontId="53" fillId="20"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9" fontId="53" fillId="26" borderId="0" applyNumberFormat="0" applyBorder="0" applyAlignment="0" applyProtection="0"/>
    <xf numFmtId="0" fontId="23" fillId="0" borderId="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169" fontId="53" fillId="3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169" fontId="53" fillId="37" borderId="0" applyNumberFormat="0" applyBorder="0" applyAlignment="0" applyProtection="0"/>
    <xf numFmtId="0" fontId="20" fillId="27"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52" fillId="30"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9" fontId="53" fillId="19"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52" fillId="3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20" fillId="27"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0" fillId="42" borderId="0" applyNumberFormat="0" applyBorder="0" applyAlignment="0" applyProtection="0"/>
    <xf numFmtId="0" fontId="52" fillId="31"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27"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69" fontId="53" fillId="47" borderId="0" applyNumberFormat="0" applyBorder="0" applyAlignment="0" applyProtection="0"/>
    <xf numFmtId="212" fontId="18" fillId="48" borderId="3" applyFont="0" applyFill="0" applyBorder="0" applyAlignment="0" applyProtection="0"/>
    <xf numFmtId="213" fontId="54" fillId="0" borderId="4">
      <alignment horizontal="centerContinuous"/>
    </xf>
    <xf numFmtId="214" fontId="22" fillId="49" borderId="5">
      <alignment horizontal="center" vertical="center"/>
    </xf>
    <xf numFmtId="171" fontId="26" fillId="0" borderId="0" applyFont="0" applyFill="0" applyBorder="0" applyAlignment="0" applyProtection="0"/>
    <xf numFmtId="172" fontId="26" fillId="0" borderId="0" applyFont="0" applyFill="0" applyBorder="0" applyAlignment="0" applyProtection="0"/>
    <xf numFmtId="0" fontId="35" fillId="0" borderId="0"/>
    <xf numFmtId="199" fontId="55" fillId="0" borderId="0" applyNumberFormat="0" applyFont="0" applyFill="0" applyBorder="0" applyProtection="0">
      <alignment horizontal="center"/>
    </xf>
    <xf numFmtId="215" fontId="56" fillId="0" borderId="0">
      <alignment horizontal="left"/>
    </xf>
    <xf numFmtId="0" fontId="46" fillId="0" borderId="0"/>
    <xf numFmtId="0" fontId="57" fillId="0" borderId="6">
      <alignment horizontal="center" vertical="center"/>
    </xf>
    <xf numFmtId="216" fontId="26" fillId="50" borderId="7" applyNumberFormat="0" applyFont="0" applyAlignment="0" applyProtection="0">
      <alignment vertical="center"/>
    </xf>
    <xf numFmtId="217" fontId="58" fillId="0" borderId="0" applyFont="0" applyFill="0" applyBorder="0" applyAlignment="0" applyProtection="0"/>
    <xf numFmtId="172" fontId="26" fillId="0" borderId="0" applyFont="0" applyFill="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169"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169" fontId="63" fillId="10" borderId="0" applyNumberFormat="0" applyBorder="0" applyAlignment="0" applyProtection="0"/>
    <xf numFmtId="218" fontId="64" fillId="52" borderId="8" applyNumberFormat="0" applyBorder="0" applyAlignment="0">
      <alignment horizontal="centerContinuous" vertical="center"/>
      <protection hidden="1"/>
    </xf>
    <xf numFmtId="1" fontId="65" fillId="53" borderId="3" applyNumberFormat="0" applyBorder="0" applyAlignment="0">
      <alignment horizontal="center" vertical="top" wrapText="1"/>
      <protection hidden="1"/>
    </xf>
    <xf numFmtId="219" fontId="18" fillId="0" borderId="0" applyFont="0" applyFill="0" applyBorder="0" applyAlignment="0" applyProtection="0"/>
    <xf numFmtId="187" fontId="18" fillId="0" borderId="0" applyNumberFormat="0" applyFont="0" applyAlignment="0" applyProtection="0"/>
    <xf numFmtId="216" fontId="26" fillId="54" borderId="9" applyNumberFormat="0" applyFont="0" applyAlignment="0" applyProtection="0">
      <alignment vertical="center"/>
    </xf>
    <xf numFmtId="172" fontId="66" fillId="55" borderId="0">
      <alignment horizontal="left"/>
    </xf>
    <xf numFmtId="220" fontId="67" fillId="0" borderId="0" applyFill="0" applyBorder="0" applyAlignment="0" applyProtection="0"/>
    <xf numFmtId="2" fontId="68" fillId="56" borderId="10" applyProtection="0">
      <alignment horizontal="left"/>
      <protection locked="0"/>
    </xf>
    <xf numFmtId="172" fontId="22" fillId="49" borderId="0" applyNumberFormat="0" applyFont="0" applyAlignment="0">
      <alignment horizontal="center"/>
    </xf>
    <xf numFmtId="221" fontId="44" fillId="49" borderId="0" applyFont="0" applyFill="0" applyBorder="0" applyAlignment="0" applyProtection="0"/>
    <xf numFmtId="172" fontId="69" fillId="0" borderId="0" applyNumberFormat="0" applyFill="0" applyBorder="0" applyAlignment="0" applyProtection="0"/>
    <xf numFmtId="172" fontId="70" fillId="0" borderId="4" applyNumberFormat="0" applyFill="0" applyAlignment="0" applyProtection="0"/>
    <xf numFmtId="172" fontId="42" fillId="0" borderId="0"/>
    <xf numFmtId="222" fontId="71" fillId="6" borderId="0" applyFont="0" applyFill="0" applyBorder="0" applyAlignment="0" applyProtection="0"/>
    <xf numFmtId="223" fontId="18" fillId="0" borderId="0" applyFont="0" applyFill="0" applyBorder="0" applyAlignment="0" applyProtection="0"/>
    <xf numFmtId="224" fontId="23" fillId="0" borderId="0" applyAlignment="0" applyProtection="0"/>
    <xf numFmtId="49" fontId="40" fillId="0" borderId="0" applyNumberFormat="0" applyAlignment="0" applyProtection="0">
      <alignment horizontal="left"/>
    </xf>
    <xf numFmtId="49" fontId="72" fillId="0" borderId="11" applyNumberFormat="0" applyAlignment="0" applyProtection="0">
      <alignment horizontal="left" wrapText="1"/>
    </xf>
    <xf numFmtId="49" fontId="73" fillId="0" borderId="0" applyAlignment="0" applyProtection="0">
      <alignment horizontal="left"/>
    </xf>
    <xf numFmtId="225" fontId="30" fillId="0" borderId="0" applyFont="0" applyFill="0" applyBorder="0" applyAlignment="0" applyProtection="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5" fillId="0" borderId="0"/>
    <xf numFmtId="226" fontId="23" fillId="0" borderId="0"/>
    <xf numFmtId="227" fontId="23" fillId="0" borderId="0"/>
    <xf numFmtId="228" fontId="23" fillId="0" borderId="0"/>
    <xf numFmtId="226" fontId="23" fillId="0" borderId="12"/>
    <xf numFmtId="227" fontId="23" fillId="0" borderId="12"/>
    <xf numFmtId="227" fontId="23" fillId="0" borderId="12"/>
    <xf numFmtId="228" fontId="23" fillId="0" borderId="12"/>
    <xf numFmtId="228" fontId="23" fillId="0" borderId="12"/>
    <xf numFmtId="226" fontId="23" fillId="0" borderId="12"/>
    <xf numFmtId="229" fontId="23" fillId="0" borderId="0"/>
    <xf numFmtId="172" fontId="26" fillId="0" borderId="0" applyFill="0" applyBorder="0" applyAlignment="0"/>
    <xf numFmtId="230" fontId="23" fillId="0" borderId="0"/>
    <xf numFmtId="231" fontId="23" fillId="0" borderId="0"/>
    <xf numFmtId="229" fontId="23" fillId="0" borderId="12"/>
    <xf numFmtId="230" fontId="23" fillId="0" borderId="12"/>
    <xf numFmtId="230" fontId="23" fillId="0" borderId="12"/>
    <xf numFmtId="231" fontId="23" fillId="0" borderId="12"/>
    <xf numFmtId="231" fontId="23" fillId="0" borderId="12"/>
    <xf numFmtId="229" fontId="23" fillId="0" borderId="12"/>
    <xf numFmtId="232" fontId="23" fillId="0" borderId="0">
      <alignment horizontal="right"/>
      <protection locked="0"/>
    </xf>
    <xf numFmtId="233" fontId="23" fillId="0" borderId="0">
      <alignment horizontal="right"/>
      <protection locked="0"/>
    </xf>
    <xf numFmtId="234" fontId="23" fillId="0" borderId="0"/>
    <xf numFmtId="235" fontId="23" fillId="0" borderId="0"/>
    <xf numFmtId="236" fontId="23" fillId="0" borderId="0"/>
    <xf numFmtId="234" fontId="23" fillId="0" borderId="12"/>
    <xf numFmtId="235" fontId="23" fillId="0" borderId="12"/>
    <xf numFmtId="235" fontId="23" fillId="0" borderId="12"/>
    <xf numFmtId="236" fontId="23" fillId="0" borderId="12"/>
    <xf numFmtId="236" fontId="23" fillId="0" borderId="12"/>
    <xf numFmtId="234" fontId="23" fillId="0" borderId="12"/>
    <xf numFmtId="0" fontId="18" fillId="0" borderId="0"/>
    <xf numFmtId="0" fontId="18" fillId="0" borderId="0" applyBorder="0"/>
    <xf numFmtId="2" fontId="18" fillId="0" borderId="0"/>
    <xf numFmtId="170" fontId="18" fillId="0" borderId="0"/>
    <xf numFmtId="237" fontId="18" fillId="5" borderId="0"/>
    <xf numFmtId="172" fontId="18" fillId="0" borderId="0">
      <alignment vertical="center"/>
    </xf>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7" fillId="21" borderId="13" applyNumberFormat="0" applyAlignment="0" applyProtection="0"/>
    <xf numFmtId="238" fontId="26" fillId="0" borderId="9" applyAlignment="0">
      <alignment vertical="center"/>
    </xf>
    <xf numFmtId="239" fontId="18" fillId="0" borderId="14" applyFont="0" applyFill="0" applyBorder="0" applyAlignment="0" applyProtection="0"/>
    <xf numFmtId="240" fontId="18" fillId="0" borderId="14" applyFont="0" applyFill="0" applyBorder="0" applyAlignment="0" applyProtection="0"/>
    <xf numFmtId="241" fontId="18" fillId="0" borderId="15" applyFont="0" applyFill="0" applyBorder="0" applyAlignment="0" applyProtection="0"/>
    <xf numFmtId="242" fontId="18" fillId="0" borderId="14" applyFont="0" applyFill="0" applyBorder="0" applyAlignment="0" applyProtection="0"/>
    <xf numFmtId="38" fontId="78" fillId="0" borderId="0" applyNumberFormat="0" applyFill="0" applyBorder="0" applyAlignment="0" applyProtection="0"/>
    <xf numFmtId="0" fontId="79" fillId="35" borderId="16" applyNumberFormat="0" applyAlignment="0" applyProtection="0"/>
    <xf numFmtId="0" fontId="79" fillId="58" borderId="16" applyNumberFormat="0" applyAlignment="0" applyProtection="0"/>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7" fontId="22" fillId="0" borderId="4">
      <alignment horizontal="center"/>
    </xf>
    <xf numFmtId="37" fontId="22" fillId="0" borderId="0">
      <alignment horizontal="center" vertical="center" wrapText="1"/>
    </xf>
    <xf numFmtId="1" fontId="80" fillId="0" borderId="17">
      <alignment vertical="top"/>
    </xf>
    <xf numFmtId="243" fontId="81" fillId="0" borderId="0" applyBorder="0">
      <alignment horizontal="right"/>
    </xf>
    <xf numFmtId="243" fontId="81" fillId="0" borderId="1" applyAlignment="0">
      <alignment horizontal="right"/>
    </xf>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38" fontId="18" fillId="0" borderId="0" applyFont="0" applyFill="0" applyBorder="0" applyAlignment="0" applyProtection="0"/>
    <xf numFmtId="245" fontId="18" fillId="0" borderId="14" applyFont="0" applyFill="0" applyBorder="0" applyAlignment="0" applyProtection="0"/>
    <xf numFmtId="246" fontId="18" fillId="0" borderId="14" applyFont="0" applyFill="0" applyBorder="0" applyAlignment="0" applyProtection="0"/>
    <xf numFmtId="199" fontId="26" fillId="0" borderId="0" applyFont="0" applyFill="0" applyBorder="0" applyAlignment="0" applyProtection="0">
      <protection locked="0"/>
    </xf>
    <xf numFmtId="40" fontId="26" fillId="0" borderId="0" applyFont="0" applyFill="0" applyBorder="0" applyAlignment="0" applyProtection="0">
      <protection locked="0"/>
    </xf>
    <xf numFmtId="247" fontId="18" fillId="0" borderId="14" applyFont="0" applyFill="0" applyBorder="0" applyAlignment="0" applyProtection="0"/>
    <xf numFmtId="248" fontId="26" fillId="0" borderId="0" applyFont="0" applyFill="0" applyBorder="0" applyAlignment="0" applyProtection="0"/>
    <xf numFmtId="249" fontId="26" fillId="0" borderId="0" applyFont="0" applyFill="0" applyBorder="0" applyAlignment="0" applyProtection="0"/>
    <xf numFmtId="247" fontId="18" fillId="0" borderId="14" applyFont="0" applyFill="0" applyBorder="0" applyAlignment="0" applyProtection="0"/>
    <xf numFmtId="250" fontId="18" fillId="0" borderId="14" applyFont="0" applyFill="0" applyBorder="0" applyAlignment="0" applyProtection="0"/>
    <xf numFmtId="251" fontId="26" fillId="0" borderId="0" applyFont="0" applyFill="0" applyBorder="0" applyAlignment="0" applyProtection="0"/>
    <xf numFmtId="0" fontId="18" fillId="0" borderId="0" applyNumberFormat="0" applyFont="0" applyBorder="0" applyAlignment="0"/>
    <xf numFmtId="202" fontId="42" fillId="0" borderId="0"/>
    <xf numFmtId="252" fontId="46" fillId="0" borderId="0"/>
    <xf numFmtId="172" fontId="82" fillId="0" borderId="0" applyFont="0" applyFill="0" applyBorder="0" applyAlignment="0" applyProtection="0">
      <alignment horizontal="right"/>
    </xf>
    <xf numFmtId="253" fontId="82" fillId="0" borderId="0" applyFont="0" applyFill="0" applyBorder="0" applyAlignment="0" applyProtection="0"/>
    <xf numFmtId="172" fontId="82" fillId="0" borderId="0" applyFont="0" applyFill="0" applyBorder="0" applyAlignment="0" applyProtection="0">
      <alignment horizontal="right"/>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7" fillId="0" borderId="0" applyFont="0" applyFill="0" applyBorder="0" applyAlignment="0" applyProtection="0"/>
    <xf numFmtId="252" fontId="27" fillId="0" borderId="0" applyFont="0" applyFill="0" applyBorder="0" applyAlignment="0" applyProtection="0"/>
    <xf numFmtId="182" fontId="27" fillId="0" borderId="0" applyFont="0" applyFill="0" applyBorder="0" applyAlignment="0" applyProtection="0"/>
    <xf numFmtId="187" fontId="27" fillId="0" borderId="0" applyFont="0" applyFill="0" applyBorder="0" applyAlignment="0" applyProtection="0"/>
    <xf numFmtId="18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254" fontId="27" fillId="0" borderId="0" applyFont="0" applyFill="0" applyBorder="0" applyAlignment="0" applyProtection="0"/>
    <xf numFmtId="255" fontId="27" fillId="0" borderId="0" applyFont="0" applyFill="0" applyBorder="0" applyAlignment="0" applyProtection="0"/>
    <xf numFmtId="255" fontId="27" fillId="0" borderId="0" applyFont="0" applyFill="0" applyBorder="0" applyAlignment="0" applyProtection="0"/>
    <xf numFmtId="243" fontId="27" fillId="0" borderId="0" applyFont="0" applyFill="0" applyBorder="0" applyAlignment="0" applyProtection="0"/>
    <xf numFmtId="181"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43" fontId="27" fillId="0" borderId="0" applyFont="0" applyFill="0" applyBorder="0" applyAlignment="0" applyProtection="0"/>
    <xf numFmtId="243"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26"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18"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257" fontId="18"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84"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258" fontId="18" fillId="0" borderId="0" applyFont="0" applyFill="0" applyBorder="0" applyAlignment="0" applyProtection="0"/>
    <xf numFmtId="165" fontId="4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259" fontId="26" fillId="0" borderId="0" applyFont="0" applyFill="0" applyBorder="0" applyAlignment="0" applyProtection="0"/>
    <xf numFmtId="260" fontId="26" fillId="0" borderId="0" applyFont="0" applyFill="0" applyBorder="0" applyAlignment="0" applyProtection="0"/>
    <xf numFmtId="261" fontId="18" fillId="0" borderId="0" applyFont="0" applyFill="0" applyBorder="0" applyAlignment="0" applyProtection="0"/>
    <xf numFmtId="38" fontId="30" fillId="0" borderId="0" applyFill="0" applyBorder="0" applyProtection="0">
      <alignment horizontal="center"/>
    </xf>
    <xf numFmtId="172" fontId="85" fillId="0" borderId="0">
      <protection locked="0"/>
    </xf>
    <xf numFmtId="262" fontId="18" fillId="0" borderId="0" applyBorder="0"/>
    <xf numFmtId="263" fontId="40" fillId="0" borderId="0" applyBorder="0"/>
    <xf numFmtId="172" fontId="86" fillId="0" borderId="0"/>
    <xf numFmtId="264" fontId="18" fillId="0" borderId="0" applyFill="0" applyBorder="0">
      <alignment horizontal="left"/>
    </xf>
    <xf numFmtId="172" fontId="87" fillId="0" borderId="0" applyNumberFormat="0" applyAlignment="0">
      <alignment horizontal="left"/>
    </xf>
    <xf numFmtId="37" fontId="18" fillId="59" borderId="0" applyFont="0" applyBorder="0" applyAlignment="0" applyProtection="0"/>
    <xf numFmtId="187" fontId="37" fillId="59" borderId="0" applyFont="0" applyBorder="0" applyAlignment="0" applyProtection="0"/>
    <xf numFmtId="39" fontId="37" fillId="59" borderId="0" applyFont="0" applyBorder="0" applyAlignment="0" applyProtection="0"/>
    <xf numFmtId="168" fontId="88" fillId="0" borderId="0"/>
    <xf numFmtId="265" fontId="26" fillId="0" borderId="0" applyFont="0" applyFill="0" applyBorder="0" applyProtection="0">
      <alignment horizontal="right" vertical="center"/>
    </xf>
    <xf numFmtId="266" fontId="18" fillId="0" borderId="0" applyFont="0" applyFill="0" applyBorder="0" applyAlignment="0" applyProtection="0"/>
    <xf numFmtId="267" fontId="26" fillId="0" borderId="0" applyFont="0" applyFill="0" applyBorder="0" applyAlignment="0" applyProtection="0">
      <protection locked="0"/>
    </xf>
    <xf numFmtId="174" fontId="26" fillId="0" borderId="0" applyFont="0" applyFill="0" applyBorder="0" applyAlignment="0" applyProtection="0">
      <protection locked="0"/>
    </xf>
    <xf numFmtId="268" fontId="26" fillId="0" borderId="0" applyFont="0" applyFill="0" applyBorder="0" applyAlignment="0" applyProtection="0"/>
    <xf numFmtId="269" fontId="26" fillId="0" borderId="0" applyFont="0" applyFill="0" applyBorder="0" applyAlignment="0" applyProtection="0"/>
    <xf numFmtId="270" fontId="26" fillId="0" borderId="0" applyFont="0" applyFill="0" applyBorder="0" applyAlignment="0" applyProtection="0"/>
    <xf numFmtId="242" fontId="26" fillId="0" borderId="0" applyFont="0" applyFill="0" applyBorder="0" applyAlignment="0" applyProtection="0"/>
    <xf numFmtId="271" fontId="26" fillId="0" borderId="0" applyFont="0" applyFill="0" applyBorder="0" applyAlignment="0" applyProtection="0"/>
    <xf numFmtId="272" fontId="18" fillId="0" borderId="0">
      <alignment horizontal="right"/>
    </xf>
    <xf numFmtId="171" fontId="89" fillId="0" borderId="0" applyFill="0" applyBorder="0">
      <protection locked="0"/>
    </xf>
    <xf numFmtId="273" fontId="18" fillId="0" borderId="0" applyFill="0" applyBorder="0"/>
    <xf numFmtId="273" fontId="89" fillId="0" borderId="0" applyFill="0" applyBorder="0">
      <protection locked="0"/>
    </xf>
    <xf numFmtId="172" fontId="8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74" fontId="18" fillId="0" borderId="0" applyFont="0" applyFill="0" applyBorder="0" applyAlignment="0" applyProtection="0"/>
    <xf numFmtId="172" fontId="82" fillId="0" borderId="0" applyFont="0" applyFill="0" applyBorder="0" applyAlignment="0" applyProtection="0">
      <alignment horizontal="right"/>
    </xf>
    <xf numFmtId="164" fontId="12" fillId="0" borderId="0" applyFont="0" applyFill="0" applyBorder="0" applyAlignment="0" applyProtection="0"/>
    <xf numFmtId="164" fontId="12" fillId="0" borderId="0" applyFont="0" applyFill="0" applyBorder="0" applyAlignment="0" applyProtection="0"/>
    <xf numFmtId="264" fontId="1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4" fontId="12" fillId="0" borderId="0" applyFont="0" applyFill="0" applyBorder="0" applyAlignment="0" applyProtection="0"/>
    <xf numFmtId="275" fontId="26" fillId="0" borderId="0" applyFont="0" applyFill="0" applyBorder="0" applyAlignment="0" applyProtection="0"/>
    <xf numFmtId="276" fontId="26" fillId="0" borderId="0" applyFont="0" applyFill="0" applyBorder="0" applyAlignment="0" applyProtection="0"/>
    <xf numFmtId="277" fontId="18" fillId="0" borderId="0" applyFont="0" applyFill="0" applyBorder="0" applyAlignment="0" applyProtection="0"/>
    <xf numFmtId="172" fontId="18" fillId="0" borderId="0" applyFont="0" applyFill="0" applyBorder="0" applyAlignment="0" applyProtection="0"/>
    <xf numFmtId="278" fontId="25" fillId="5" borderId="10">
      <alignment horizontal="right"/>
    </xf>
    <xf numFmtId="279" fontId="30" fillId="0" borderId="0" applyFont="0" applyFill="0" applyBorder="0" applyAlignment="0" applyProtection="0"/>
    <xf numFmtId="226" fontId="23" fillId="6" borderId="6">
      <protection locked="0"/>
    </xf>
    <xf numFmtId="227" fontId="23" fillId="6" borderId="6">
      <protection locked="0"/>
    </xf>
    <xf numFmtId="228" fontId="23" fillId="6" borderId="6">
      <protection locked="0"/>
    </xf>
    <xf numFmtId="229" fontId="23" fillId="6" borderId="6">
      <protection locked="0"/>
    </xf>
    <xf numFmtId="230" fontId="23" fillId="6" borderId="6">
      <protection locked="0"/>
    </xf>
    <xf numFmtId="231" fontId="23" fillId="6" borderId="6">
      <protection locked="0"/>
    </xf>
    <xf numFmtId="232" fontId="23" fillId="60" borderId="6">
      <alignment horizontal="right"/>
      <protection locked="0"/>
    </xf>
    <xf numFmtId="233" fontId="23" fillId="60" borderId="6">
      <alignment horizontal="right"/>
      <protection locked="0"/>
    </xf>
    <xf numFmtId="0" fontId="90" fillId="6" borderId="7">
      <alignment horizontal="right"/>
    </xf>
    <xf numFmtId="280" fontId="23" fillId="61" borderId="6">
      <alignment horizontal="left"/>
      <protection locked="0"/>
    </xf>
    <xf numFmtId="49" fontId="23" fillId="62" borderId="6">
      <alignment horizontal="left" vertical="top" wrapText="1"/>
      <protection locked="0"/>
    </xf>
    <xf numFmtId="234" fontId="23" fillId="6" borderId="6">
      <protection locked="0"/>
    </xf>
    <xf numFmtId="235" fontId="23" fillId="6" borderId="6">
      <protection locked="0"/>
    </xf>
    <xf numFmtId="236" fontId="23" fillId="6" borderId="6">
      <protection locked="0"/>
    </xf>
    <xf numFmtId="0" fontId="44" fillId="0" borderId="0"/>
    <xf numFmtId="49" fontId="23" fillId="62" borderId="6">
      <alignment horizontal="left"/>
      <protection locked="0"/>
    </xf>
    <xf numFmtId="281" fontId="23" fillId="6" borderId="6">
      <alignment horizontal="left" indent="1"/>
      <protection locked="0"/>
    </xf>
    <xf numFmtId="282" fontId="91" fillId="6" borderId="7">
      <protection locked="0"/>
    </xf>
    <xf numFmtId="283" fontId="18" fillId="0" borderId="0" applyFill="0" applyBorder="0"/>
    <xf numFmtId="283" fontId="18" fillId="0" borderId="0" applyFill="0" applyBorder="0"/>
    <xf numFmtId="172" fontId="82" fillId="0" borderId="0" applyFont="0" applyFill="0" applyBorder="0" applyAlignment="0" applyProtection="0"/>
    <xf numFmtId="284" fontId="18" fillId="0" borderId="0" applyFont="0" applyFill="0" applyBorder="0" applyAlignment="0" applyProtection="0"/>
    <xf numFmtId="172" fontId="82" fillId="0" borderId="0" applyFont="0" applyFill="0" applyBorder="0" applyAlignment="0" applyProtection="0"/>
    <xf numFmtId="15" fontId="92" fillId="63" borderId="7">
      <alignment horizontal="center" vertical="center"/>
    </xf>
    <xf numFmtId="172" fontId="81" fillId="56" borderId="0">
      <alignment horizontal="left"/>
    </xf>
    <xf numFmtId="15" fontId="89" fillId="0" borderId="0" applyFill="0" applyBorder="0">
      <protection locked="0"/>
    </xf>
    <xf numFmtId="283" fontId="18" fillId="0" borderId="0" applyFill="0" applyBorder="0"/>
    <xf numFmtId="285" fontId="18" fillId="0" borderId="0" applyFont="0" applyFill="0" applyBorder="0" applyAlignment="0" applyProtection="0"/>
    <xf numFmtId="15" fontId="93" fillId="0" borderId="0"/>
    <xf numFmtId="286" fontId="18" fillId="0" borderId="0" applyFont="0" applyFill="0" applyBorder="0" applyAlignment="0" applyProtection="0"/>
    <xf numFmtId="287" fontId="18" fillId="0" borderId="0" applyFont="0" applyFill="0" applyBorder="0" applyAlignment="0" applyProtection="0"/>
    <xf numFmtId="206" fontId="46" fillId="0" borderId="0">
      <alignment horizontal="right"/>
    </xf>
    <xf numFmtId="202" fontId="46" fillId="0" borderId="0">
      <alignment horizontal="right"/>
      <protection locked="0"/>
    </xf>
    <xf numFmtId="202" fontId="46" fillId="0" borderId="0"/>
    <xf numFmtId="288" fontId="46" fillId="0" borderId="0">
      <alignment horizontal="right"/>
      <protection locked="0"/>
    </xf>
    <xf numFmtId="202" fontId="47" fillId="0" borderId="0"/>
    <xf numFmtId="1" fontId="18" fillId="0" borderId="0" applyFill="0" applyBorder="0">
      <alignment horizontal="right"/>
    </xf>
    <xf numFmtId="2" fontId="18" fillId="0" borderId="0" applyFill="0" applyBorder="0">
      <alignment horizontal="right"/>
    </xf>
    <xf numFmtId="2" fontId="89" fillId="0" borderId="0" applyFill="0" applyBorder="0">
      <protection locked="0"/>
    </xf>
    <xf numFmtId="170" fontId="18" fillId="0" borderId="0" applyFill="0" applyBorder="0">
      <alignment horizontal="right"/>
    </xf>
    <xf numFmtId="170" fontId="89" fillId="0" borderId="0" applyFill="0" applyBorder="0">
      <protection locked="0"/>
    </xf>
    <xf numFmtId="289" fontId="18" fillId="0" borderId="0" applyFont="0" applyFill="0" applyBorder="0" applyAlignment="0" applyProtection="0"/>
    <xf numFmtId="290" fontId="18" fillId="0" borderId="0" applyFont="0" applyFill="0" applyBorder="0" applyAlignment="0" applyProtection="0"/>
    <xf numFmtId="199" fontId="55" fillId="5" borderId="0" applyNumberFormat="0" applyFont="0" applyBorder="0" applyAlignment="0" applyProtection="0"/>
    <xf numFmtId="174" fontId="30" fillId="0" borderId="0" applyFill="0" applyBorder="0" applyProtection="0">
      <alignment horizontal="center"/>
    </xf>
    <xf numFmtId="267" fontId="30" fillId="0" borderId="0">
      <alignment horizontal="center"/>
    </xf>
    <xf numFmtId="174" fontId="30" fillId="0" borderId="0" applyFill="0" applyBorder="0" applyProtection="0">
      <alignment horizontal="center"/>
    </xf>
    <xf numFmtId="264" fontId="94" fillId="0" borderId="0">
      <alignment horizontal="center"/>
    </xf>
    <xf numFmtId="172" fontId="82" fillId="0" borderId="18" applyNumberFormat="0" applyFont="0" applyFill="0" applyAlignment="0" applyProtection="0"/>
    <xf numFmtId="171" fontId="95" fillId="0" borderId="12"/>
    <xf numFmtId="205" fontId="46" fillId="0" borderId="0"/>
    <xf numFmtId="9" fontId="96" fillId="6" borderId="15">
      <alignment horizontal="center"/>
    </xf>
    <xf numFmtId="9" fontId="96" fillId="6" borderId="19">
      <alignment horizontal="center"/>
    </xf>
    <xf numFmtId="9" fontId="96" fillId="6" borderId="19">
      <alignment horizontal="center"/>
    </xf>
    <xf numFmtId="38" fontId="34" fillId="0" borderId="0" applyFont="0" applyFill="0" applyBorder="0" applyAlignment="0" applyProtection="0"/>
    <xf numFmtId="172" fontId="97" fillId="0" borderId="0" applyFont="0" applyFill="0" applyBorder="0" applyAlignment="0" applyProtection="0"/>
    <xf numFmtId="0" fontId="98" fillId="64"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172" fontId="99" fillId="0" borderId="0" applyNumberFormat="0" applyAlignment="0">
      <alignment horizontal="left"/>
    </xf>
    <xf numFmtId="291" fontId="25" fillId="0" borderId="0"/>
    <xf numFmtId="292" fontId="25" fillId="0" borderId="0"/>
    <xf numFmtId="293" fontId="25" fillId="0" borderId="0"/>
    <xf numFmtId="294" fontId="25" fillId="0" borderId="0"/>
    <xf numFmtId="295" fontId="25" fillId="0" borderId="0"/>
    <xf numFmtId="296" fontId="25" fillId="0" borderId="0"/>
    <xf numFmtId="169" fontId="26" fillId="0" borderId="0" applyFont="0" applyFill="0" applyBorder="0" applyAlignment="0" applyProtection="0"/>
    <xf numFmtId="169" fontId="18" fillId="0" borderId="0" applyFont="0" applyFill="0" applyBorder="0" applyAlignment="0" applyProtection="0"/>
    <xf numFmtId="297" fontId="18" fillId="0" borderId="0" applyFont="0" applyFill="0" applyBorder="0" applyAlignment="0" applyProtection="0"/>
    <xf numFmtId="298" fontId="18" fillId="0" borderId="0" applyFont="0" applyFill="0" applyBorder="0" applyAlignment="0" applyProtection="0"/>
    <xf numFmtId="299" fontId="18" fillId="0" borderId="0" applyFont="0" applyFill="0" applyBorder="0" applyAlignment="0" applyProtection="0"/>
    <xf numFmtId="172" fontId="18"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72" fontId="30" fillId="58" borderId="0" applyNumberFormat="0" applyFont="0" applyBorder="0" applyAlignment="0" applyProtection="0"/>
    <xf numFmtId="172" fontId="102" fillId="0" borderId="0" applyNumberFormat="0" applyFill="0" applyBorder="0" applyAlignment="0" applyProtection="0"/>
    <xf numFmtId="300" fontId="103" fillId="0" borderId="0" applyFill="0" applyBorder="0"/>
    <xf numFmtId="15" fontId="48" fillId="0" borderId="0" applyFill="0" applyBorder="0" applyProtection="0">
      <alignment horizontal="center"/>
    </xf>
    <xf numFmtId="172" fontId="30" fillId="10" borderId="0" applyNumberFormat="0" applyFont="0" applyBorder="0" applyAlignment="0" applyProtection="0"/>
    <xf numFmtId="301" fontId="18" fillId="0" borderId="0" applyFont="0" applyFill="0" applyBorder="0" applyAlignment="0" applyProtection="0"/>
    <xf numFmtId="302" fontId="104" fillId="67" borderId="0" applyBorder="0" applyAlignment="0">
      <alignment vertical="center"/>
    </xf>
    <xf numFmtId="3" fontId="105" fillId="60" borderId="7" applyNumberFormat="0" applyFont="0" applyAlignment="0" applyProtection="0">
      <alignment vertical="center"/>
    </xf>
    <xf numFmtId="238" fontId="106" fillId="12" borderId="9" applyAlignment="0">
      <alignment vertical="center"/>
    </xf>
    <xf numFmtId="0" fontId="34" fillId="0" borderId="0" applyFont="0" applyFill="0" applyBorder="0" applyAlignment="0" applyProtection="0"/>
    <xf numFmtId="0" fontId="107" fillId="48" borderId="0"/>
    <xf numFmtId="1" fontId="108" fillId="68" borderId="20" applyNumberFormat="0"/>
    <xf numFmtId="0" fontId="109" fillId="69" borderId="0" applyNumberFormat="0" applyBorder="0" applyAlignment="0">
      <alignment vertical="top"/>
    </xf>
    <xf numFmtId="0" fontId="70" fillId="0" borderId="0" applyNumberFormat="0" applyFill="0" applyBorder="0" applyProtection="0">
      <alignment vertical="center"/>
    </xf>
    <xf numFmtId="0" fontId="110" fillId="0" borderId="0" applyNumberFormat="0" applyFill="0" applyBorder="0" applyProtection="0">
      <alignment vertical="center"/>
    </xf>
    <xf numFmtId="3" fontId="107" fillId="68" borderId="0" applyNumberFormat="0" applyAlignment="0">
      <alignment vertical="center"/>
    </xf>
    <xf numFmtId="3" fontId="22" fillId="49" borderId="0" applyNumberFormat="0" applyBorder="0" applyAlignment="0" applyProtection="0">
      <alignment vertical="center"/>
    </xf>
    <xf numFmtId="0" fontId="111" fillId="69" borderId="0"/>
    <xf numFmtId="4" fontId="109" fillId="70" borderId="0" applyNumberFormat="0" applyAlignment="0">
      <alignment horizontal="left" vertical="center"/>
    </xf>
    <xf numFmtId="303" fontId="51" fillId="0" borderId="0" applyAlignment="0">
      <alignment horizontal="right"/>
      <protection hidden="1"/>
    </xf>
    <xf numFmtId="0" fontId="37" fillId="0" borderId="0" applyFont="0" applyFill="0" applyBorder="0" applyAlignment="0" applyProtection="0">
      <alignment horizontal="left"/>
    </xf>
    <xf numFmtId="304" fontId="40" fillId="0" borderId="0" applyFill="0" applyBorder="0"/>
    <xf numFmtId="10" fontId="18" fillId="71" borderId="0" applyBorder="0" applyProtection="0"/>
    <xf numFmtId="10" fontId="18" fillId="0" borderId="0" applyBorder="0"/>
    <xf numFmtId="305" fontId="18" fillId="0" borderId="0"/>
    <xf numFmtId="0" fontId="112" fillId="37" borderId="0"/>
    <xf numFmtId="3" fontId="18" fillId="0" borderId="21" applyFill="0" applyBorder="0"/>
    <xf numFmtId="10" fontId="18" fillId="0" borderId="21" applyFont="0" applyFill="0" applyBorder="0"/>
    <xf numFmtId="15" fontId="18" fillId="0" borderId="0">
      <alignment horizontal="center"/>
    </xf>
    <xf numFmtId="216" fontId="26" fillId="21" borderId="9" applyAlignment="0">
      <alignment vertical="center"/>
    </xf>
    <xf numFmtId="216" fontId="113" fillId="72" borderId="9" applyNumberFormat="0" applyAlignment="0">
      <alignment vertical="center"/>
    </xf>
    <xf numFmtId="0" fontId="114" fillId="0" borderId="0" applyFont="0" applyFill="0" applyBorder="0" applyAlignment="0" applyProtection="0"/>
    <xf numFmtId="0" fontId="115" fillId="0" borderId="0"/>
    <xf numFmtId="216" fontId="106" fillId="71" borderId="9" applyAlignment="0">
      <alignment vertical="center"/>
      <protection locked="0"/>
    </xf>
    <xf numFmtId="10" fontId="106" fillId="6" borderId="7">
      <alignment vertical="center"/>
      <protection locked="0"/>
    </xf>
    <xf numFmtId="306" fontId="90" fillId="73" borderId="7" applyNumberFormat="0" applyAlignment="0">
      <alignment vertical="top"/>
    </xf>
    <xf numFmtId="216" fontId="106" fillId="6" borderId="9" applyAlignment="0">
      <alignment vertical="center"/>
      <protection locked="0"/>
    </xf>
    <xf numFmtId="1" fontId="115" fillId="0" borderId="0"/>
    <xf numFmtId="0" fontId="115" fillId="0" borderId="0" applyFont="0" applyFill="0" applyBorder="0" applyAlignment="0" applyProtection="0"/>
    <xf numFmtId="307" fontId="26" fillId="0" borderId="0" applyFont="0" applyFill="0" applyBorder="0" applyAlignment="0" applyProtection="0"/>
    <xf numFmtId="308" fontId="26" fillId="0" borderId="0" applyFont="0" applyFill="0" applyBorder="0" applyAlignment="0" applyProtection="0"/>
    <xf numFmtId="38" fontId="116" fillId="0" borderId="0"/>
    <xf numFmtId="38" fontId="117" fillId="0" borderId="0"/>
    <xf numFmtId="38" fontId="118" fillId="0" borderId="0"/>
    <xf numFmtId="38" fontId="119" fillId="0" borderId="0"/>
    <xf numFmtId="0" fontId="58" fillId="0" borderId="0"/>
    <xf numFmtId="0" fontId="58" fillId="0" borderId="0"/>
    <xf numFmtId="0" fontId="28" fillId="56" borderId="0" applyFill="0" applyBorder="0">
      <alignment wrapText="1"/>
    </xf>
    <xf numFmtId="0" fontId="23" fillId="0" borderId="0"/>
    <xf numFmtId="0" fontId="120" fillId="0" borderId="0"/>
    <xf numFmtId="0" fontId="121" fillId="0" borderId="0">
      <alignment horizontal="center"/>
    </xf>
    <xf numFmtId="0" fontId="122" fillId="0" borderId="0"/>
    <xf numFmtId="171" fontId="123" fillId="0" borderId="2" applyNumberFormat="0" applyFont="0" applyFill="0" applyAlignment="0">
      <alignment horizontal="left" vertical="center"/>
    </xf>
    <xf numFmtId="2" fontId="94" fillId="0" borderId="7"/>
    <xf numFmtId="3" fontId="105" fillId="74" borderId="0" applyNumberFormat="0" applyFont="0" applyBorder="0" applyAlignment="0" applyProtection="0">
      <alignment vertical="center"/>
    </xf>
    <xf numFmtId="309" fontId="26" fillId="0" borderId="0" applyFont="0" applyFill="0" applyBorder="0" applyAlignment="0" applyProtection="0"/>
    <xf numFmtId="310" fontId="26" fillId="0" borderId="0" applyFont="0" applyFill="0" applyBorder="0" applyAlignment="0" applyProtection="0"/>
    <xf numFmtId="216" fontId="26" fillId="75" borderId="7" applyNumberFormat="0" applyAlignment="0">
      <alignment vertical="center"/>
      <protection locked="0"/>
    </xf>
    <xf numFmtId="0" fontId="124" fillId="0" borderId="0" applyNumberFormat="0" applyBorder="0" applyProtection="0">
      <alignment vertical="top"/>
    </xf>
    <xf numFmtId="311" fontId="40" fillId="0" borderId="0" applyFill="0" applyBorder="0" applyProtection="0"/>
    <xf numFmtId="312" fontId="18" fillId="0" borderId="0" applyFont="0" applyFill="0" applyBorder="0" applyAlignment="0" applyProtection="0"/>
    <xf numFmtId="313" fontId="18" fillId="0" borderId="0" applyFont="0" applyFill="0" applyBorder="0" applyAlignment="0" applyProtection="0"/>
    <xf numFmtId="314" fontId="26" fillId="0" borderId="0" applyFont="0" applyFill="0" applyBorder="0" applyAlignment="0" applyProtection="0"/>
    <xf numFmtId="315" fontId="26" fillId="0" borderId="0" applyFont="0" applyFill="0" applyBorder="0" applyAlignment="0" applyProtection="0"/>
    <xf numFmtId="0" fontId="40" fillId="0" borderId="0"/>
    <xf numFmtId="217" fontId="18" fillId="0" borderId="0" applyFont="0" applyFill="0" applyBorder="0" applyAlignment="0" applyProtection="0"/>
    <xf numFmtId="316" fontId="18" fillId="0" borderId="0" applyFont="0" applyFill="0" applyBorder="0" applyAlignment="0" applyProtection="0"/>
    <xf numFmtId="0" fontId="125" fillId="0" borderId="0" applyFont="0" applyFill="0" applyBorder="0" applyAlignment="0" applyProtection="0"/>
    <xf numFmtId="17" fontId="22" fillId="0" borderId="0">
      <alignment horizontal="center"/>
    </xf>
    <xf numFmtId="317" fontId="40" fillId="0" borderId="0" applyFill="0" applyBorder="0"/>
    <xf numFmtId="318" fontId="40" fillId="0" borderId="0"/>
    <xf numFmtId="319" fontId="40" fillId="0" borderId="0" applyFill="0" applyAlignment="0"/>
    <xf numFmtId="320" fontId="126" fillId="0" borderId="0"/>
    <xf numFmtId="321" fontId="18" fillId="0" borderId="14" applyFont="0" applyFill="0" applyBorder="0" applyAlignment="0" applyProtection="0"/>
    <xf numFmtId="322" fontId="18" fillId="0" borderId="14" applyFont="0" applyFill="0" applyBorder="0" applyAlignment="0" applyProtection="0"/>
    <xf numFmtId="323" fontId="18" fillId="0" borderId="14" applyFont="0" applyFill="0" applyBorder="0" applyAlignment="0" applyProtection="0"/>
    <xf numFmtId="324" fontId="18" fillId="0" borderId="14"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4"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8" fillId="0" borderId="0" applyFont="0" applyFill="0" applyBorder="0" applyAlignment="0" applyProtection="0"/>
    <xf numFmtId="0" fontId="84" fillId="0" borderId="0"/>
    <xf numFmtId="0" fontId="18"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27" fillId="0" borderId="0"/>
    <xf numFmtId="0" fontId="12" fillId="0" borderId="0"/>
    <xf numFmtId="0" fontId="18" fillId="0" borderId="0"/>
    <xf numFmtId="0" fontId="12" fillId="0" borderId="0"/>
    <xf numFmtId="0" fontId="12" fillId="0" borderId="0"/>
    <xf numFmtId="0" fontId="27" fillId="0" borderId="0"/>
    <xf numFmtId="0" fontId="20" fillId="0" borderId="0"/>
    <xf numFmtId="0" fontId="27" fillId="0" borderId="0"/>
    <xf numFmtId="0" fontId="18" fillId="0" borderId="0"/>
    <xf numFmtId="0" fontId="12" fillId="0" borderId="0"/>
    <xf numFmtId="0" fontId="12" fillId="0" borderId="0"/>
    <xf numFmtId="0" fontId="127" fillId="0" borderId="0"/>
    <xf numFmtId="0" fontId="12" fillId="0" borderId="0"/>
    <xf numFmtId="0" fontId="12" fillId="0" borderId="0"/>
    <xf numFmtId="0" fontId="12" fillId="0" borderId="0"/>
    <xf numFmtId="0" fontId="27" fillId="0" borderId="0">
      <alignment vertical="top"/>
    </xf>
    <xf numFmtId="0" fontId="12" fillId="0" borderId="0"/>
    <xf numFmtId="0" fontId="27" fillId="0" borderId="0">
      <alignment vertical="top"/>
    </xf>
    <xf numFmtId="0" fontId="89" fillId="0" borderId="0" applyFill="0" applyBorder="0">
      <protection locked="0"/>
    </xf>
    <xf numFmtId="0" fontId="18" fillId="0" borderId="0"/>
    <xf numFmtId="0" fontId="28" fillId="6" borderId="19" applyBorder="0">
      <alignment horizontal="right" vertical="center"/>
    </xf>
    <xf numFmtId="0" fontId="28" fillId="6" borderId="0">
      <alignment vertical="center"/>
    </xf>
    <xf numFmtId="305" fontId="28" fillId="6" borderId="0"/>
    <xf numFmtId="325" fontId="26" fillId="0" borderId="0">
      <alignment horizontal="right"/>
    </xf>
    <xf numFmtId="167" fontId="18" fillId="6" borderId="7"/>
    <xf numFmtId="0" fontId="128" fillId="0" borderId="0">
      <alignment horizontal="left"/>
    </xf>
    <xf numFmtId="326" fontId="18" fillId="0" borderId="0" applyFill="0" applyBorder="0" applyAlignment="0" applyProtection="0"/>
    <xf numFmtId="327" fontId="18" fillId="0" borderId="0" applyAlignment="0" applyProtection="0"/>
    <xf numFmtId="0" fontId="45" fillId="0" borderId="4" applyNumberFormat="0" applyFill="0" applyBorder="0" applyAlignment="0" applyProtection="0"/>
    <xf numFmtId="0" fontId="45" fillId="0" borderId="4" applyNumberFormat="0" applyFill="0" applyBorder="0" applyAlignment="0" applyProtection="0"/>
    <xf numFmtId="0" fontId="129" fillId="0" borderId="0" applyFill="0" applyBorder="0" applyAlignment="0">
      <alignment horizontal="left"/>
    </xf>
    <xf numFmtId="0" fontId="44" fillId="0" borderId="0" applyNumberFormat="0" applyFill="0" applyBorder="0" applyAlignment="0"/>
    <xf numFmtId="0" fontId="130" fillId="0" borderId="0">
      <alignment horizontal="left"/>
    </xf>
    <xf numFmtId="0" fontId="131" fillId="0" borderId="0" applyFill="0" applyBorder="0" applyProtection="0">
      <alignment horizontal="center"/>
    </xf>
    <xf numFmtId="328" fontId="18" fillId="0" borderId="0" applyFill="0" applyBorder="0" applyAlignment="0" applyProtection="0"/>
    <xf numFmtId="329" fontId="132" fillId="0" borderId="0" applyFill="0" applyBorder="0" applyAlignment="0" applyProtection="0"/>
    <xf numFmtId="330" fontId="23" fillId="0" borderId="0">
      <alignment horizontal="center" vertical="top" wrapText="1"/>
    </xf>
    <xf numFmtId="331" fontId="18" fillId="0" borderId="0" applyAlignment="0" applyProtection="0"/>
    <xf numFmtId="0" fontId="94" fillId="0" borderId="0"/>
    <xf numFmtId="331" fontId="18" fillId="0" borderId="0" applyFont="0" applyFill="0" applyBorder="0" applyAlignment="0" applyProtection="0"/>
    <xf numFmtId="10" fontId="18" fillId="0" borderId="10"/>
    <xf numFmtId="3" fontId="18" fillId="13" borderId="7" applyFill="0" applyBorder="0"/>
    <xf numFmtId="0" fontId="58" fillId="56" borderId="19" applyBorder="0"/>
    <xf numFmtId="0" fontId="58" fillId="56" borderId="19" applyBorder="0"/>
    <xf numFmtId="0" fontId="133" fillId="0" borderId="0" applyNumberFormat="0" applyFill="0" applyBorder="0" applyAlignment="0" applyProtection="0"/>
    <xf numFmtId="0" fontId="134" fillId="0" borderId="0" applyNumberFormat="0" applyFill="0" applyBorder="0" applyAlignment="0" applyProtection="0"/>
    <xf numFmtId="332" fontId="18" fillId="0" borderId="0" applyFont="0" applyFill="0" applyBorder="0" applyAlignment="0" applyProtection="0"/>
    <xf numFmtId="333" fontId="18" fillId="0" borderId="0" applyFont="0" applyFill="0" applyBorder="0" applyAlignment="0" applyProtection="0"/>
    <xf numFmtId="0" fontId="135" fillId="0" borderId="0" applyNumberFormat="0" applyFill="0" applyBorder="0" applyAlignment="0" applyProtection="0"/>
    <xf numFmtId="334" fontId="18"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8" fillId="0" borderId="0" applyNumberFormat="0" applyFont="0" applyFill="0" applyAlignment="0" applyProtection="0"/>
    <xf numFmtId="10" fontId="18" fillId="0" borderId="0" applyFont="0" applyFill="0" applyBorder="0" applyAlignment="0" applyProtection="0"/>
    <xf numFmtId="305" fontId="114" fillId="0" borderId="0" applyFont="0" applyFill="0" applyBorder="0" applyAlignment="0" applyProtection="0"/>
    <xf numFmtId="184" fontId="28" fillId="56" borderId="0"/>
    <xf numFmtId="0" fontId="28" fillId="0" borderId="0" applyFill="0" applyBorder="0">
      <alignment vertical="center"/>
    </xf>
    <xf numFmtId="0" fontId="28" fillId="56" borderId="0"/>
    <xf numFmtId="2" fontId="28" fillId="56" borderId="0" applyBorder="0"/>
    <xf numFmtId="216" fontId="26" fillId="0" borderId="0" applyFont="0" applyFill="0" applyBorder="0" applyAlignment="0" applyProtection="0">
      <alignment vertical="center"/>
    </xf>
    <xf numFmtId="216" fontId="26" fillId="0" borderId="0" applyAlignment="0">
      <alignment vertical="center"/>
    </xf>
    <xf numFmtId="0" fontId="28" fillId="0" borderId="0" applyNumberFormat="0" applyFont="0" applyAlignment="0" applyProtection="0"/>
    <xf numFmtId="10" fontId="18"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335" fontId="18" fillId="0" borderId="0" applyFill="0" applyBorder="0"/>
    <xf numFmtId="335" fontId="89" fillId="0" borderId="0" applyFill="0" applyBorder="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8" fillId="0" borderId="0"/>
    <xf numFmtId="336" fontId="18" fillId="0" borderId="0"/>
    <xf numFmtId="171" fontId="138" fillId="6" borderId="0">
      <alignment horizontal="right"/>
    </xf>
    <xf numFmtId="0" fontId="40" fillId="0" borderId="0">
      <alignment horizontal="center"/>
    </xf>
    <xf numFmtId="3" fontId="18" fillId="0" borderId="0"/>
    <xf numFmtId="1" fontId="139" fillId="0" borderId="0" applyNumberFormat="0" applyFont="0" applyFill="0">
      <alignment horizontal="center"/>
    </xf>
    <xf numFmtId="3" fontId="140" fillId="0" borderId="0" applyNumberFormat="0" applyAlignment="0">
      <alignment vertical="center"/>
    </xf>
    <xf numFmtId="337" fontId="18" fillId="0" borderId="0">
      <alignment vertical="top"/>
    </xf>
    <xf numFmtId="338" fontId="30" fillId="0" borderId="0" applyFont="0" applyFill="0" applyBorder="0" applyAlignment="0" applyProtection="0"/>
    <xf numFmtId="0" fontId="30" fillId="0" borderId="22" applyNumberFormat="0" applyFont="0" applyFill="0" applyAlignment="0" applyProtection="0"/>
    <xf numFmtId="0" fontId="30" fillId="0" borderId="23" applyNumberFormat="0" applyFont="0" applyFill="0" applyAlignment="0" applyProtection="0"/>
    <xf numFmtId="0" fontId="30" fillId="0" borderId="24" applyNumberFormat="0" applyFont="0" applyFill="0" applyAlignment="0" applyProtection="0"/>
    <xf numFmtId="0" fontId="30" fillId="0" borderId="25"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13" borderId="0" applyNumberFormat="0" applyFont="0" applyBorder="0" applyAlignment="0" applyProtection="0"/>
    <xf numFmtId="0" fontId="30" fillId="0" borderId="27" applyNumberFormat="0" applyFont="0" applyFill="0" applyAlignment="0" applyProtection="0"/>
    <xf numFmtId="0" fontId="30" fillId="0" borderId="28" applyNumberFormat="0" applyFont="0" applyFill="0" applyAlignment="0" applyProtection="0"/>
    <xf numFmtId="46" fontId="30" fillId="0" borderId="0" applyFont="0" applyFill="0" applyBorder="0" applyAlignment="0" applyProtection="0"/>
    <xf numFmtId="0" fontId="141" fillId="0" borderId="0" applyNumberFormat="0" applyFill="0" applyBorder="0" applyAlignment="0" applyProtection="0"/>
    <xf numFmtId="0" fontId="30" fillId="0" borderId="29" applyNumberFormat="0" applyFont="0" applyFill="0" applyAlignment="0" applyProtection="0"/>
    <xf numFmtId="0" fontId="30" fillId="0" borderId="30" applyNumberFormat="0" applyFont="0" applyFill="0" applyAlignment="0" applyProtection="0"/>
    <xf numFmtId="0" fontId="30" fillId="0" borderId="9" applyNumberFormat="0" applyFont="0" applyFill="0" applyAlignment="0" applyProtection="0"/>
    <xf numFmtId="0" fontId="30" fillId="0" borderId="31" applyNumberFormat="0" applyFont="0" applyFill="0" applyAlignment="0" applyProtection="0"/>
    <xf numFmtId="0" fontId="30" fillId="0" borderId="31" applyNumberFormat="0" applyFont="0" applyFill="0" applyAlignment="0" applyProtection="0"/>
    <xf numFmtId="0" fontId="30" fillId="0" borderId="9" applyNumberFormat="0" applyFont="0" applyFill="0" applyAlignment="0" applyProtection="0"/>
    <xf numFmtId="0" fontId="30" fillId="0" borderId="0" applyNumberFormat="0" applyFont="0" applyFill="0" applyBorder="0" applyProtection="0">
      <alignment horizontal="center"/>
    </xf>
    <xf numFmtId="0" fontId="142" fillId="0" borderId="0" applyNumberFormat="0" applyFill="0" applyBorder="0" applyAlignment="0" applyProtection="0"/>
    <xf numFmtId="0" fontId="119" fillId="0" borderId="0" applyNumberFormat="0" applyFill="0" applyBorder="0" applyAlignment="0" applyProtection="0"/>
    <xf numFmtId="0" fontId="143" fillId="0" borderId="0" applyNumberFormat="0" applyFill="0" applyBorder="0" applyProtection="0">
      <alignment horizontal="left"/>
    </xf>
    <xf numFmtId="0" fontId="30" fillId="13" borderId="0" applyNumberFormat="0" applyFont="0" applyBorder="0" applyAlignment="0" applyProtection="0"/>
    <xf numFmtId="0" fontId="144" fillId="0" borderId="0" applyNumberFormat="0" applyFill="0" applyBorder="0" applyAlignment="0" applyProtection="0"/>
    <xf numFmtId="0" fontId="141" fillId="0" borderId="0" applyNumberFormat="0" applyFill="0" applyBorder="0" applyAlignment="0" applyProtection="0"/>
    <xf numFmtId="0" fontId="30" fillId="0" borderId="32" applyNumberFormat="0" applyFont="0" applyFill="0" applyAlignment="0" applyProtection="0"/>
    <xf numFmtId="0" fontId="30" fillId="0" borderId="33" applyNumberFormat="0" applyFont="0" applyFill="0" applyAlignment="0" applyProtection="0"/>
    <xf numFmtId="0" fontId="30" fillId="0" borderId="33" applyNumberFormat="0" applyFont="0" applyFill="0" applyAlignment="0" applyProtection="0"/>
    <xf numFmtId="339" fontId="30" fillId="0" borderId="0" applyFont="0" applyFill="0" applyBorder="0" applyAlignment="0" applyProtection="0"/>
    <xf numFmtId="0" fontId="30" fillId="0" borderId="34" applyNumberFormat="0" applyFont="0" applyFill="0" applyAlignment="0" applyProtection="0"/>
    <xf numFmtId="0" fontId="30" fillId="0" borderId="34" applyNumberFormat="0" applyFont="0" applyFill="0" applyAlignment="0" applyProtection="0"/>
    <xf numFmtId="0" fontId="30" fillId="0" borderId="35" applyNumberFormat="0" applyFont="0" applyFill="0" applyAlignment="0" applyProtection="0"/>
    <xf numFmtId="0" fontId="30" fillId="0" borderId="35" applyNumberFormat="0" applyFont="0" applyFill="0" applyAlignment="0" applyProtection="0"/>
    <xf numFmtId="0" fontId="30" fillId="0" borderId="36" applyNumberFormat="0" applyFont="0" applyFill="0" applyAlignment="0" applyProtection="0"/>
    <xf numFmtId="0" fontId="30" fillId="0" borderId="36"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45" fillId="0" borderId="0"/>
    <xf numFmtId="0" fontId="44" fillId="0" borderId="0"/>
    <xf numFmtId="0" fontId="145" fillId="68" borderId="0"/>
    <xf numFmtId="0" fontId="145" fillId="68" borderId="0">
      <alignment wrapText="1"/>
    </xf>
    <xf numFmtId="0" fontId="18" fillId="0" borderId="0"/>
    <xf numFmtId="0" fontId="146" fillId="0" borderId="0" applyNumberFormat="0" applyFill="0" applyBorder="0" applyAlignment="0" applyProtection="0"/>
    <xf numFmtId="0" fontId="147" fillId="0" borderId="0"/>
    <xf numFmtId="2" fontId="22" fillId="0" borderId="2"/>
    <xf numFmtId="0" fontId="18" fillId="0" borderId="0"/>
    <xf numFmtId="340" fontId="48" fillId="0" borderId="0" applyFill="0" applyBorder="0" applyAlignment="0"/>
    <xf numFmtId="0" fontId="18" fillId="62" borderId="7"/>
    <xf numFmtId="0" fontId="148" fillId="0" borderId="0" applyNumberFormat="0" applyFill="0" applyBorder="0" applyAlignment="0" applyProtection="0"/>
    <xf numFmtId="0" fontId="35" fillId="0" borderId="0"/>
    <xf numFmtId="0" fontId="51" fillId="70" borderId="0"/>
    <xf numFmtId="0" fontId="51" fillId="76" borderId="0"/>
    <xf numFmtId="0" fontId="18" fillId="49" borderId="0"/>
    <xf numFmtId="0" fontId="94" fillId="0" borderId="39" applyBorder="0"/>
    <xf numFmtId="0" fontId="149" fillId="0" borderId="0" applyNumberFormat="0" applyBorder="0" applyAlignment="0">
      <alignment vertical="top"/>
    </xf>
    <xf numFmtId="0" fontId="150" fillId="0" borderId="0" applyNumberFormat="0" applyBorder="0" applyProtection="0">
      <alignment vertical="top"/>
    </xf>
    <xf numFmtId="0" fontId="151" fillId="0" borderId="0">
      <alignment vertical="top"/>
    </xf>
    <xf numFmtId="0" fontId="152" fillId="77" borderId="0"/>
    <xf numFmtId="0" fontId="153" fillId="0" borderId="0"/>
    <xf numFmtId="0" fontId="154" fillId="5" borderId="3"/>
    <xf numFmtId="167" fontId="18" fillId="0" borderId="40"/>
    <xf numFmtId="171" fontId="155" fillId="0" borderId="41">
      <alignment vertical="center"/>
    </xf>
    <xf numFmtId="167" fontId="18" fillId="0" borderId="42"/>
    <xf numFmtId="171" fontId="155" fillId="0" borderId="41">
      <alignment vertical="center"/>
    </xf>
    <xf numFmtId="167" fontId="18" fillId="0" borderId="40"/>
    <xf numFmtId="167" fontId="18" fillId="0" borderId="40"/>
    <xf numFmtId="10" fontId="22" fillId="78" borderId="0" applyNumberFormat="0" applyBorder="0" applyAlignment="0"/>
    <xf numFmtId="0" fontId="156" fillId="5" borderId="7">
      <protection locked="0"/>
    </xf>
    <xf numFmtId="341" fontId="40" fillId="0" borderId="0" applyFill="0" applyBorder="0" applyProtection="0"/>
    <xf numFmtId="0" fontId="157" fillId="0" borderId="0" applyFill="0" applyBorder="0" applyAlignment="0"/>
    <xf numFmtId="0" fontId="22" fillId="6" borderId="10">
      <alignment horizontal="left" vertical="center"/>
    </xf>
    <xf numFmtId="342" fontId="26" fillId="0" borderId="0" applyFont="0" applyFill="0" applyBorder="0" applyAlignment="0" applyProtection="0"/>
    <xf numFmtId="343" fontId="26" fillId="0" borderId="0" applyFont="0" applyFill="0" applyBorder="0" applyAlignment="0" applyProtection="0"/>
    <xf numFmtId="0" fontId="158" fillId="0" borderId="0">
      <alignment horizontal="center"/>
    </xf>
    <xf numFmtId="15" fontId="158" fillId="0" borderId="0">
      <alignment horizontal="center"/>
    </xf>
    <xf numFmtId="167" fontId="18" fillId="0" borderId="0"/>
    <xf numFmtId="171" fontId="159" fillId="53" borderId="0" applyNumberFormat="0">
      <alignment vertical="center"/>
    </xf>
    <xf numFmtId="171" fontId="160" fillId="61" borderId="0" applyNumberFormat="0">
      <alignment vertical="center"/>
    </xf>
    <xf numFmtId="171" fontId="45" fillId="0" borderId="0" applyNumberFormat="0">
      <alignment vertical="center"/>
    </xf>
    <xf numFmtId="171" fontId="155" fillId="0" borderId="0" applyNumberFormat="0">
      <alignment vertical="center"/>
    </xf>
    <xf numFmtId="0" fontId="18" fillId="5" borderId="0" applyNumberFormat="0" applyFont="0" applyBorder="0" applyAlignment="0"/>
    <xf numFmtId="0" fontId="161" fillId="0" borderId="0">
      <alignment vertical="center"/>
    </xf>
    <xf numFmtId="3" fontId="105" fillId="79" borderId="7" applyNumberFormat="0" applyFont="0" applyAlignment="0" applyProtection="0">
      <alignment vertical="center"/>
    </xf>
    <xf numFmtId="171" fontId="155" fillId="0" borderId="43">
      <alignment vertical="center"/>
    </xf>
    <xf numFmtId="171" fontId="155" fillId="0" borderId="41">
      <alignment vertical="center"/>
    </xf>
    <xf numFmtId="171" fontId="155" fillId="0" borderId="41">
      <alignment vertical="center"/>
    </xf>
    <xf numFmtId="171" fontId="22" fillId="0" borderId="42" applyFill="0"/>
    <xf numFmtId="171" fontId="22" fillId="0" borderId="42" applyFill="0"/>
    <xf numFmtId="171" fontId="22" fillId="0" borderId="42" applyFill="0"/>
    <xf numFmtId="171" fontId="22" fillId="0" borderId="42" applyFill="0"/>
    <xf numFmtId="171" fontId="22" fillId="0" borderId="44" applyFill="0"/>
    <xf numFmtId="171" fontId="22" fillId="0" borderId="44" applyFill="0"/>
    <xf numFmtId="171" fontId="22" fillId="0" borderId="44" applyFill="0"/>
    <xf numFmtId="171" fontId="22" fillId="0" borderId="44" applyFill="0"/>
    <xf numFmtId="171" fontId="18" fillId="0" borderId="42" applyFill="0"/>
    <xf numFmtId="171" fontId="18" fillId="0" borderId="42" applyFill="0"/>
    <xf numFmtId="171" fontId="18" fillId="0" borderId="42" applyFill="0"/>
    <xf numFmtId="171" fontId="18" fillId="0" borderId="42" applyFill="0"/>
    <xf numFmtId="171" fontId="18" fillId="0" borderId="44" applyFill="0"/>
    <xf numFmtId="171" fontId="18" fillId="0" borderId="44" applyFill="0"/>
    <xf numFmtId="171" fontId="18" fillId="0" borderId="44" applyFill="0"/>
    <xf numFmtId="171" fontId="18" fillId="0" borderId="44" applyFill="0"/>
    <xf numFmtId="0" fontId="22" fillId="0" borderId="0"/>
    <xf numFmtId="167" fontId="18" fillId="0" borderId="45"/>
    <xf numFmtId="0" fontId="162" fillId="76" borderId="7"/>
    <xf numFmtId="0" fontId="28" fillId="0" borderId="10" applyFill="0" applyBorder="0">
      <alignment horizontal="center" vertical="center"/>
    </xf>
    <xf numFmtId="344" fontId="18" fillId="0" borderId="0" applyFont="0" applyFill="0" applyBorder="0" applyAlignment="0" applyProtection="0"/>
    <xf numFmtId="345" fontId="18" fillId="0" borderId="0" applyFont="0" applyFill="0" applyBorder="0" applyAlignment="0" applyProtection="0"/>
    <xf numFmtId="0" fontId="89" fillId="0" borderId="0" applyNumberFormat="0" applyFill="0" applyBorder="0"/>
    <xf numFmtId="216" fontId="26" fillId="17" borderId="9" applyAlignment="0">
      <alignment vertical="center"/>
    </xf>
    <xf numFmtId="216" fontId="26" fillId="17" borderId="9" applyAlignment="0">
      <alignment vertical="center"/>
    </xf>
    <xf numFmtId="346" fontId="26" fillId="17" borderId="9" applyAlignment="0">
      <alignment vertical="center"/>
    </xf>
    <xf numFmtId="49" fontId="26" fillId="17" borderId="9" applyAlignment="0">
      <alignment vertical="center"/>
    </xf>
    <xf numFmtId="0" fontId="22" fillId="0" borderId="0">
      <alignment horizontal="center"/>
    </xf>
    <xf numFmtId="347" fontId="22" fillId="0" borderId="0"/>
    <xf numFmtId="348" fontId="40" fillId="0" borderId="0" applyFill="0" applyProtection="0"/>
    <xf numFmtId="349" fontId="18" fillId="0" borderId="0" applyFont="0" applyFill="0" applyBorder="0" applyAlignment="0" applyProtection="0"/>
    <xf numFmtId="0" fontId="18" fillId="0" borderId="0"/>
    <xf numFmtId="0" fontId="18" fillId="0" borderId="0"/>
    <xf numFmtId="0" fontId="11" fillId="0" borderId="0"/>
    <xf numFmtId="0" fontId="11" fillId="0" borderId="0"/>
    <xf numFmtId="9" fontId="11" fillId="0" borderId="0" applyFont="0" applyFill="0" applyBorder="0" applyAlignment="0" applyProtection="0"/>
    <xf numFmtId="0" fontId="11" fillId="0" borderId="0"/>
    <xf numFmtId="44" fontId="11"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8" fillId="0" borderId="0"/>
    <xf numFmtId="0" fontId="10" fillId="0" borderId="0"/>
    <xf numFmtId="0" fontId="10" fillId="0" borderId="0"/>
    <xf numFmtId="9"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2"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18"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7" fillId="0" borderId="0"/>
    <xf numFmtId="9"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42"/>
    <xf numFmtId="167" fontId="18" fillId="0" borderId="42"/>
    <xf numFmtId="167" fontId="18" fillId="0" borderId="42"/>
    <xf numFmtId="167" fontId="18" fillId="0" borderId="42"/>
    <xf numFmtId="167" fontId="18" fillId="0" borderId="42"/>
    <xf numFmtId="0" fontId="6" fillId="0" borderId="0"/>
    <xf numFmtId="9" fontId="6" fillId="0" borderId="0" applyFont="0" applyFill="0" applyBorder="0" applyAlignment="0" applyProtection="0"/>
    <xf numFmtId="43" fontId="6" fillId="0" borderId="0" applyFont="0" applyFill="0" applyBorder="0" applyAlignment="0" applyProtection="0"/>
    <xf numFmtId="0" fontId="18"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2" fontId="82" fillId="0" borderId="0" applyFont="0" applyFill="0" applyBorder="0" applyAlignment="0" applyProtection="0">
      <alignment horizontal="right"/>
    </xf>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1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1" fontId="22" fillId="0" borderId="40" applyFill="0"/>
    <xf numFmtId="171" fontId="22" fillId="0" borderId="40" applyFill="0"/>
    <xf numFmtId="171" fontId="18" fillId="0" borderId="40" applyFill="0"/>
    <xf numFmtId="171" fontId="18" fillId="0" borderId="40" applyFill="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2"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58" fillId="56" borderId="46" applyBorder="0"/>
    <xf numFmtId="0" fontId="58" fillId="56" borderId="46" applyBorder="0"/>
    <xf numFmtId="9" fontId="96" fillId="6" borderId="46">
      <alignment horizontal="center"/>
    </xf>
    <xf numFmtId="9" fontId="96" fillId="6" borderId="46">
      <alignment horizontal="center"/>
    </xf>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40"/>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8"/>
    <xf numFmtId="167" fontId="18" fillId="0" borderId="40"/>
    <xf numFmtId="167" fontId="18" fillId="0" borderId="40"/>
    <xf numFmtId="167" fontId="18" fillId="0" borderId="40"/>
    <xf numFmtId="167" fontId="18" fillId="0" borderId="40"/>
    <xf numFmtId="167" fontId="18" fillId="0" borderId="40"/>
    <xf numFmtId="0" fontId="18"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167" fontId="18" fillId="0" borderId="55"/>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16" fontId="106" fillId="6" borderId="71" applyAlignment="0">
      <alignment vertical="center"/>
      <protection locked="0"/>
    </xf>
    <xf numFmtId="216" fontId="106" fillId="71" borderId="71" applyAlignment="0">
      <alignment vertical="center"/>
      <protection locked="0"/>
    </xf>
    <xf numFmtId="216" fontId="113" fillId="72" borderId="71" applyNumberFormat="0" applyAlignment="0">
      <alignment vertical="center"/>
    </xf>
    <xf numFmtId="216" fontId="26" fillId="21" borderId="71" applyAlignment="0">
      <alignment vertical="center"/>
    </xf>
    <xf numFmtId="238" fontId="106" fillId="12" borderId="71" applyAlignment="0">
      <alignment vertical="center"/>
    </xf>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238" fontId="26" fillId="0" borderId="71" applyAlignment="0">
      <alignment vertical="center"/>
    </xf>
    <xf numFmtId="0" fontId="77" fillId="21"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216" fontId="26" fillId="54" borderId="71" applyNumberFormat="0" applyFont="0" applyAlignment="0" applyProtection="0">
      <alignment vertical="center"/>
    </xf>
    <xf numFmtId="0" fontId="2" fillId="2" borderId="0" applyNumberFormat="0" applyBorder="0" applyAlignment="0" applyProtection="0"/>
    <xf numFmtId="0" fontId="2" fillId="2" borderId="0" applyNumberFormat="0" applyBorder="0" applyAlignment="0" applyProtection="0"/>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9" fontId="96" fillId="6" borderId="46">
      <alignment horizontal="center"/>
    </xf>
    <xf numFmtId="9" fontId="96" fillId="6" borderId="46">
      <alignment horizontal="center"/>
    </xf>
    <xf numFmtId="0" fontId="58" fillId="56" borderId="46" applyBorder="0"/>
    <xf numFmtId="0" fontId="58" fillId="56" borderId="46" applyBorder="0"/>
    <xf numFmtId="167" fontId="18" fillId="0" borderId="55"/>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57" applyFill="0"/>
    <xf numFmtId="171" fontId="22" fillId="0" borderId="57" applyFill="0"/>
    <xf numFmtId="171" fontId="22" fillId="0" borderId="57" applyFill="0"/>
    <xf numFmtId="171" fontId="22" fillId="0" borderId="57" applyFill="0"/>
    <xf numFmtId="171" fontId="18" fillId="0" borderId="55" applyFill="0"/>
    <xf numFmtId="171" fontId="18" fillId="0" borderId="55" applyFill="0"/>
    <xf numFmtId="171" fontId="18" fillId="0" borderId="55" applyFill="0"/>
    <xf numFmtId="171" fontId="18" fillId="0" borderId="55"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2" fillId="0" borderId="55" applyFill="0"/>
    <xf numFmtId="171" fontId="22" fillId="0" borderId="55" applyFill="0"/>
    <xf numFmtId="171" fontId="18" fillId="0" borderId="55" applyFill="0"/>
    <xf numFmtId="171" fontId="18" fillId="0" borderId="55" applyFill="0"/>
    <xf numFmtId="0" fontId="58" fillId="56" borderId="46" applyBorder="0"/>
    <xf numFmtId="0" fontId="58" fillId="56" borderId="46" applyBorder="0"/>
    <xf numFmtId="9" fontId="96" fillId="6" borderId="46">
      <alignment horizontal="center"/>
    </xf>
    <xf numFmtId="9" fontId="96" fillId="6" borderId="46">
      <alignment horizontal="center"/>
    </xf>
    <xf numFmtId="43" fontId="2" fillId="0" borderId="0" applyFont="0" applyFill="0" applyBorder="0" applyAlignment="0" applyProtection="0"/>
    <xf numFmtId="43" fontId="2"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96" fillId="6" borderId="59">
      <alignment horizontal="center"/>
    </xf>
    <xf numFmtId="9" fontId="96" fillId="6" borderId="59">
      <alignment horizont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8" fillId="0" borderId="55"/>
    <xf numFmtId="171" fontId="22" fillId="0" borderId="55" applyFill="0"/>
    <xf numFmtId="171" fontId="22" fillId="0" borderId="55" applyFill="0"/>
    <xf numFmtId="171" fontId="18" fillId="0" borderId="55" applyFill="0"/>
    <xf numFmtId="171" fontId="18" fillId="0" borderId="55" applyFill="0"/>
    <xf numFmtId="0" fontId="58" fillId="56" borderId="59" applyBorder="0"/>
    <xf numFmtId="0" fontId="58" fillId="56" borderId="59" applyBorder="0"/>
    <xf numFmtId="167" fontId="18" fillId="0" borderId="55"/>
    <xf numFmtId="167" fontId="18" fillId="0" borderId="55"/>
    <xf numFmtId="167" fontId="18" fillId="0" borderId="55"/>
    <xf numFmtId="167" fontId="18" fillId="0" borderId="5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70" applyFill="0"/>
    <xf numFmtId="171" fontId="22" fillId="0" borderId="70" applyFill="0"/>
    <xf numFmtId="171" fontId="22" fillId="0" borderId="70" applyFill="0"/>
    <xf numFmtId="171" fontId="22" fillId="0" borderId="70" applyFill="0"/>
    <xf numFmtId="171" fontId="18" fillId="0" borderId="55" applyFill="0"/>
    <xf numFmtId="171" fontId="18" fillId="0" borderId="55" applyFill="0"/>
    <xf numFmtId="171" fontId="18" fillId="0" borderId="55" applyFill="0"/>
    <xf numFmtId="171" fontId="18" fillId="0" borderId="55"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55"/>
    <xf numFmtId="167" fontId="18" fillId="0" borderId="55"/>
    <xf numFmtId="167" fontId="18" fillId="0" borderId="55"/>
    <xf numFmtId="167" fontId="18" fillId="0" borderId="55"/>
    <xf numFmtId="167" fontId="18" fillId="0" borderId="55"/>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18" fillId="0" borderId="68"/>
    <xf numFmtId="167" fontId="18" fillId="0" borderId="68"/>
    <xf numFmtId="167" fontId="18" fillId="0" borderId="68"/>
    <xf numFmtId="43" fontId="2" fillId="0" borderId="0" applyFont="0" applyFill="0" applyBorder="0" applyAlignment="0" applyProtection="0"/>
    <xf numFmtId="43" fontId="2" fillId="0" borderId="0" applyFont="0" applyFill="0" applyBorder="0" applyAlignment="0" applyProtection="0"/>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71" fontId="155" fillId="0" borderId="69">
      <alignment vertical="center"/>
    </xf>
    <xf numFmtId="9" fontId="96" fillId="6" borderId="59">
      <alignment horizontal="center"/>
    </xf>
    <xf numFmtId="9" fontId="96" fillId="6" borderId="5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56" borderId="59" applyBorder="0"/>
    <xf numFmtId="0" fontId="58" fillId="56" borderId="59" applyBorder="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8" fillId="0" borderId="0" applyFont="0" applyFill="0" applyBorder="0" applyAlignment="0" applyProtection="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18"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7" fontId="18" fillId="0" borderId="68"/>
    <xf numFmtId="167" fontId="18" fillId="0" borderId="68"/>
    <xf numFmtId="167" fontId="18" fillId="0" borderId="68"/>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30" fillId="0" borderId="71" applyNumberFormat="0" applyFont="0" applyFill="0" applyAlignment="0" applyProtection="0"/>
    <xf numFmtId="0" fontId="30" fillId="0" borderId="71"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216" fontId="26" fillId="17" borderId="71" applyAlignment="0">
      <alignment vertical="center"/>
    </xf>
    <xf numFmtId="216" fontId="26" fillId="17" borderId="71" applyAlignment="0">
      <alignment vertical="center"/>
    </xf>
    <xf numFmtId="346" fontId="26" fillId="17" borderId="71" applyAlignment="0">
      <alignment vertical="center"/>
    </xf>
    <xf numFmtId="49" fontId="26" fillId="17" borderId="71" applyAlignment="0">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8" fillId="0" borderId="0"/>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155" fillId="0" borderId="56">
      <alignment vertical="center"/>
    </xf>
    <xf numFmtId="43" fontId="1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0" fontId="1" fillId="2" borderId="0" applyNumberFormat="0" applyBorder="0" applyAlignment="0" applyProtection="0"/>
    <xf numFmtId="0" fontId="1" fillId="2" borderId="0" applyNumberFormat="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9" fontId="96" fillId="6" borderId="59">
      <alignment horizontal="center"/>
    </xf>
    <xf numFmtId="9" fontId="96" fillId="6" borderId="59">
      <alignment horizontal="center"/>
    </xf>
    <xf numFmtId="0" fontId="58" fillId="56" borderId="59" applyBorder="0"/>
    <xf numFmtId="0" fontId="58" fillId="56" borderId="59" applyBorder="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68" applyFill="0"/>
    <xf numFmtId="171" fontId="22" fillId="0" borderId="68" applyFill="0"/>
    <xf numFmtId="171" fontId="18" fillId="0" borderId="68" applyFill="0"/>
    <xf numFmtId="171" fontId="18" fillId="0" borderId="68" applyFill="0"/>
    <xf numFmtId="0" fontId="58" fillId="56" borderId="59" applyBorder="0"/>
    <xf numFmtId="0" fontId="58" fillId="56" borderId="59" applyBorder="0"/>
    <xf numFmtId="9" fontId="96" fillId="6" borderId="59">
      <alignment horizontal="center"/>
    </xf>
    <xf numFmtId="9" fontId="96" fillId="6" borderId="59">
      <alignment horizontal="center"/>
    </xf>
    <xf numFmtId="43" fontId="1" fillId="0" borderId="0" applyFont="0" applyFill="0" applyBorder="0" applyAlignment="0" applyProtection="0"/>
    <xf numFmtId="43" fontId="1"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167" fontId="18" fillId="0" borderId="68"/>
    <xf numFmtId="167" fontId="18" fillId="0" borderId="68"/>
    <xf numFmtId="167" fontId="18" fillId="0" borderId="68"/>
    <xf numFmtId="167" fontId="18" fillId="0" borderId="68"/>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22" fillId="0" borderId="68" applyFill="0"/>
    <xf numFmtId="171" fontId="22" fillId="0" borderId="68" applyFill="0"/>
    <xf numFmtId="171" fontId="22" fillId="0" borderId="68" applyFill="0"/>
    <xf numFmtId="171" fontId="22" fillId="0" borderId="68" applyFill="0"/>
    <xf numFmtId="171" fontId="18" fillId="0" borderId="68" applyFill="0"/>
    <xf numFmtId="171" fontId="18" fillId="0" borderId="68" applyFill="0"/>
    <xf numFmtId="171" fontId="18" fillId="0" borderId="68" applyFill="0"/>
    <xf numFmtId="171" fontId="18" fillId="0" borderId="68" applyFill="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8" fillId="0" borderId="68"/>
    <xf numFmtId="171" fontId="155" fillId="0" borderId="69">
      <alignment vertical="center"/>
    </xf>
    <xf numFmtId="43" fontId="18" fillId="0" borderId="0" applyFont="0" applyFill="0" applyBorder="0" applyAlignment="0" applyProtection="0"/>
    <xf numFmtId="0" fontId="181" fillId="88" borderId="81" applyNumberFormat="0" applyAlignment="0" applyProtection="0"/>
    <xf numFmtId="171" fontId="155" fillId="0" borderId="69">
      <alignment vertical="center"/>
    </xf>
    <xf numFmtId="167" fontId="18" fillId="0" borderId="68"/>
    <xf numFmtId="43" fontId="1"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8" fillId="0" borderId="68"/>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40">
    <xf numFmtId="0" fontId="0" fillId="0" borderId="0" xfId="0"/>
    <xf numFmtId="0" fontId="163" fillId="0" borderId="0" xfId="8749" applyFont="1" applyFill="1" applyBorder="1"/>
    <xf numFmtId="0" fontId="163" fillId="0" borderId="0" xfId="8749" applyFont="1" applyFill="1" applyBorder="1" applyAlignment="1">
      <alignment horizontal="center"/>
    </xf>
    <xf numFmtId="0" fontId="163" fillId="0" borderId="0" xfId="8749" applyNumberFormat="1" applyFont="1" applyFill="1" applyBorder="1" applyAlignment="1">
      <alignment horizontal="center"/>
    </xf>
    <xf numFmtId="243" fontId="163" fillId="0" borderId="0" xfId="8749" applyNumberFormat="1" applyFont="1" applyFill="1" applyBorder="1" applyAlignment="1">
      <alignment horizontal="right"/>
    </xf>
    <xf numFmtId="305" fontId="163" fillId="0" borderId="0" xfId="8749" applyNumberFormat="1" applyFont="1" applyFill="1" applyBorder="1"/>
    <xf numFmtId="0" fontId="165" fillId="0" borderId="0" xfId="0" applyFont="1" applyFill="1" applyBorder="1" applyAlignment="1">
      <alignment horizontal="right" vertical="top" wrapText="1"/>
    </xf>
    <xf numFmtId="0" fontId="165" fillId="0" borderId="0" xfId="42" applyFont="1" applyFill="1" applyBorder="1" applyAlignment="1">
      <alignment horizontal="right"/>
    </xf>
    <xf numFmtId="1" fontId="165" fillId="0" borderId="0" xfId="42" applyNumberFormat="1" applyFont="1" applyFill="1" applyBorder="1" applyAlignment="1">
      <alignment horizontal="right"/>
    </xf>
    <xf numFmtId="0" fontId="165" fillId="0" borderId="0" xfId="42" applyFont="1" applyFill="1" applyBorder="1" applyAlignment="1">
      <alignment horizontal="left"/>
    </xf>
    <xf numFmtId="170" fontId="165" fillId="0" borderId="0" xfId="0" applyNumberFormat="1" applyFont="1" applyFill="1" applyBorder="1" applyAlignment="1">
      <alignment horizontal="right"/>
    </xf>
    <xf numFmtId="0" fontId="165" fillId="0" borderId="0" xfId="0" applyFont="1" applyFill="1" applyBorder="1"/>
    <xf numFmtId="0" fontId="165" fillId="0" borderId="0" xfId="0" applyFont="1" applyFill="1" applyBorder="1" applyAlignment="1">
      <alignment horizontal="left" vertical="center" wrapText="1"/>
    </xf>
    <xf numFmtId="1" fontId="165" fillId="0" borderId="0" xfId="0" applyNumberFormat="1" applyFont="1" applyFill="1" applyBorder="1" applyAlignment="1">
      <alignment horizontal="right" vertical="center" wrapText="1"/>
    </xf>
    <xf numFmtId="1" fontId="165" fillId="0" borderId="0" xfId="0" applyNumberFormat="1" applyFont="1" applyFill="1" applyBorder="1" applyAlignment="1">
      <alignment horizontal="right" vertical="top" wrapText="1"/>
    </xf>
    <xf numFmtId="0" fontId="165" fillId="0" borderId="0" xfId="0" applyFont="1" applyFill="1" applyBorder="1" applyAlignment="1">
      <alignment vertical="top" wrapText="1"/>
    </xf>
    <xf numFmtId="170" fontId="165" fillId="0" borderId="0" xfId="0" applyNumberFormat="1" applyFont="1" applyFill="1" applyBorder="1" applyAlignment="1">
      <alignment horizontal="right" vertical="center" wrapText="1"/>
    </xf>
    <xf numFmtId="1" fontId="165" fillId="0" borderId="0" xfId="4444" applyNumberFormat="1" applyFont="1" applyFill="1" applyBorder="1" applyAlignment="1">
      <alignment horizontal="right"/>
    </xf>
    <xf numFmtId="3" fontId="165" fillId="0" borderId="0" xfId="0" applyNumberFormat="1" applyFont="1" applyFill="1" applyBorder="1" applyAlignment="1">
      <alignment horizontal="center" vertical="center" wrapText="1"/>
    </xf>
    <xf numFmtId="0" fontId="165" fillId="0" borderId="0" xfId="42" applyFont="1" applyFill="1"/>
    <xf numFmtId="1" fontId="165" fillId="0" borderId="0" xfId="42" applyNumberFormat="1" applyFont="1" applyFill="1"/>
    <xf numFmtId="1" fontId="165" fillId="0" borderId="0" xfId="2" applyNumberFormat="1" applyFont="1" applyFill="1" applyBorder="1" applyAlignment="1">
      <alignment horizontal="right" shrinkToFit="1"/>
    </xf>
    <xf numFmtId="1" fontId="165" fillId="0" borderId="0" xfId="2" applyNumberFormat="1" applyFont="1" applyFill="1" applyBorder="1" applyAlignment="1">
      <alignment horizontal="right"/>
    </xf>
    <xf numFmtId="0" fontId="167" fillId="0" borderId="0" xfId="8749" applyFont="1" applyFill="1" applyBorder="1"/>
    <xf numFmtId="2" fontId="163" fillId="0" borderId="0" xfId="4668" applyNumberFormat="1" applyFont="1" applyFill="1"/>
    <xf numFmtId="2" fontId="163" fillId="0" borderId="0" xfId="4668" applyNumberFormat="1" applyFont="1" applyFill="1" applyBorder="1"/>
    <xf numFmtId="305" fontId="163" fillId="0" borderId="0" xfId="4668" applyNumberFormat="1" applyFont="1" applyFill="1" applyAlignment="1">
      <alignment horizontal="right"/>
    </xf>
    <xf numFmtId="0" fontId="165" fillId="0" borderId="0" xfId="0" applyFont="1" applyFill="1" applyBorder="1" applyAlignment="1">
      <alignment vertical="top"/>
    </xf>
    <xf numFmtId="0" fontId="166" fillId="0" borderId="0" xfId="0" applyFont="1" applyFill="1" applyBorder="1" applyAlignment="1"/>
    <xf numFmtId="3" fontId="165" fillId="0" borderId="0" xfId="0" applyNumberFormat="1" applyFont="1" applyFill="1" applyBorder="1" applyAlignment="1">
      <alignment horizontal="left" vertical="top"/>
    </xf>
    <xf numFmtId="0" fontId="165" fillId="0" borderId="0" xfId="0" applyFont="1" applyFill="1" applyBorder="1" applyAlignment="1">
      <alignment horizontal="left"/>
    </xf>
    <xf numFmtId="0" fontId="165" fillId="0" borderId="0" xfId="0" applyFont="1" applyFill="1" applyBorder="1" applyAlignment="1">
      <alignment horizontal="right"/>
    </xf>
    <xf numFmtId="0" fontId="166" fillId="0" borderId="0" xfId="0" applyFont="1" applyFill="1" applyBorder="1" applyAlignment="1">
      <alignment horizontal="right"/>
    </xf>
    <xf numFmtId="1" fontId="165" fillId="0" borderId="0" xfId="0" applyNumberFormat="1" applyFont="1" applyFill="1" applyBorder="1" applyAlignment="1">
      <alignment horizontal="right"/>
    </xf>
    <xf numFmtId="0" fontId="166" fillId="0" borderId="0" xfId="0" applyFont="1" applyFill="1" applyBorder="1" applyAlignment="1">
      <alignment horizontal="left"/>
    </xf>
    <xf numFmtId="0" fontId="165" fillId="0" borderId="0" xfId="0" applyFont="1" applyFill="1" applyBorder="1" applyAlignment="1"/>
    <xf numFmtId="1" fontId="165" fillId="0" borderId="0" xfId="0" applyNumberFormat="1" applyFont="1" applyFill="1" applyBorder="1" applyAlignment="1">
      <alignment horizontal="right" vertical="center"/>
    </xf>
    <xf numFmtId="3" fontId="165" fillId="0" borderId="0" xfId="0" applyNumberFormat="1" applyFont="1" applyFill="1" applyBorder="1" applyAlignment="1">
      <alignment horizontal="center" vertical="top"/>
    </xf>
    <xf numFmtId="1" fontId="166" fillId="0" borderId="0" xfId="0" applyNumberFormat="1" applyFont="1" applyFill="1" applyBorder="1" applyAlignment="1">
      <alignment horizontal="right"/>
    </xf>
    <xf numFmtId="1" fontId="166" fillId="0" borderId="0" xfId="0" applyNumberFormat="1" applyFont="1" applyFill="1" applyBorder="1" applyAlignment="1">
      <alignment horizontal="right" vertical="center"/>
    </xf>
    <xf numFmtId="0" fontId="166" fillId="0" borderId="0" xfId="0" applyFont="1" applyFill="1" applyBorder="1" applyAlignment="1">
      <alignment horizontal="center"/>
    </xf>
    <xf numFmtId="1" fontId="165" fillId="0" borderId="0" xfId="0" applyNumberFormat="1" applyFont="1" applyFill="1" applyBorder="1" applyAlignment="1"/>
    <xf numFmtId="1" fontId="165" fillId="0" borderId="0" xfId="0" applyNumberFormat="1" applyFont="1" applyFill="1" applyBorder="1" applyAlignment="1">
      <alignment vertical="top"/>
    </xf>
    <xf numFmtId="1" fontId="165" fillId="0" borderId="0" xfId="0" applyNumberFormat="1" applyFont="1" applyFill="1" applyBorder="1" applyAlignment="1">
      <alignment vertical="center"/>
    </xf>
    <xf numFmtId="1" fontId="165" fillId="0" borderId="0" xfId="2" applyNumberFormat="1" applyFont="1" applyFill="1" applyBorder="1" applyAlignment="1"/>
    <xf numFmtId="1" fontId="165" fillId="0" borderId="0" xfId="2" applyNumberFormat="1" applyFont="1" applyFill="1" applyBorder="1" applyAlignment="1">
      <alignment vertical="center"/>
    </xf>
    <xf numFmtId="1" fontId="165" fillId="0" borderId="0" xfId="4441" applyNumberFormat="1" applyFont="1" applyFill="1" applyBorder="1" applyAlignment="1">
      <alignment shrinkToFit="1"/>
    </xf>
    <xf numFmtId="305" fontId="165" fillId="0" borderId="0" xfId="0" applyNumberFormat="1" applyFont="1" applyFill="1" applyBorder="1" applyAlignment="1">
      <alignment horizontal="right"/>
    </xf>
    <xf numFmtId="1" fontId="165" fillId="0" borderId="70" xfId="2" applyNumberFormat="1" applyFont="1" applyFill="1" applyBorder="1" applyAlignment="1"/>
    <xf numFmtId="1" fontId="165" fillId="0" borderId="70" xfId="0" applyNumberFormat="1" applyFont="1" applyFill="1" applyBorder="1" applyAlignment="1">
      <alignment horizontal="right"/>
    </xf>
    <xf numFmtId="1" fontId="165" fillId="0" borderId="70" xfId="0" applyNumberFormat="1" applyFont="1" applyFill="1" applyBorder="1" applyAlignment="1">
      <alignment horizontal="right" vertical="top" wrapText="1"/>
    </xf>
    <xf numFmtId="166" fontId="165" fillId="0" borderId="0" xfId="11" applyNumberFormat="1" applyFont="1" applyFill="1" applyBorder="1" applyAlignment="1">
      <alignment horizontal="right" vertical="center"/>
    </xf>
    <xf numFmtId="305" fontId="163" fillId="0" borderId="0" xfId="15297" applyNumberFormat="1" applyFont="1" applyFill="1" applyBorder="1"/>
    <xf numFmtId="3" fontId="165" fillId="0" borderId="0" xfId="0" applyNumberFormat="1" applyFont="1" applyFill="1" applyBorder="1" applyAlignment="1">
      <alignment vertical="top"/>
    </xf>
    <xf numFmtId="171" fontId="165" fillId="0" borderId="0" xfId="15" applyNumberFormat="1" applyFont="1" applyFill="1" applyBorder="1" applyAlignment="1">
      <alignment vertical="center" wrapText="1"/>
    </xf>
    <xf numFmtId="0" fontId="165" fillId="0" borderId="0" xfId="15" applyFont="1" applyFill="1" applyBorder="1" applyAlignment="1">
      <alignment vertical="top" wrapText="1"/>
    </xf>
    <xf numFmtId="1" fontId="163" fillId="0" borderId="0" xfId="4668" applyNumberFormat="1" applyFont="1" applyFill="1" applyBorder="1" applyAlignment="1">
      <alignment horizontal="right"/>
    </xf>
    <xf numFmtId="0" fontId="169" fillId="0" borderId="0" xfId="0" applyFont="1" applyFill="1" applyBorder="1" applyAlignment="1">
      <alignment horizontal="left"/>
    </xf>
    <xf numFmtId="0" fontId="170" fillId="0" borderId="0" xfId="8749" applyFont="1" applyFill="1" applyBorder="1"/>
    <xf numFmtId="1" fontId="165" fillId="0" borderId="70" xfId="0" applyNumberFormat="1" applyFont="1" applyFill="1" applyBorder="1" applyAlignment="1">
      <alignment horizontal="right" vertical="center" wrapText="1"/>
    </xf>
    <xf numFmtId="1" fontId="165" fillId="0" borderId="44" xfId="42" applyNumberFormat="1" applyFont="1" applyFill="1" applyBorder="1"/>
    <xf numFmtId="0" fontId="166" fillId="0" borderId="0" xfId="0" applyFont="1" applyFill="1" applyBorder="1" applyAlignment="1">
      <alignment horizontal="left" vertical="center"/>
    </xf>
    <xf numFmtId="0" fontId="166" fillId="0" borderId="0" xfId="0" applyFont="1" applyFill="1" applyBorder="1"/>
    <xf numFmtId="0" fontId="18" fillId="0" borderId="0" xfId="0" applyFont="1"/>
    <xf numFmtId="1" fontId="165" fillId="0" borderId="0" xfId="15" applyNumberFormat="1" applyFont="1" applyFill="1" applyBorder="1" applyAlignment="1">
      <alignment horizontal="right" vertical="center" wrapText="1"/>
    </xf>
    <xf numFmtId="1" fontId="163" fillId="0" borderId="0" xfId="4668" applyNumberFormat="1" applyFont="1" applyFill="1"/>
    <xf numFmtId="1" fontId="163" fillId="0" borderId="0" xfId="4668" applyNumberFormat="1" applyFont="1" applyFill="1" applyAlignment="1">
      <alignment horizontal="right"/>
    </xf>
    <xf numFmtId="1" fontId="165" fillId="0" borderId="0" xfId="1" applyNumberFormat="1" applyFont="1" applyFill="1" applyBorder="1" applyAlignment="1">
      <alignment horizontal="right"/>
    </xf>
    <xf numFmtId="1" fontId="165" fillId="0" borderId="0" xfId="0" applyNumberFormat="1" applyFont="1" applyFill="1" applyBorder="1" applyAlignment="1">
      <alignment horizontal="left"/>
    </xf>
    <xf numFmtId="1" fontId="165" fillId="0" borderId="0" xfId="4" applyNumberFormat="1" applyFont="1" applyFill="1" applyBorder="1" applyAlignment="1">
      <alignment horizontal="right"/>
    </xf>
    <xf numFmtId="305" fontId="163" fillId="0" borderId="0" xfId="4" applyNumberFormat="1" applyFont="1" applyFill="1" applyAlignment="1">
      <alignment horizontal="right"/>
    </xf>
    <xf numFmtId="1" fontId="164" fillId="0" borderId="0" xfId="4668" applyNumberFormat="1" applyFont="1" applyFill="1" applyBorder="1"/>
    <xf numFmtId="1" fontId="163" fillId="0" borderId="0" xfId="4668" applyNumberFormat="1" applyFont="1" applyFill="1" applyBorder="1"/>
    <xf numFmtId="1" fontId="163" fillId="0" borderId="0" xfId="4" applyNumberFormat="1" applyFont="1" applyFill="1" applyBorder="1" applyAlignment="1">
      <alignment horizontal="right"/>
    </xf>
    <xf numFmtId="1" fontId="163" fillId="0" borderId="0" xfId="8749" applyNumberFormat="1" applyFont="1" applyFill="1" applyBorder="1" applyAlignment="1">
      <alignment horizontal="center"/>
    </xf>
    <xf numFmtId="1" fontId="163" fillId="0" borderId="0" xfId="8749" applyNumberFormat="1" applyFont="1" applyFill="1" applyBorder="1"/>
    <xf numFmtId="1" fontId="165" fillId="0" borderId="0" xfId="4" applyNumberFormat="1" applyFont="1" applyFill="1" applyBorder="1"/>
    <xf numFmtId="1" fontId="165" fillId="0" borderId="0" xfId="4262" applyNumberFormat="1" applyFont="1" applyFill="1" applyBorder="1"/>
    <xf numFmtId="1" fontId="165" fillId="0" borderId="0" xfId="10" applyNumberFormat="1" applyFont="1" applyFill="1" applyBorder="1" applyAlignment="1">
      <alignment horizontal="right"/>
    </xf>
    <xf numFmtId="1" fontId="163" fillId="0" borderId="0" xfId="8749" applyNumberFormat="1" applyFont="1" applyFill="1" applyBorder="1" applyAlignment="1">
      <alignment horizontal="right"/>
    </xf>
    <xf numFmtId="1" fontId="170" fillId="0" borderId="0" xfId="8749" applyNumberFormat="1" applyFont="1" applyFill="1" applyBorder="1" applyAlignment="1">
      <alignment horizontal="center"/>
    </xf>
    <xf numFmtId="170" fontId="165" fillId="0" borderId="0" xfId="4" applyNumberFormat="1" applyFont="1" applyFill="1" applyBorder="1" applyAlignment="1">
      <alignment horizontal="right"/>
    </xf>
    <xf numFmtId="1"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top" wrapText="1"/>
    </xf>
    <xf numFmtId="170" fontId="165" fillId="0" borderId="0" xfId="1" applyNumberFormat="1" applyFont="1" applyFill="1" applyBorder="1" applyAlignment="1">
      <alignment horizontal="right"/>
    </xf>
    <xf numFmtId="170" fontId="163" fillId="0" borderId="0" xfId="4" applyNumberFormat="1" applyFont="1" applyFill="1" applyBorder="1" applyAlignment="1">
      <alignment horizontal="right"/>
    </xf>
    <xf numFmtId="165" fontId="165" fillId="0" borderId="0" xfId="1" applyFont="1" applyFill="1" applyBorder="1" applyAlignment="1">
      <alignment horizontal="right"/>
    </xf>
    <xf numFmtId="165" fontId="165" fillId="0" borderId="0" xfId="1" applyFont="1" applyFill="1" applyBorder="1" applyAlignment="1">
      <alignment vertical="top"/>
    </xf>
    <xf numFmtId="165" fontId="165" fillId="0" borderId="0" xfId="1" applyFont="1" applyFill="1" applyBorder="1" applyAlignment="1">
      <alignment horizontal="right" shrinkToFit="1"/>
    </xf>
    <xf numFmtId="165" fontId="165" fillId="0" borderId="0" xfId="1" applyFont="1" applyFill="1" applyBorder="1" applyAlignment="1"/>
    <xf numFmtId="243" fontId="165" fillId="0" borderId="0" xfId="0" applyNumberFormat="1" applyFont="1" applyFill="1" applyBorder="1" applyAlignment="1">
      <alignment horizontal="right"/>
    </xf>
    <xf numFmtId="0" fontId="159" fillId="54" borderId="0" xfId="16628" applyFont="1" applyFill="1"/>
    <xf numFmtId="0" fontId="48" fillId="0" borderId="0" xfId="16628" applyFont="1" applyFill="1"/>
    <xf numFmtId="0" fontId="171" fillId="81" borderId="73" xfId="16628" applyFont="1" applyFill="1" applyBorder="1" applyAlignment="1">
      <alignment horizontal="center"/>
    </xf>
    <xf numFmtId="0" fontId="172" fillId="0" borderId="75" xfId="16628" applyFont="1" applyFill="1" applyBorder="1" applyAlignment="1">
      <alignment horizontal="center"/>
    </xf>
    <xf numFmtId="0" fontId="172" fillId="0" borderId="0" xfId="16628" applyFont="1" applyFill="1"/>
    <xf numFmtId="0" fontId="171" fillId="81" borderId="76" xfId="16628" applyFont="1" applyFill="1" applyBorder="1" applyAlignment="1">
      <alignment horizontal="center"/>
    </xf>
    <xf numFmtId="0" fontId="172" fillId="0" borderId="77" xfId="16628" applyFont="1" applyFill="1" applyBorder="1" applyAlignment="1">
      <alignment horizontal="center"/>
    </xf>
    <xf numFmtId="0" fontId="171" fillId="81" borderId="78" xfId="16628" applyFont="1" applyFill="1" applyBorder="1" applyAlignment="1">
      <alignment horizontal="center"/>
    </xf>
    <xf numFmtId="0" fontId="172" fillId="0" borderId="79" xfId="16628" applyFont="1" applyFill="1" applyBorder="1" applyAlignment="1">
      <alignment horizontal="center"/>
    </xf>
    <xf numFmtId="0" fontId="171" fillId="0" borderId="0" xfId="16628" applyFont="1" applyFill="1"/>
    <xf numFmtId="0" fontId="173" fillId="82" borderId="0" xfId="16628" applyFont="1" applyFill="1"/>
    <xf numFmtId="0" fontId="174" fillId="82" borderId="0" xfId="16628" applyFont="1" applyFill="1"/>
    <xf numFmtId="0" fontId="175" fillId="82" borderId="0" xfId="16628" applyFont="1" applyFill="1" applyAlignment="1">
      <alignment horizontal="center"/>
    </xf>
    <xf numFmtId="0" fontId="48" fillId="0" borderId="0" xfId="16628" applyFont="1" applyFill="1" applyAlignment="1">
      <alignment horizontal="right"/>
    </xf>
    <xf numFmtId="0" fontId="176" fillId="0" borderId="0" xfId="16628" applyFont="1" applyFill="1"/>
    <xf numFmtId="0" fontId="176" fillId="0" borderId="0" xfId="16628" applyFont="1" applyFill="1" applyAlignment="1">
      <alignment horizontal="center"/>
    </xf>
    <xf numFmtId="350" fontId="48" fillId="83" borderId="7" xfId="16628" applyNumberFormat="1" applyFont="1" applyFill="1" applyBorder="1" applyAlignment="1">
      <alignment horizontal="right"/>
    </xf>
    <xf numFmtId="170" fontId="48" fillId="84" borderId="7" xfId="16628" applyNumberFormat="1" applyFont="1" applyFill="1" applyBorder="1"/>
    <xf numFmtId="350" fontId="48" fillId="84" borderId="7" xfId="16628" applyNumberFormat="1" applyFont="1" applyFill="1" applyBorder="1" applyAlignment="1">
      <alignment horizontal="right"/>
    </xf>
    <xf numFmtId="350" fontId="48" fillId="80" borderId="7" xfId="16628" applyNumberFormat="1" applyFont="1" applyFill="1" applyBorder="1" applyAlignment="1">
      <alignment horizontal="right"/>
    </xf>
    <xf numFmtId="167" fontId="22" fillId="0" borderId="0" xfId="10" applyNumberFormat="1" applyFont="1" applyFill="1"/>
    <xf numFmtId="2" fontId="48" fillId="0" borderId="0" xfId="16628" applyNumberFormat="1" applyFont="1" applyFill="1"/>
    <xf numFmtId="0" fontId="175" fillId="86" borderId="0" xfId="16628" applyFont="1" applyFill="1"/>
    <xf numFmtId="2" fontId="175" fillId="86" borderId="0" xfId="16628" applyNumberFormat="1" applyFont="1" applyFill="1"/>
    <xf numFmtId="184" fontId="48" fillId="0" borderId="0" xfId="16629" applyNumberFormat="1" applyFont="1" applyFill="1"/>
    <xf numFmtId="0" fontId="48" fillId="87" borderId="0" xfId="16628" applyFont="1" applyFill="1"/>
    <xf numFmtId="0" fontId="177" fillId="0" borderId="0" xfId="16628" applyFont="1" applyFill="1"/>
    <xf numFmtId="0" fontId="171" fillId="0" borderId="0" xfId="16628" applyFont="1" applyFill="1" applyAlignment="1">
      <alignment horizontal="right"/>
    </xf>
    <xf numFmtId="0" fontId="178" fillId="0" borderId="0" xfId="16628" applyFont="1" applyFill="1"/>
    <xf numFmtId="305" fontId="48" fillId="0" borderId="0" xfId="16628" applyNumberFormat="1" applyFont="1" applyFill="1"/>
    <xf numFmtId="0" fontId="48" fillId="85" borderId="0" xfId="16628" applyFont="1" applyFill="1"/>
    <xf numFmtId="1" fontId="48" fillId="0" borderId="0" xfId="16628" applyNumberFormat="1" applyFont="1" applyFill="1"/>
    <xf numFmtId="0" fontId="179" fillId="82" borderId="0" xfId="16628" applyFont="1" applyFill="1"/>
    <xf numFmtId="305" fontId="48" fillId="85" borderId="0" xfId="16628" applyNumberFormat="1" applyFont="1" applyFill="1"/>
    <xf numFmtId="2" fontId="48" fillId="85" borderId="0" xfId="16628" applyNumberFormat="1" applyFont="1" applyFill="1"/>
    <xf numFmtId="0" fontId="180" fillId="87" borderId="0" xfId="16628" applyFont="1" applyFill="1"/>
    <xf numFmtId="351" fontId="48" fillId="85" borderId="0" xfId="16628" applyNumberFormat="1" applyFont="1" applyFill="1"/>
    <xf numFmtId="351" fontId="172" fillId="80" borderId="77" xfId="16628" applyNumberFormat="1" applyFont="1" applyFill="1" applyBorder="1" applyAlignment="1">
      <alignment horizontal="center"/>
    </xf>
    <xf numFmtId="352" fontId="48" fillId="0" borderId="0" xfId="16628" applyNumberFormat="1" applyFont="1" applyFill="1"/>
    <xf numFmtId="170" fontId="48" fillId="85" borderId="0" xfId="16628" applyNumberFormat="1" applyFont="1" applyFill="1"/>
    <xf numFmtId="352" fontId="48" fillId="85" borderId="0" xfId="16628" applyNumberFormat="1" applyFont="1" applyFill="1"/>
    <xf numFmtId="2" fontId="163" fillId="0" borderId="0" xfId="4668" applyNumberFormat="1" applyFont="1" applyFill="1" applyAlignment="1"/>
    <xf numFmtId="0" fontId="165" fillId="0" borderId="0" xfId="15" applyFont="1" applyFill="1" applyBorder="1" applyAlignment="1">
      <alignment vertical="center" wrapText="1"/>
    </xf>
    <xf numFmtId="1" fontId="165" fillId="0" borderId="0" xfId="15" applyNumberFormat="1" applyFont="1" applyFill="1" applyBorder="1" applyAlignment="1">
      <alignment horizontal="right" vertical="top" wrapText="1"/>
    </xf>
    <xf numFmtId="0" fontId="165" fillId="0" borderId="0" xfId="0" applyFont="1" applyFill="1"/>
    <xf numFmtId="1" fontId="165" fillId="0" borderId="0" xfId="0" applyNumberFormat="1" applyFont="1" applyFill="1"/>
    <xf numFmtId="2" fontId="164" fillId="0" borderId="0" xfId="4668" applyNumberFormat="1" applyFont="1" applyFill="1" applyBorder="1"/>
    <xf numFmtId="1" fontId="164" fillId="0" borderId="0" xfId="4668" applyNumberFormat="1" applyFont="1" applyFill="1" applyBorder="1" applyAlignment="1">
      <alignment horizontal="right"/>
    </xf>
    <xf numFmtId="0" fontId="164" fillId="0" borderId="0" xfId="8749" applyFont="1" applyFill="1" applyBorder="1"/>
    <xf numFmtId="0" fontId="166" fillId="0" borderId="0" xfId="0" applyFont="1" applyFill="1"/>
    <xf numFmtId="170" fontId="165" fillId="0" borderId="80" xfId="0" applyNumberFormat="1" applyFont="1" applyFill="1" applyBorder="1" applyAlignment="1">
      <alignment horizontal="right" vertical="center" wrapText="1"/>
    </xf>
    <xf numFmtId="0" fontId="163" fillId="0" borderId="0" xfId="15297" applyFont="1" applyFill="1" applyBorder="1"/>
    <xf numFmtId="0" fontId="164" fillId="0" borderId="0" xfId="15297" applyFont="1" applyFill="1" applyBorder="1"/>
    <xf numFmtId="0" fontId="159" fillId="54" borderId="0" xfId="0" applyFont="1" applyFill="1"/>
    <xf numFmtId="0" fontId="48" fillId="0" borderId="0" xfId="0" applyFont="1" applyFill="1"/>
    <xf numFmtId="0" fontId="171" fillId="81" borderId="73" xfId="0" applyFont="1" applyFill="1" applyBorder="1" applyAlignment="1">
      <alignment horizontal="center"/>
    </xf>
    <xf numFmtId="0" fontId="171" fillId="81" borderId="74" xfId="0" applyFont="1" applyFill="1" applyBorder="1" applyAlignment="1">
      <alignment horizontal="center"/>
    </xf>
    <xf numFmtId="0" fontId="172" fillId="0" borderId="75" xfId="0" applyFont="1" applyFill="1" applyBorder="1" applyAlignment="1">
      <alignment horizontal="center"/>
    </xf>
    <xf numFmtId="0" fontId="172" fillId="0" borderId="0" xfId="0" applyFont="1" applyFill="1"/>
    <xf numFmtId="0" fontId="171" fillId="81" borderId="76" xfId="0" applyFont="1" applyFill="1" applyBorder="1" applyAlignment="1">
      <alignment horizontal="center"/>
    </xf>
    <xf numFmtId="0" fontId="171" fillId="81" borderId="0" xfId="0" applyFont="1" applyFill="1" applyBorder="1" applyAlignment="1">
      <alignment horizontal="center"/>
    </xf>
    <xf numFmtId="0" fontId="172" fillId="0" borderId="77" xfId="0" applyFont="1" applyFill="1" applyBorder="1" applyAlignment="1">
      <alignment horizontal="center"/>
    </xf>
    <xf numFmtId="0" fontId="171" fillId="81" borderId="78" xfId="0" applyFont="1" applyFill="1" applyBorder="1" applyAlignment="1">
      <alignment horizontal="center"/>
    </xf>
    <xf numFmtId="0" fontId="171" fillId="81" borderId="1" xfId="0" applyFont="1" applyFill="1" applyBorder="1" applyAlignment="1">
      <alignment horizontal="center"/>
    </xf>
    <xf numFmtId="0" fontId="172" fillId="0" borderId="79" xfId="0" applyFont="1" applyFill="1" applyBorder="1" applyAlignment="1">
      <alignment horizontal="center"/>
    </xf>
    <xf numFmtId="0" fontId="171" fillId="0" borderId="0" xfId="0" applyFont="1" applyFill="1"/>
    <xf numFmtId="0" fontId="173" fillId="82" borderId="0" xfId="0" applyFont="1" applyFill="1"/>
    <xf numFmtId="0" fontId="174" fillId="82" borderId="0" xfId="0" applyFont="1" applyFill="1"/>
    <xf numFmtId="0" fontId="175" fillId="82" borderId="0" xfId="0" applyFont="1" applyFill="1" applyAlignment="1">
      <alignment horizontal="center"/>
    </xf>
    <xf numFmtId="0" fontId="175" fillId="0" borderId="0" xfId="0" applyFont="1" applyFill="1" applyAlignment="1">
      <alignment horizontal="center"/>
    </xf>
    <xf numFmtId="0" fontId="48" fillId="0" borderId="0" xfId="0" applyFont="1" applyFill="1" applyAlignment="1">
      <alignment horizontal="right"/>
    </xf>
    <xf numFmtId="0" fontId="176" fillId="0" borderId="0" xfId="0" applyFont="1" applyFill="1"/>
    <xf numFmtId="0" fontId="176" fillId="0" borderId="0" xfId="0" applyFont="1" applyFill="1" applyAlignment="1">
      <alignment horizontal="center"/>
    </xf>
    <xf numFmtId="350" fontId="48" fillId="83" borderId="7" xfId="0" applyNumberFormat="1" applyFont="1" applyFill="1" applyBorder="1" applyAlignment="1">
      <alignment horizontal="right"/>
    </xf>
    <xf numFmtId="170" fontId="48" fillId="84" borderId="7" xfId="0" applyNumberFormat="1" applyFont="1" applyFill="1" applyBorder="1"/>
    <xf numFmtId="350" fontId="48" fillId="84" borderId="7" xfId="0" applyNumberFormat="1" applyFont="1" applyFill="1" applyBorder="1" applyAlignment="1">
      <alignment horizontal="right"/>
    </xf>
    <xf numFmtId="350" fontId="48" fillId="80" borderId="7" xfId="0" applyNumberFormat="1" applyFont="1" applyFill="1" applyBorder="1" applyAlignment="1">
      <alignment horizontal="right"/>
    </xf>
    <xf numFmtId="350" fontId="48" fillId="85" borderId="0" xfId="0" applyNumberFormat="1" applyFont="1" applyFill="1"/>
    <xf numFmtId="2" fontId="48" fillId="0" borderId="0" xfId="0" applyNumberFormat="1" applyFont="1" applyFill="1"/>
    <xf numFmtId="0" fontId="175" fillId="86" borderId="0" xfId="0" applyFont="1" applyFill="1"/>
    <xf numFmtId="2" fontId="175" fillId="86" borderId="0" xfId="0" applyNumberFormat="1" applyFont="1" applyFill="1"/>
    <xf numFmtId="0" fontId="175" fillId="0" borderId="0" xfId="0" applyFont="1" applyFill="1"/>
    <xf numFmtId="2" fontId="175" fillId="0" borderId="0" xfId="0" applyNumberFormat="1" applyFont="1" applyFill="1"/>
    <xf numFmtId="0" fontId="48" fillId="87" borderId="0" xfId="0" applyFont="1" applyFill="1"/>
    <xf numFmtId="0" fontId="177" fillId="0" borderId="0" xfId="0" applyFont="1" applyFill="1"/>
    <xf numFmtId="0" fontId="171" fillId="0" borderId="0" xfId="0" applyFont="1" applyFill="1" applyAlignment="1">
      <alignment horizontal="right"/>
    </xf>
    <xf numFmtId="0" fontId="178" fillId="0" borderId="0" xfId="0" applyFont="1" applyFill="1"/>
    <xf numFmtId="305" fontId="48" fillId="0" borderId="0" xfId="0" applyNumberFormat="1" applyFont="1" applyFill="1"/>
    <xf numFmtId="0" fontId="48" fillId="85" borderId="0" xfId="0" applyFont="1" applyFill="1"/>
    <xf numFmtId="1" fontId="48" fillId="0" borderId="0" xfId="0" applyNumberFormat="1" applyFont="1" applyFill="1"/>
    <xf numFmtId="0" fontId="179" fillId="82" borderId="0" xfId="0" applyFont="1" applyFill="1"/>
    <xf numFmtId="305" fontId="48" fillId="85" borderId="0" xfId="0" applyNumberFormat="1" applyFont="1" applyFill="1"/>
    <xf numFmtId="2" fontId="48" fillId="85" borderId="0" xfId="0" applyNumberFormat="1" applyFont="1" applyFill="1"/>
    <xf numFmtId="0" fontId="180" fillId="87" borderId="0" xfId="0" applyFont="1" applyFill="1"/>
    <xf numFmtId="351" fontId="48" fillId="85" borderId="0" xfId="0" applyNumberFormat="1" applyFont="1" applyFill="1"/>
    <xf numFmtId="1" fontId="168" fillId="0" borderId="0" xfId="0" applyNumberFormat="1" applyFont="1" applyFill="1" applyBorder="1" applyAlignment="1">
      <alignment vertical="center" wrapText="1"/>
    </xf>
    <xf numFmtId="2" fontId="163" fillId="0" borderId="0" xfId="4668" applyNumberFormat="1" applyFont="1" applyFill="1" applyAlignment="1">
      <alignment horizontal="right"/>
    </xf>
    <xf numFmtId="3" fontId="166" fillId="0" borderId="0" xfId="0" applyNumberFormat="1" applyFont="1" applyFill="1" applyBorder="1" applyAlignment="1">
      <alignment horizontal="center" vertical="top"/>
    </xf>
    <xf numFmtId="1" fontId="165" fillId="0" borderId="0" xfId="0" applyNumberFormat="1" applyFont="1" applyFill="1" applyBorder="1" applyAlignment="1">
      <alignment horizontal="right" wrapText="1"/>
    </xf>
    <xf numFmtId="9" fontId="163" fillId="0" borderId="0" xfId="4" applyFont="1" applyFill="1" applyBorder="1"/>
    <xf numFmtId="2" fontId="164" fillId="0" borderId="0" xfId="15363" applyNumberFormat="1" applyFont="1" applyFill="1" applyBorder="1"/>
    <xf numFmtId="1" fontId="163" fillId="0" borderId="0" xfId="15363" applyNumberFormat="1" applyFont="1" applyFill="1" applyBorder="1"/>
    <xf numFmtId="1" fontId="163" fillId="0" borderId="0" xfId="15363" applyNumberFormat="1" applyFont="1" applyFill="1" applyBorder="1" applyAlignment="1">
      <alignment horizontal="right"/>
    </xf>
    <xf numFmtId="2" fontId="163" fillId="0" borderId="0" xfId="15363" applyNumberFormat="1" applyFont="1" applyFill="1" applyBorder="1"/>
    <xf numFmtId="170" fontId="163" fillId="0" borderId="0" xfId="15363" applyNumberFormat="1" applyFont="1" applyFill="1" applyBorder="1" applyAlignment="1">
      <alignment horizontal="right"/>
    </xf>
    <xf numFmtId="0" fontId="0" fillId="0" borderId="0" xfId="0" applyFill="1"/>
    <xf numFmtId="170" fontId="165" fillId="0" borderId="0" xfId="0" applyNumberFormat="1" applyFont="1" applyFill="1"/>
    <xf numFmtId="1" fontId="166" fillId="0" borderId="0" xfId="0" applyNumberFormat="1" applyFont="1" applyFill="1"/>
    <xf numFmtId="0" fontId="166" fillId="0" borderId="0" xfId="0" applyFont="1" applyFill="1" applyAlignment="1">
      <alignment horizontal="center"/>
    </xf>
    <xf numFmtId="0" fontId="165" fillId="0" borderId="0" xfId="0" applyFont="1" applyFill="1" applyBorder="1" applyAlignment="1">
      <alignment horizontal="center"/>
    </xf>
    <xf numFmtId="0" fontId="165" fillId="0" borderId="0" xfId="0" applyFont="1" applyFill="1" applyAlignment="1">
      <alignment horizontal="center"/>
    </xf>
    <xf numFmtId="170" fontId="165" fillId="0" borderId="0" xfId="0" applyNumberFormat="1" applyFont="1" applyFill="1" applyAlignment="1">
      <alignment horizontal="center"/>
    </xf>
    <xf numFmtId="1" fontId="165" fillId="0" borderId="0" xfId="0" applyNumberFormat="1" applyFont="1" applyFill="1" applyAlignment="1">
      <alignment horizontal="center"/>
    </xf>
    <xf numFmtId="243" fontId="165" fillId="0" borderId="0" xfId="0" applyNumberFormat="1" applyFont="1" applyFill="1" applyAlignment="1">
      <alignment horizontal="center"/>
    </xf>
    <xf numFmtId="0" fontId="166" fillId="0" borderId="0" xfId="0" applyFont="1" applyFill="1" applyAlignment="1"/>
    <xf numFmtId="0" fontId="183" fillId="0" borderId="0" xfId="0" applyFont="1" applyFill="1" applyAlignment="1">
      <alignment horizontal="center"/>
    </xf>
    <xf numFmtId="1" fontId="165" fillId="0" borderId="70" xfId="2" applyNumberFormat="1" applyFont="1" applyFill="1" applyBorder="1" applyAlignment="1">
      <alignment vertical="center"/>
    </xf>
    <xf numFmtId="1" fontId="165" fillId="0" borderId="70" xfId="15" applyNumberFormat="1" applyFont="1" applyFill="1" applyBorder="1" applyAlignment="1">
      <alignment horizontal="right" vertical="center" wrapText="1"/>
    </xf>
    <xf numFmtId="1" fontId="166" fillId="0" borderId="0" xfId="0" applyNumberFormat="1" applyFont="1" applyFill="1" applyBorder="1" applyAlignment="1">
      <alignment vertical="top"/>
    </xf>
    <xf numFmtId="1" fontId="165" fillId="0" borderId="42" xfId="1" applyNumberFormat="1" applyFont="1" applyFill="1" applyBorder="1" applyAlignment="1">
      <alignment vertical="center"/>
    </xf>
    <xf numFmtId="243"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center" wrapText="1"/>
    </xf>
    <xf numFmtId="9" fontId="165" fillId="0" borderId="0" xfId="4" applyFont="1" applyFill="1" applyBorder="1" applyAlignment="1">
      <alignment horizontal="right"/>
    </xf>
    <xf numFmtId="170" fontId="165" fillId="0" borderId="70" xfId="0" applyNumberFormat="1" applyFont="1" applyFill="1" applyBorder="1" applyAlignment="1">
      <alignment horizontal="right"/>
    </xf>
    <xf numFmtId="170" fontId="163" fillId="0" borderId="0" xfId="4668" applyNumberFormat="1" applyFont="1" applyFill="1" applyBorder="1" applyAlignment="1">
      <alignment horizontal="right"/>
    </xf>
    <xf numFmtId="1" fontId="163" fillId="0" borderId="70" xfId="4668" applyNumberFormat="1" applyFont="1" applyFill="1" applyBorder="1" applyAlignment="1">
      <alignment horizontal="right"/>
    </xf>
    <xf numFmtId="243" fontId="163" fillId="0" borderId="70" xfId="4668" applyNumberFormat="1" applyFont="1" applyFill="1" applyBorder="1" applyAlignment="1">
      <alignment horizontal="right"/>
    </xf>
    <xf numFmtId="243" fontId="163" fillId="0" borderId="0" xfId="4668" applyNumberFormat="1" applyFont="1" applyFill="1" applyBorder="1" applyAlignment="1">
      <alignment horizontal="right"/>
    </xf>
    <xf numFmtId="1" fontId="163" fillId="0" borderId="0" xfId="15297" applyNumberFormat="1" applyFont="1" applyFill="1" applyBorder="1"/>
    <xf numFmtId="1" fontId="163" fillId="0" borderId="70" xfId="15363" applyNumberFormat="1" applyFont="1" applyFill="1" applyBorder="1" applyAlignment="1">
      <alignment horizontal="right"/>
    </xf>
    <xf numFmtId="243" fontId="163" fillId="0" borderId="70" xfId="15363" applyNumberFormat="1" applyFont="1" applyFill="1" applyBorder="1" applyAlignment="1">
      <alignment horizontal="right"/>
    </xf>
    <xf numFmtId="184" fontId="165" fillId="0" borderId="70" xfId="4" applyNumberFormat="1" applyFont="1" applyFill="1" applyBorder="1"/>
    <xf numFmtId="184" fontId="163" fillId="0" borderId="0" xfId="4" applyNumberFormat="1" applyFont="1" applyFill="1" applyBorder="1" applyAlignment="1">
      <alignment horizontal="right"/>
    </xf>
    <xf numFmtId="2" fontId="165" fillId="0" borderId="0" xfId="0" applyNumberFormat="1" applyFont="1" applyFill="1" applyBorder="1"/>
    <xf numFmtId="2" fontId="163" fillId="0" borderId="0" xfId="4668" applyNumberFormat="1" applyFont="1" applyFill="1" applyBorder="1" applyAlignment="1">
      <alignment horizontal="right"/>
    </xf>
    <xf numFmtId="1" fontId="183" fillId="0" borderId="0" xfId="0" applyNumberFormat="1" applyFont="1" applyFill="1" applyBorder="1" applyAlignment="1">
      <alignment horizontal="left"/>
    </xf>
    <xf numFmtId="1" fontId="185" fillId="0" borderId="0" xfId="0" applyNumberFormat="1" applyFont="1" applyFill="1" applyBorder="1" applyAlignment="1">
      <alignment horizontal="left"/>
    </xf>
    <xf numFmtId="243" fontId="164" fillId="0" borderId="0" xfId="4668" applyNumberFormat="1" applyFont="1" applyFill="1" applyBorder="1" applyAlignment="1">
      <alignment horizontal="right" wrapText="1"/>
    </xf>
    <xf numFmtId="0" fontId="18" fillId="0" borderId="0" xfId="0" quotePrefix="1" applyFont="1"/>
    <xf numFmtId="1" fontId="164" fillId="0" borderId="0" xfId="8749" applyNumberFormat="1" applyFont="1" applyFill="1" applyBorder="1"/>
    <xf numFmtId="1" fontId="186" fillId="0" borderId="0" xfId="4668" applyNumberFormat="1" applyFont="1" applyFill="1" applyBorder="1" applyAlignment="1">
      <alignment horizontal="right"/>
    </xf>
    <xf numFmtId="10" fontId="165" fillId="0" borderId="0" xfId="4" applyNumberFormat="1" applyFont="1" applyFill="1" applyBorder="1" applyAlignment="1">
      <alignment horizontal="right"/>
    </xf>
    <xf numFmtId="305" fontId="165" fillId="0" borderId="0" xfId="15297" applyNumberFormat="1" applyFont="1" applyFill="1" applyBorder="1"/>
    <xf numFmtId="1" fontId="165" fillId="0" borderId="0" xfId="15363" applyNumberFormat="1" applyFont="1" applyFill="1" applyBorder="1" applyAlignment="1">
      <alignment horizontal="right"/>
    </xf>
    <xf numFmtId="305" fontId="163" fillId="0" borderId="70" xfId="15363" applyNumberFormat="1" applyFont="1" applyFill="1" applyBorder="1" applyAlignment="1">
      <alignment horizontal="right"/>
    </xf>
    <xf numFmtId="1" fontId="165" fillId="0" borderId="0" xfId="0" applyNumberFormat="1" applyFont="1" applyFill="1" applyBorder="1" applyAlignment="1">
      <alignment horizontal="center"/>
    </xf>
    <xf numFmtId="0" fontId="171" fillId="81" borderId="1" xfId="16628" applyFont="1" applyFill="1" applyBorder="1" applyAlignment="1">
      <alignment horizontal="left"/>
    </xf>
    <xf numFmtId="0" fontId="171" fillId="81" borderId="74" xfId="16628" applyFont="1" applyFill="1" applyBorder="1" applyAlignment="1">
      <alignment horizontal="left"/>
    </xf>
    <xf numFmtId="0" fontId="171" fillId="81" borderId="0" xfId="16628" applyFont="1" applyFill="1" applyBorder="1" applyAlignment="1">
      <alignment horizontal="left"/>
    </xf>
  </cellXfs>
  <cellStyles count="16710">
    <cellStyle name=" 1" xfId="44"/>
    <cellStyle name=" 1 10" xfId="45"/>
    <cellStyle name=" 1 10 2" xfId="46"/>
    <cellStyle name=" 1 10 3" xfId="47"/>
    <cellStyle name=" 1 10 4" xfId="48"/>
    <cellStyle name=" 1 10 5" xfId="49"/>
    <cellStyle name=" 1 10 6" xfId="50"/>
    <cellStyle name=" 1 10 7" xfId="51"/>
    <cellStyle name=" 1 10 8" xfId="52"/>
    <cellStyle name=" 1 11" xfId="53"/>
    <cellStyle name=" 1 11 2" xfId="54"/>
    <cellStyle name=" 1 11 3" xfId="55"/>
    <cellStyle name=" 1 11 4" xfId="56"/>
    <cellStyle name=" 1 11 5" xfId="57"/>
    <cellStyle name=" 1 11 6" xfId="58"/>
    <cellStyle name=" 1 11 7" xfId="59"/>
    <cellStyle name=" 1 11 8" xfId="60"/>
    <cellStyle name=" 1 12" xfId="61"/>
    <cellStyle name=" 1 12 2" xfId="62"/>
    <cellStyle name=" 1 12 3" xfId="63"/>
    <cellStyle name=" 1 12 4" xfId="64"/>
    <cellStyle name=" 1 12 5" xfId="65"/>
    <cellStyle name=" 1 12 6" xfId="66"/>
    <cellStyle name=" 1 12 7" xfId="67"/>
    <cellStyle name=" 1 12 8" xfId="68"/>
    <cellStyle name=" 1 13" xfId="69"/>
    <cellStyle name=" 1 13 2" xfId="70"/>
    <cellStyle name=" 1 13 3" xfId="71"/>
    <cellStyle name=" 1 13 4" xfId="72"/>
    <cellStyle name=" 1 13 5" xfId="73"/>
    <cellStyle name=" 1 13 6" xfId="74"/>
    <cellStyle name=" 1 13 7" xfId="75"/>
    <cellStyle name=" 1 13 8" xfId="76"/>
    <cellStyle name=" 1 14" xfId="77"/>
    <cellStyle name=" 1 14 2" xfId="78"/>
    <cellStyle name=" 1 14 3" xfId="79"/>
    <cellStyle name=" 1 14 4" xfId="80"/>
    <cellStyle name=" 1 14 5" xfId="81"/>
    <cellStyle name=" 1 14 6" xfId="82"/>
    <cellStyle name=" 1 14 7" xfId="83"/>
    <cellStyle name=" 1 14 8" xfId="84"/>
    <cellStyle name=" 1 15" xfId="85"/>
    <cellStyle name=" 1 15 2" xfId="86"/>
    <cellStyle name=" 1 15 3" xfId="87"/>
    <cellStyle name=" 1 15 4" xfId="88"/>
    <cellStyle name=" 1 15 5" xfId="89"/>
    <cellStyle name=" 1 15 6" xfId="90"/>
    <cellStyle name=" 1 15 7" xfId="91"/>
    <cellStyle name=" 1 15 8" xfId="92"/>
    <cellStyle name=" 1 16" xfId="93"/>
    <cellStyle name=" 1 16 2" xfId="94"/>
    <cellStyle name=" 1 16 3" xfId="95"/>
    <cellStyle name=" 1 16 4" xfId="96"/>
    <cellStyle name=" 1 16 5" xfId="97"/>
    <cellStyle name=" 1 16 6" xfId="98"/>
    <cellStyle name=" 1 16 7" xfId="99"/>
    <cellStyle name=" 1 16 8" xfId="100"/>
    <cellStyle name=" 1 17" xfId="101"/>
    <cellStyle name=" 1 17 2" xfId="102"/>
    <cellStyle name=" 1 17 3" xfId="103"/>
    <cellStyle name=" 1 17 4" xfId="104"/>
    <cellStyle name=" 1 17 5" xfId="105"/>
    <cellStyle name=" 1 17 6" xfId="106"/>
    <cellStyle name=" 1 17 7" xfId="107"/>
    <cellStyle name=" 1 17 8" xfId="108"/>
    <cellStyle name=" 1 18" xfId="109"/>
    <cellStyle name=" 1 18 2" xfId="110"/>
    <cellStyle name=" 1 18 3" xfId="111"/>
    <cellStyle name=" 1 18 4" xfId="112"/>
    <cellStyle name=" 1 18 5" xfId="113"/>
    <cellStyle name=" 1 18 6" xfId="114"/>
    <cellStyle name=" 1 18 7" xfId="115"/>
    <cellStyle name=" 1 18 8" xfId="116"/>
    <cellStyle name=" 1 19" xfId="117"/>
    <cellStyle name=" 1 19 2" xfId="118"/>
    <cellStyle name=" 1 19 3" xfId="119"/>
    <cellStyle name=" 1 19 4" xfId="120"/>
    <cellStyle name=" 1 19 5" xfId="121"/>
    <cellStyle name=" 1 19 6" xfId="122"/>
    <cellStyle name=" 1 19 7" xfId="123"/>
    <cellStyle name=" 1 19 8" xfId="124"/>
    <cellStyle name=" 1 2" xfId="125"/>
    <cellStyle name=" 1 2 10" xfId="126"/>
    <cellStyle name=" 1 2 11" xfId="127"/>
    <cellStyle name=" 1 2 12" xfId="128"/>
    <cellStyle name=" 1 2 2" xfId="129"/>
    <cellStyle name=" 1 2 2 2" xfId="130"/>
    <cellStyle name=" 1 2 2 3" xfId="131"/>
    <cellStyle name=" 1 2 2 4" xfId="132"/>
    <cellStyle name=" 1 2 2 5" xfId="133"/>
    <cellStyle name=" 1 2 2 6" xfId="134"/>
    <cellStyle name=" 1 2 3" xfId="135"/>
    <cellStyle name=" 1 2 3 2" xfId="136"/>
    <cellStyle name=" 1 2 3 3" xfId="137"/>
    <cellStyle name=" 1 2 3 4" xfId="138"/>
    <cellStyle name=" 1 2 3 5" xfId="139"/>
    <cellStyle name=" 1 2 3 6" xfId="140"/>
    <cellStyle name=" 1 2 4" xfId="141"/>
    <cellStyle name=" 1 2 4 2" xfId="142"/>
    <cellStyle name=" 1 2 4 3" xfId="143"/>
    <cellStyle name=" 1 2 4 4" xfId="144"/>
    <cellStyle name=" 1 2 4 5" xfId="145"/>
    <cellStyle name=" 1 2 4 6" xfId="146"/>
    <cellStyle name=" 1 2 5" xfId="147"/>
    <cellStyle name=" 1 2 5 2" xfId="148"/>
    <cellStyle name=" 1 2 5 3" xfId="149"/>
    <cellStyle name=" 1 2 5 4" xfId="150"/>
    <cellStyle name=" 1 2 5 5" xfId="151"/>
    <cellStyle name=" 1 2 5 6" xfId="152"/>
    <cellStyle name=" 1 2 6" xfId="153"/>
    <cellStyle name=" 1 2 6 2" xfId="154"/>
    <cellStyle name=" 1 2 6 3" xfId="155"/>
    <cellStyle name=" 1 2 6 4" xfId="156"/>
    <cellStyle name=" 1 2 6 5" xfId="157"/>
    <cellStyle name=" 1 2 7" xfId="158"/>
    <cellStyle name=" 1 2 8" xfId="159"/>
    <cellStyle name=" 1 2 9" xfId="160"/>
    <cellStyle name=" 1 20" xfId="161"/>
    <cellStyle name=" 1 20 2" xfId="162"/>
    <cellStyle name=" 1 20 3" xfId="163"/>
    <cellStyle name=" 1 20 4" xfId="164"/>
    <cellStyle name=" 1 20 5" xfId="165"/>
    <cellStyle name=" 1 20 6" xfId="166"/>
    <cellStyle name=" 1 20 7" xfId="167"/>
    <cellStyle name=" 1 20 8" xfId="168"/>
    <cellStyle name=" 1 21" xfId="169"/>
    <cellStyle name=" 1 21 2" xfId="170"/>
    <cellStyle name=" 1 21 3" xfId="171"/>
    <cellStyle name=" 1 21 4" xfId="172"/>
    <cellStyle name=" 1 21 5" xfId="173"/>
    <cellStyle name=" 1 21 6" xfId="174"/>
    <cellStyle name=" 1 21 7" xfId="175"/>
    <cellStyle name=" 1 21 8" xfId="176"/>
    <cellStyle name=" 1 22" xfId="177"/>
    <cellStyle name=" 1 22 2" xfId="178"/>
    <cellStyle name=" 1 22 3" xfId="179"/>
    <cellStyle name=" 1 22 4" xfId="180"/>
    <cellStyle name=" 1 22 5" xfId="181"/>
    <cellStyle name=" 1 22 6" xfId="182"/>
    <cellStyle name=" 1 22 7" xfId="183"/>
    <cellStyle name=" 1 22 8" xfId="184"/>
    <cellStyle name=" 1 23" xfId="185"/>
    <cellStyle name=" 1 23 2" xfId="186"/>
    <cellStyle name=" 1 23 3" xfId="187"/>
    <cellStyle name=" 1 23 4" xfId="188"/>
    <cellStyle name=" 1 23 5" xfId="189"/>
    <cellStyle name=" 1 23 6" xfId="190"/>
    <cellStyle name=" 1 23 7" xfId="191"/>
    <cellStyle name=" 1 23 8" xfId="192"/>
    <cellStyle name=" 1 24" xfId="193"/>
    <cellStyle name=" 1 24 2" xfId="194"/>
    <cellStyle name=" 1 24 3" xfId="195"/>
    <cellStyle name=" 1 24 4" xfId="196"/>
    <cellStyle name=" 1 24 5" xfId="197"/>
    <cellStyle name=" 1 25" xfId="198"/>
    <cellStyle name=" 1 25 2" xfId="199"/>
    <cellStyle name=" 1 25 3" xfId="200"/>
    <cellStyle name=" 1 25 4" xfId="201"/>
    <cellStyle name=" 1 25 5" xfId="202"/>
    <cellStyle name=" 1 3" xfId="203"/>
    <cellStyle name=" 1 3 10" xfId="204"/>
    <cellStyle name=" 1 3 11" xfId="205"/>
    <cellStyle name=" 1 3 2" xfId="206"/>
    <cellStyle name=" 1 3 2 2" xfId="207"/>
    <cellStyle name=" 1 3 2 3" xfId="208"/>
    <cellStyle name=" 1 3 2 4" xfId="209"/>
    <cellStyle name=" 1 3 2 5" xfId="210"/>
    <cellStyle name=" 1 3 2 6" xfId="211"/>
    <cellStyle name=" 1 3 3" xfId="212"/>
    <cellStyle name=" 1 3 3 2" xfId="213"/>
    <cellStyle name=" 1 3 3 3" xfId="214"/>
    <cellStyle name=" 1 3 3 4" xfId="215"/>
    <cellStyle name=" 1 3 3 5" xfId="216"/>
    <cellStyle name=" 1 3 3 6" xfId="217"/>
    <cellStyle name=" 1 3 4" xfId="218"/>
    <cellStyle name=" 1 3 4 2" xfId="219"/>
    <cellStyle name=" 1 3 4 3" xfId="220"/>
    <cellStyle name=" 1 3 4 4" xfId="221"/>
    <cellStyle name=" 1 3 4 5" xfId="222"/>
    <cellStyle name=" 1 3 4 6" xfId="223"/>
    <cellStyle name=" 1 3 5" xfId="224"/>
    <cellStyle name=" 1 3 5 2" xfId="225"/>
    <cellStyle name=" 1 3 5 3" xfId="226"/>
    <cellStyle name=" 1 3 5 4" xfId="227"/>
    <cellStyle name=" 1 3 5 5" xfId="228"/>
    <cellStyle name=" 1 3 5 6" xfId="229"/>
    <cellStyle name=" 1 3 6" xfId="230"/>
    <cellStyle name=" 1 3 7" xfId="231"/>
    <cellStyle name=" 1 3 8" xfId="232"/>
    <cellStyle name=" 1 3 9" xfId="233"/>
    <cellStyle name=" 1 4" xfId="234"/>
    <cellStyle name=" 1 4 2" xfId="235"/>
    <cellStyle name=" 1 4 3" xfId="236"/>
    <cellStyle name=" 1 4 4" xfId="237"/>
    <cellStyle name=" 1 4 5" xfId="238"/>
    <cellStyle name=" 1 4 6" xfId="239"/>
    <cellStyle name=" 1 4 7" xfId="240"/>
    <cellStyle name=" 1 4 8" xfId="241"/>
    <cellStyle name=" 1 5" xfId="242"/>
    <cellStyle name=" 1 5 2" xfId="243"/>
    <cellStyle name=" 1 5 3" xfId="244"/>
    <cellStyle name=" 1 5 4" xfId="245"/>
    <cellStyle name=" 1 5 5" xfId="246"/>
    <cellStyle name=" 1 5 6" xfId="247"/>
    <cellStyle name=" 1 5 7" xfId="248"/>
    <cellStyle name=" 1 5 8" xfId="249"/>
    <cellStyle name=" 1 6" xfId="250"/>
    <cellStyle name=" 1 6 2" xfId="251"/>
    <cellStyle name=" 1 6 3" xfId="252"/>
    <cellStyle name=" 1 6 4" xfId="253"/>
    <cellStyle name=" 1 6 5" xfId="254"/>
    <cellStyle name=" 1 6 6" xfId="255"/>
    <cellStyle name=" 1 6 7" xfId="256"/>
    <cellStyle name=" 1 6 8" xfId="257"/>
    <cellStyle name=" 1 7" xfId="258"/>
    <cellStyle name=" 1 7 2" xfId="259"/>
    <cellStyle name=" 1 7 3" xfId="260"/>
    <cellStyle name=" 1 7 4" xfId="261"/>
    <cellStyle name=" 1 7 5" xfId="262"/>
    <cellStyle name=" 1 7 6" xfId="263"/>
    <cellStyle name=" 1 7 7" xfId="264"/>
    <cellStyle name=" 1 7 8" xfId="265"/>
    <cellStyle name=" 1 8" xfId="266"/>
    <cellStyle name=" 1 8 2" xfId="267"/>
    <cellStyle name=" 1 8 3" xfId="268"/>
    <cellStyle name=" 1 8 4" xfId="269"/>
    <cellStyle name=" 1 8 5" xfId="270"/>
    <cellStyle name=" 1 8 6" xfId="271"/>
    <cellStyle name=" 1 8 7" xfId="272"/>
    <cellStyle name=" 1 8 8" xfId="273"/>
    <cellStyle name=" 1 9" xfId="274"/>
    <cellStyle name=" 1 9 2" xfId="275"/>
    <cellStyle name=" 1 9 3" xfId="276"/>
    <cellStyle name=" 1 9 4" xfId="277"/>
    <cellStyle name=" 1 9 5" xfId="278"/>
    <cellStyle name=" 1 9 6" xfId="279"/>
    <cellStyle name=" 1 9 7" xfId="280"/>
    <cellStyle name=" 1 9 8" xfId="281"/>
    <cellStyle name=" 2" xfId="282"/>
    <cellStyle name=" 3" xfId="283"/>
    <cellStyle name="$" xfId="284"/>
    <cellStyle name="$ BOX" xfId="285"/>
    <cellStyle name="$_DCF Shell 2" xfId="286"/>
    <cellStyle name="$_DCF Shell 2_Draft RIIO plan presentation template - Customer Opsx Centre V7" xfId="287"/>
    <cellStyle name="$_DCF Shell 2_Spreadsheet to populate plan slides 120810" xfId="288"/>
    <cellStyle name="$_DCF Shell 2_SS templates" xfId="289"/>
    <cellStyle name="$_DCF Shell 2_Total summary" xfId="290"/>
    <cellStyle name="$_Marathon SOP Backup_v10" xfId="291"/>
    <cellStyle name="$_Model_Sep_2_02" xfId="292"/>
    <cellStyle name="$_Pipeline Model v1 (09_09_02) v3" xfId="293"/>
    <cellStyle name="$_Pipeline Model v1 (09_09_02) v3_Draft RIIO plan presentation template - Customer Opsx Centre V7" xfId="294"/>
    <cellStyle name="$_Pipeline Model v1 (09_09_02) v3_Spreadsheet to populate plan slides 120810" xfId="295"/>
    <cellStyle name="$_Pipeline Model v1 (09_09_02) v3_SS templates" xfId="296"/>
    <cellStyle name="$_Pipeline Model v1 (09_09_02) v3_Total summary" xfId="297"/>
    <cellStyle name="$1000s (0)" xfId="298"/>
    <cellStyle name="$m" xfId="299"/>
    <cellStyle name="$q" xfId="300"/>
    <cellStyle name="$q*" xfId="301"/>
    <cellStyle name="$qA" xfId="302"/>
    <cellStyle name="$qRange" xfId="303"/>
    <cellStyle name="%" xfId="304"/>
    <cellStyle name="% 10" xfId="305"/>
    <cellStyle name="% 10 2" xfId="306"/>
    <cellStyle name="% 10 2 2" xfId="307"/>
    <cellStyle name="% 100" xfId="308"/>
    <cellStyle name="% 101" xfId="309"/>
    <cellStyle name="% 102" xfId="310"/>
    <cellStyle name="% 103" xfId="311"/>
    <cellStyle name="% 104" xfId="312"/>
    <cellStyle name="% 105" xfId="313"/>
    <cellStyle name="% 106" xfId="314"/>
    <cellStyle name="% 107" xfId="315"/>
    <cellStyle name="% 108" xfId="316"/>
    <cellStyle name="% 109" xfId="317"/>
    <cellStyle name="% 11" xfId="318"/>
    <cellStyle name="% 110" xfId="319"/>
    <cellStyle name="% 111" xfId="320"/>
    <cellStyle name="% 112" xfId="321"/>
    <cellStyle name="% 113" xfId="322"/>
    <cellStyle name="% 12" xfId="323"/>
    <cellStyle name="% 13" xfId="324"/>
    <cellStyle name="% 14" xfId="325"/>
    <cellStyle name="% 15" xfId="326"/>
    <cellStyle name="% 16" xfId="327"/>
    <cellStyle name="% 17" xfId="328"/>
    <cellStyle name="% 18" xfId="329"/>
    <cellStyle name="% 19" xfId="330"/>
    <cellStyle name="% 2" xfId="331"/>
    <cellStyle name="% 2 10" xfId="332"/>
    <cellStyle name="% 2 11" xfId="333"/>
    <cellStyle name="% 2 12" xfId="334"/>
    <cellStyle name="% 2 13" xfId="335"/>
    <cellStyle name="% 2 14" xfId="336"/>
    <cellStyle name="% 2 15" xfId="337"/>
    <cellStyle name="% 2 16" xfId="338"/>
    <cellStyle name="% 2 17" xfId="339"/>
    <cellStyle name="% 2 18" xfId="340"/>
    <cellStyle name="% 2 19" xfId="341"/>
    <cellStyle name="% 2 2" xfId="342"/>
    <cellStyle name="% 2 2 2" xfId="343"/>
    <cellStyle name="% 2 2 2 2" xfId="344"/>
    <cellStyle name="% 2 2 2 3" xfId="345"/>
    <cellStyle name="% 2 2 2 4" xfId="346"/>
    <cellStyle name="% 2 2 2 5" xfId="347"/>
    <cellStyle name="% 2 2 2 6" xfId="348"/>
    <cellStyle name="% 2 2 2 7" xfId="349"/>
    <cellStyle name="% 2 2 2 8" xfId="350"/>
    <cellStyle name="% 2 2 3" xfId="351"/>
    <cellStyle name="% 2 2 3 2" xfId="352"/>
    <cellStyle name="% 2 2 3 3" xfId="353"/>
    <cellStyle name="% 2 2 4" xfId="354"/>
    <cellStyle name="% 2 2 4 2" xfId="355"/>
    <cellStyle name="% 2 2 4 3" xfId="356"/>
    <cellStyle name="% 2 2 4 4" xfId="357"/>
    <cellStyle name="% 2 2_3.1.2 DB Pension Detail" xfId="358"/>
    <cellStyle name="% 2 20" xfId="359"/>
    <cellStyle name="% 2 21" xfId="360"/>
    <cellStyle name="% 2 22" xfId="361"/>
    <cellStyle name="% 2 23" xfId="362"/>
    <cellStyle name="% 2 24" xfId="363"/>
    <cellStyle name="% 2 25" xfId="364"/>
    <cellStyle name="% 2 26" xfId="365"/>
    <cellStyle name="% 2 27" xfId="366"/>
    <cellStyle name="% 2 28" xfId="367"/>
    <cellStyle name="% 2 29" xfId="368"/>
    <cellStyle name="% 2 3" xfId="369"/>
    <cellStyle name="% 2 30" xfId="370"/>
    <cellStyle name="% 2 31" xfId="371"/>
    <cellStyle name="% 2 32" xfId="372"/>
    <cellStyle name="% 2 33" xfId="373"/>
    <cellStyle name="% 2 34" xfId="374"/>
    <cellStyle name="% 2 35" xfId="375"/>
    <cellStyle name="% 2 36" xfId="376"/>
    <cellStyle name="% 2 37" xfId="377"/>
    <cellStyle name="% 2 38" xfId="378"/>
    <cellStyle name="% 2 39" xfId="379"/>
    <cellStyle name="% 2 4" xfId="380"/>
    <cellStyle name="% 2 40" xfId="381"/>
    <cellStyle name="% 2 41" xfId="382"/>
    <cellStyle name="% 2 42" xfId="383"/>
    <cellStyle name="% 2 43" xfId="384"/>
    <cellStyle name="% 2 44" xfId="385"/>
    <cellStyle name="% 2 45" xfId="386"/>
    <cellStyle name="% 2 46" xfId="387"/>
    <cellStyle name="% 2 47" xfId="388"/>
    <cellStyle name="% 2 5" xfId="389"/>
    <cellStyle name="% 2 6" xfId="390"/>
    <cellStyle name="% 2 7" xfId="391"/>
    <cellStyle name="% 2 8" xfId="392"/>
    <cellStyle name="% 2 9" xfId="393"/>
    <cellStyle name="% 2_1.3s Accounting C Costs Scots" xfId="394"/>
    <cellStyle name="% 20" xfId="395"/>
    <cellStyle name="% 21" xfId="396"/>
    <cellStyle name="% 22" xfId="397"/>
    <cellStyle name="% 23" xfId="398"/>
    <cellStyle name="% 24" xfId="399"/>
    <cellStyle name="% 25" xfId="400"/>
    <cellStyle name="% 26" xfId="401"/>
    <cellStyle name="% 27" xfId="402"/>
    <cellStyle name="% 28" xfId="403"/>
    <cellStyle name="% 29" xfId="404"/>
    <cellStyle name="% 3" xfId="405"/>
    <cellStyle name="% 3 10" xfId="406"/>
    <cellStyle name="% 3 11" xfId="407"/>
    <cellStyle name="% 3 12" xfId="408"/>
    <cellStyle name="% 3 13" xfId="409"/>
    <cellStyle name="% 3 14" xfId="410"/>
    <cellStyle name="% 3 15" xfId="411"/>
    <cellStyle name="% 3 16" xfId="412"/>
    <cellStyle name="% 3 17" xfId="413"/>
    <cellStyle name="% 3 18" xfId="414"/>
    <cellStyle name="% 3 19" xfId="415"/>
    <cellStyle name="% 3 2" xfId="416"/>
    <cellStyle name="% 3 2 10" xfId="417"/>
    <cellStyle name="% 3 2 11" xfId="418"/>
    <cellStyle name="% 3 2 12" xfId="419"/>
    <cellStyle name="% 3 2 13" xfId="420"/>
    <cellStyle name="% 3 2 14" xfId="421"/>
    <cellStyle name="% 3 2 15" xfId="422"/>
    <cellStyle name="% 3 2 16" xfId="423"/>
    <cellStyle name="% 3 2 17" xfId="424"/>
    <cellStyle name="% 3 2 18" xfId="425"/>
    <cellStyle name="% 3 2 19" xfId="426"/>
    <cellStyle name="% 3 2 2" xfId="427"/>
    <cellStyle name="% 3 2 2 10" xfId="428"/>
    <cellStyle name="% 3 2 2 11" xfId="429"/>
    <cellStyle name="% 3 2 2 12" xfId="430"/>
    <cellStyle name="% 3 2 2 13" xfId="431"/>
    <cellStyle name="% 3 2 2 14" xfId="432"/>
    <cellStyle name="% 3 2 2 15" xfId="433"/>
    <cellStyle name="% 3 2 2 16" xfId="434"/>
    <cellStyle name="% 3 2 2 17" xfId="435"/>
    <cellStyle name="% 3 2 2 2" xfId="436"/>
    <cellStyle name="% 3 2 2 3" xfId="437"/>
    <cellStyle name="% 3 2 2 4" xfId="438"/>
    <cellStyle name="% 3 2 2 5" xfId="439"/>
    <cellStyle name="% 3 2 2 6" xfId="440"/>
    <cellStyle name="% 3 2 2 7" xfId="441"/>
    <cellStyle name="% 3 2 2 8" xfId="442"/>
    <cellStyle name="% 3 2 2 9" xfId="443"/>
    <cellStyle name="% 3 2 20" xfId="444"/>
    <cellStyle name="% 3 2 21" xfId="445"/>
    <cellStyle name="% 3 2 22" xfId="446"/>
    <cellStyle name="% 3 2 23" xfId="447"/>
    <cellStyle name="% 3 2 24" xfId="448"/>
    <cellStyle name="% 3 2 25" xfId="449"/>
    <cellStyle name="% 3 2 26" xfId="450"/>
    <cellStyle name="% 3 2 27" xfId="451"/>
    <cellStyle name="% 3 2 28" xfId="452"/>
    <cellStyle name="% 3 2 29" xfId="453"/>
    <cellStyle name="% 3 2 3" xfId="454"/>
    <cellStyle name="% 3 2 30" xfId="455"/>
    <cellStyle name="% 3 2 31" xfId="456"/>
    <cellStyle name="% 3 2 32" xfId="457"/>
    <cellStyle name="% 3 2 33" xfId="458"/>
    <cellStyle name="% 3 2 34" xfId="459"/>
    <cellStyle name="% 3 2 35" xfId="460"/>
    <cellStyle name="% 3 2 36" xfId="461"/>
    <cellStyle name="% 3 2 37" xfId="462"/>
    <cellStyle name="% 3 2 38" xfId="463"/>
    <cellStyle name="% 3 2 39" xfId="464"/>
    <cellStyle name="% 3 2 4" xfId="465"/>
    <cellStyle name="% 3 2 40" xfId="466"/>
    <cellStyle name="% 3 2 41" xfId="467"/>
    <cellStyle name="% 3 2 42" xfId="468"/>
    <cellStyle name="% 3 2 43" xfId="469"/>
    <cellStyle name="% 3 2 44" xfId="470"/>
    <cellStyle name="% 3 2 45" xfId="471"/>
    <cellStyle name="% 3 2 46" xfId="472"/>
    <cellStyle name="% 3 2 47" xfId="473"/>
    <cellStyle name="% 3 2 48" xfId="474"/>
    <cellStyle name="% 3 2 49" xfId="475"/>
    <cellStyle name="% 3 2 5" xfId="476"/>
    <cellStyle name="% 3 2 50" xfId="477"/>
    <cellStyle name="% 3 2 51" xfId="478"/>
    <cellStyle name="% 3 2 52" xfId="479"/>
    <cellStyle name="% 3 2 53" xfId="480"/>
    <cellStyle name="% 3 2 54" xfId="481"/>
    <cellStyle name="% 3 2 55" xfId="482"/>
    <cellStyle name="% 3 2 56" xfId="483"/>
    <cellStyle name="% 3 2 57" xfId="484"/>
    <cellStyle name="% 3 2 58" xfId="485"/>
    <cellStyle name="% 3 2 59" xfId="486"/>
    <cellStyle name="% 3 2 6" xfId="487"/>
    <cellStyle name="% 3 2 60" xfId="488"/>
    <cellStyle name="% 3 2 61" xfId="489"/>
    <cellStyle name="% 3 2 62" xfId="490"/>
    <cellStyle name="% 3 2 63" xfId="491"/>
    <cellStyle name="% 3 2 64" xfId="492"/>
    <cellStyle name="% 3 2 65" xfId="493"/>
    <cellStyle name="% 3 2 66" xfId="494"/>
    <cellStyle name="% 3 2 67" xfId="495"/>
    <cellStyle name="% 3 2 68" xfId="496"/>
    <cellStyle name="% 3 2 69" xfId="497"/>
    <cellStyle name="% 3 2 7" xfId="498"/>
    <cellStyle name="% 3 2 70" xfId="499"/>
    <cellStyle name="% 3 2 71" xfId="500"/>
    <cellStyle name="% 3 2 72" xfId="501"/>
    <cellStyle name="% 3 2 73" xfId="502"/>
    <cellStyle name="% 3 2 74" xfId="503"/>
    <cellStyle name="% 3 2 75" xfId="504"/>
    <cellStyle name="% 3 2 76" xfId="505"/>
    <cellStyle name="% 3 2 77" xfId="506"/>
    <cellStyle name="% 3 2 78" xfId="507"/>
    <cellStyle name="% 3 2 8" xfId="508"/>
    <cellStyle name="% 3 2 9" xfId="509"/>
    <cellStyle name="% 3 20" xfId="510"/>
    <cellStyle name="% 3 21" xfId="511"/>
    <cellStyle name="% 3 22" xfId="512"/>
    <cellStyle name="% 3 23" xfId="513"/>
    <cellStyle name="% 3 24" xfId="514"/>
    <cellStyle name="% 3 25" xfId="515"/>
    <cellStyle name="% 3 26" xfId="516"/>
    <cellStyle name="% 3 27" xfId="517"/>
    <cellStyle name="% 3 28" xfId="518"/>
    <cellStyle name="% 3 29" xfId="519"/>
    <cellStyle name="% 3 3" xfId="520"/>
    <cellStyle name="% 3 3 10" xfId="521"/>
    <cellStyle name="% 3 3 11" xfId="522"/>
    <cellStyle name="% 3 3 12" xfId="523"/>
    <cellStyle name="% 3 3 13" xfId="524"/>
    <cellStyle name="% 3 3 14" xfId="525"/>
    <cellStyle name="% 3 3 15" xfId="526"/>
    <cellStyle name="% 3 3 16" xfId="527"/>
    <cellStyle name="% 3 3 17" xfId="528"/>
    <cellStyle name="% 3 3 2" xfId="529"/>
    <cellStyle name="% 3 3 3" xfId="530"/>
    <cellStyle name="% 3 3 4" xfId="531"/>
    <cellStyle name="% 3 3 5" xfId="532"/>
    <cellStyle name="% 3 3 6" xfId="533"/>
    <cellStyle name="% 3 3 7" xfId="534"/>
    <cellStyle name="% 3 3 8" xfId="535"/>
    <cellStyle name="% 3 3 9" xfId="536"/>
    <cellStyle name="% 3 30" xfId="537"/>
    <cellStyle name="% 3 31" xfId="538"/>
    <cellStyle name="% 3 32" xfId="539"/>
    <cellStyle name="% 3 33" xfId="540"/>
    <cellStyle name="% 3 34" xfId="541"/>
    <cellStyle name="% 3 35" xfId="542"/>
    <cellStyle name="% 3 36" xfId="543"/>
    <cellStyle name="% 3 37" xfId="544"/>
    <cellStyle name="% 3 38" xfId="545"/>
    <cellStyle name="% 3 39" xfId="546"/>
    <cellStyle name="% 3 4" xfId="547"/>
    <cellStyle name="% 3 4 10" xfId="548"/>
    <cellStyle name="% 3 4 11" xfId="549"/>
    <cellStyle name="% 3 4 12" xfId="550"/>
    <cellStyle name="% 3 4 13" xfId="551"/>
    <cellStyle name="% 3 4 14" xfId="552"/>
    <cellStyle name="% 3 4 15" xfId="553"/>
    <cellStyle name="% 3 4 16" xfId="554"/>
    <cellStyle name="% 3 4 17" xfId="555"/>
    <cellStyle name="% 3 4 2" xfId="556"/>
    <cellStyle name="% 3 4 3" xfId="557"/>
    <cellStyle name="% 3 4 4" xfId="558"/>
    <cellStyle name="% 3 4 5" xfId="559"/>
    <cellStyle name="% 3 4 6" xfId="560"/>
    <cellStyle name="% 3 4 7" xfId="561"/>
    <cellStyle name="% 3 4 8" xfId="562"/>
    <cellStyle name="% 3 4 9" xfId="563"/>
    <cellStyle name="% 3 40" xfId="564"/>
    <cellStyle name="% 3 41" xfId="565"/>
    <cellStyle name="% 3 42" xfId="566"/>
    <cellStyle name="% 3 43" xfId="567"/>
    <cellStyle name="% 3 44" xfId="568"/>
    <cellStyle name="% 3 45" xfId="569"/>
    <cellStyle name="% 3 46" xfId="570"/>
    <cellStyle name="% 3 47" xfId="571"/>
    <cellStyle name="% 3 48" xfId="572"/>
    <cellStyle name="% 3 49" xfId="573"/>
    <cellStyle name="% 3 5" xfId="574"/>
    <cellStyle name="% 3 50" xfId="575"/>
    <cellStyle name="% 3 51" xfId="576"/>
    <cellStyle name="% 3 52" xfId="577"/>
    <cellStyle name="% 3 53" xfId="578"/>
    <cellStyle name="% 3 54" xfId="579"/>
    <cellStyle name="% 3 55" xfId="580"/>
    <cellStyle name="% 3 56" xfId="581"/>
    <cellStyle name="% 3 57" xfId="582"/>
    <cellStyle name="% 3 58" xfId="583"/>
    <cellStyle name="% 3 59" xfId="584"/>
    <cellStyle name="% 3 6" xfId="585"/>
    <cellStyle name="% 3 60" xfId="586"/>
    <cellStyle name="% 3 61" xfId="587"/>
    <cellStyle name="% 3 62" xfId="588"/>
    <cellStyle name="% 3 63" xfId="589"/>
    <cellStyle name="% 3 64" xfId="590"/>
    <cellStyle name="% 3 65" xfId="591"/>
    <cellStyle name="% 3 66" xfId="592"/>
    <cellStyle name="% 3 67" xfId="593"/>
    <cellStyle name="% 3 68" xfId="594"/>
    <cellStyle name="% 3 69" xfId="595"/>
    <cellStyle name="% 3 7" xfId="596"/>
    <cellStyle name="% 3 70" xfId="597"/>
    <cellStyle name="% 3 71" xfId="598"/>
    <cellStyle name="% 3 72" xfId="599"/>
    <cellStyle name="% 3 73" xfId="600"/>
    <cellStyle name="% 3 74" xfId="601"/>
    <cellStyle name="% 3 75" xfId="602"/>
    <cellStyle name="% 3 76" xfId="603"/>
    <cellStyle name="% 3 77" xfId="604"/>
    <cellStyle name="% 3 78" xfId="605"/>
    <cellStyle name="% 3 8" xfId="606"/>
    <cellStyle name="% 3 9" xfId="607"/>
    <cellStyle name="% 30" xfId="608"/>
    <cellStyle name="% 31" xfId="609"/>
    <cellStyle name="% 32" xfId="610"/>
    <cellStyle name="% 33" xfId="611"/>
    <cellStyle name="% 34" xfId="612"/>
    <cellStyle name="% 35" xfId="613"/>
    <cellStyle name="% 36" xfId="614"/>
    <cellStyle name="% 37" xfId="615"/>
    <cellStyle name="% 38" xfId="616"/>
    <cellStyle name="% 39" xfId="617"/>
    <cellStyle name="% 4" xfId="618"/>
    <cellStyle name="% 4 2" xfId="619"/>
    <cellStyle name="% 4 3" xfId="620"/>
    <cellStyle name="% 4 4" xfId="621"/>
    <cellStyle name="% 4 5" xfId="622"/>
    <cellStyle name="% 4 6" xfId="623"/>
    <cellStyle name="% 4 7" xfId="624"/>
    <cellStyle name="% 4 8" xfId="625"/>
    <cellStyle name="% 40" xfId="626"/>
    <cellStyle name="% 41" xfId="627"/>
    <cellStyle name="% 42" xfId="628"/>
    <cellStyle name="% 43" xfId="629"/>
    <cellStyle name="% 44" xfId="630"/>
    <cellStyle name="% 45" xfId="631"/>
    <cellStyle name="% 46" xfId="632"/>
    <cellStyle name="% 47" xfId="633"/>
    <cellStyle name="% 48" xfId="634"/>
    <cellStyle name="% 49" xfId="635"/>
    <cellStyle name="% 5" xfId="636"/>
    <cellStyle name="% 50" xfId="637"/>
    <cellStyle name="% 51" xfId="638"/>
    <cellStyle name="% 52" xfId="639"/>
    <cellStyle name="% 53" xfId="640"/>
    <cellStyle name="% 54" xfId="641"/>
    <cellStyle name="% 55" xfId="642"/>
    <cellStyle name="% 56" xfId="643"/>
    <cellStyle name="% 57" xfId="644"/>
    <cellStyle name="% 58" xfId="645"/>
    <cellStyle name="% 59" xfId="646"/>
    <cellStyle name="% 6" xfId="647"/>
    <cellStyle name="% 60" xfId="648"/>
    <cellStyle name="% 61" xfId="649"/>
    <cellStyle name="% 62" xfId="650"/>
    <cellStyle name="% 63" xfId="651"/>
    <cellStyle name="% 64" xfId="652"/>
    <cellStyle name="% 65" xfId="653"/>
    <cellStyle name="% 66" xfId="654"/>
    <cellStyle name="% 67" xfId="655"/>
    <cellStyle name="% 68" xfId="656"/>
    <cellStyle name="% 69" xfId="657"/>
    <cellStyle name="% 7" xfId="658"/>
    <cellStyle name="% 70" xfId="659"/>
    <cellStyle name="% 71" xfId="660"/>
    <cellStyle name="% 72" xfId="661"/>
    <cellStyle name="% 73" xfId="662"/>
    <cellStyle name="% 74" xfId="663"/>
    <cellStyle name="% 75" xfId="664"/>
    <cellStyle name="% 76" xfId="665"/>
    <cellStyle name="% 77" xfId="666"/>
    <cellStyle name="% 78" xfId="667"/>
    <cellStyle name="% 79" xfId="668"/>
    <cellStyle name="% 8" xfId="669"/>
    <cellStyle name="% 80" xfId="670"/>
    <cellStyle name="% 81" xfId="671"/>
    <cellStyle name="% 82" xfId="672"/>
    <cellStyle name="% 83" xfId="673"/>
    <cellStyle name="% 84" xfId="674"/>
    <cellStyle name="% 85" xfId="675"/>
    <cellStyle name="% 86" xfId="676"/>
    <cellStyle name="% 87" xfId="677"/>
    <cellStyle name="% 88" xfId="678"/>
    <cellStyle name="% 89" xfId="679"/>
    <cellStyle name="% 9" xfId="680"/>
    <cellStyle name="% 90" xfId="681"/>
    <cellStyle name="% 91" xfId="682"/>
    <cellStyle name="% 92" xfId="683"/>
    <cellStyle name="% 93" xfId="684"/>
    <cellStyle name="% 94" xfId="685"/>
    <cellStyle name="% 95" xfId="686"/>
    <cellStyle name="% 96" xfId="687"/>
    <cellStyle name="% 97" xfId="688"/>
    <cellStyle name="% 98" xfId="689"/>
    <cellStyle name="% 99" xfId="690"/>
    <cellStyle name="%_1. +-Changes from RIIO vD4 to vD5" xfId="691"/>
    <cellStyle name="%_1.3 Acc Costs NG (2011)" xfId="692"/>
    <cellStyle name="%_1.3 Acc Costs NG (2011) 2" xfId="693"/>
    <cellStyle name="%_1.3 Acc Costs NG (2011) 3" xfId="694"/>
    <cellStyle name="%_1.3 Acc Costs NG (2011) 4" xfId="695"/>
    <cellStyle name="%_1.3 Acc Costs NG (2011) 5" xfId="696"/>
    <cellStyle name="%_1.3 Acc Costs NG (2011) 6" xfId="697"/>
    <cellStyle name="%_1.3 Acc Costs NG (2011) 7" xfId="698"/>
    <cellStyle name="%_1.3 Acc Costs NG (2011) 8" xfId="699"/>
    <cellStyle name="%_1.3 Rec to old modelling" xfId="700"/>
    <cellStyle name="%_1.3s Accounting C Costs Scots" xfId="701"/>
    <cellStyle name="%_1.5 Opex Reconciliation NG" xfId="702"/>
    <cellStyle name="%_1.8 Irregular Items" xfId="703"/>
    <cellStyle name="%_1.8 Irregular Items 2" xfId="704"/>
    <cellStyle name="%_1.8 Irregular Items 3" xfId="705"/>
    <cellStyle name="%_1.8 Irregular Items 4" xfId="706"/>
    <cellStyle name="%_1.8 Irregular Items 5" xfId="707"/>
    <cellStyle name="%_1.8 Irregular Items 6" xfId="708"/>
    <cellStyle name="%_1.8 Irregular Items 7" xfId="709"/>
    <cellStyle name="%_1.8 Irregular Items 8" xfId="710"/>
    <cellStyle name="%_2.14 Year on Year Movt" xfId="711"/>
    <cellStyle name="%_2.14 Year on Year Movt ( (2013)" xfId="712"/>
    <cellStyle name="%_2.14 Year on Year Movt ( (2013) 2" xfId="713"/>
    <cellStyle name="%_2.14 Year on Year Movt ( (2013) 3" xfId="714"/>
    <cellStyle name="%_2.14 Year on Year Movt ( (2013) 4" xfId="715"/>
    <cellStyle name="%_2.14 Year on Year Movt ( (2013) 5" xfId="716"/>
    <cellStyle name="%_2.14 Year on Year Movt ( (2013) 6" xfId="717"/>
    <cellStyle name="%_2.14 Year on Year Movt ( (2013) 7" xfId="718"/>
    <cellStyle name="%_2.14 Year on Year Movt ( (2013) 8" xfId="719"/>
    <cellStyle name="%_2.14 Year on Year Movt (2011)" xfId="720"/>
    <cellStyle name="%_2.14 Year on Year Movt (2011) 2" xfId="721"/>
    <cellStyle name="%_2.14 Year on Year Movt (2011) 3" xfId="722"/>
    <cellStyle name="%_2.14 Year on Year Movt (2011) 4" xfId="723"/>
    <cellStyle name="%_2.14 Year on Year Movt (2011) 5" xfId="724"/>
    <cellStyle name="%_2.14 Year on Year Movt (2011) 6" xfId="725"/>
    <cellStyle name="%_2.14 Year on Year Movt (2011) 7" xfId="726"/>
    <cellStyle name="%_2.14 Year on Year Movt (2011) 8" xfId="727"/>
    <cellStyle name="%_2.14 Year on Year Movt (2012)" xfId="728"/>
    <cellStyle name="%_2.14 Year on Year Movt (2012) 2" xfId="729"/>
    <cellStyle name="%_2.14 Year on Year Movt (2012) 3" xfId="730"/>
    <cellStyle name="%_2.14 Year on Year Movt (2012) 4" xfId="731"/>
    <cellStyle name="%_2.14 Year on Year Movt (2012) 5" xfId="732"/>
    <cellStyle name="%_2.14 Year on Year Movt (2012) 6" xfId="733"/>
    <cellStyle name="%_2.14 Year on Year Movt (2012) 7" xfId="734"/>
    <cellStyle name="%_2.14 Year on Year Movt (2012) 8" xfId="735"/>
    <cellStyle name="%_2.4 Exc &amp; Demin " xfId="736"/>
    <cellStyle name="%_2.7s Insurance" xfId="737"/>
    <cellStyle name="%_2010_NGET_TPCR4_RO_FBPQ(Opex) trace only FINAL(DPP)" xfId="738"/>
    <cellStyle name="%_2010_NGET_TPCR4_RO_FBPQ(Opex) trace only FINAL(DPP) 2" xfId="739"/>
    <cellStyle name="%_2010_NGET_TPCR4_RO_FBPQ(Opex) trace only FINAL(DPP) 3" xfId="740"/>
    <cellStyle name="%_2010_NGET_TPCR4_RO_FBPQ(Opex) trace only FINAL(DPP) 4" xfId="741"/>
    <cellStyle name="%_2010_NGET_TPCR4_RO_FBPQ(Opex) trace only FINAL(DPP) 5" xfId="742"/>
    <cellStyle name="%_2010_NGET_TPCR4_RO_FBPQ(Opex) trace only FINAL(DPP) 6" xfId="743"/>
    <cellStyle name="%_2010_NGET_TPCR4_RO_FBPQ(Opex) trace only FINAL(DPP) 7" xfId="744"/>
    <cellStyle name="%_2010_NGET_TPCR4_RO_FBPQ(Opex) trace only FINAL(DPP) 8" xfId="745"/>
    <cellStyle name="%_3.1.2 DB Pension Detail" xfId="746"/>
    <cellStyle name="%_3.3 Tax" xfId="747"/>
    <cellStyle name="%_3.3 Tax 2" xfId="748"/>
    <cellStyle name="%_3.3 Tax 2 2" xfId="749"/>
    <cellStyle name="%_3.3 Tax 3" xfId="750"/>
    <cellStyle name="%_3.3 Tax_2.14 Year on Year Movt" xfId="751"/>
    <cellStyle name="%_3.3 Tax_2.4 Exc &amp; Demin " xfId="752"/>
    <cellStyle name="%_3.3 Tax_2.7s Insurance" xfId="753"/>
    <cellStyle name="%_3.3 Tax_3.1.2 DB Pension Detail" xfId="754"/>
    <cellStyle name="%_3.3 Tax_4.16 Asset lives" xfId="755"/>
    <cellStyle name="%_4.16 Asset lives" xfId="756"/>
    <cellStyle name="%_4.2 Activity Indicators" xfId="757"/>
    <cellStyle name="%_4.2 Activity Indicators 2" xfId="758"/>
    <cellStyle name="%_4.2 Activity Indicators 2 2" xfId="759"/>
    <cellStyle name="%_4.2 Activity Indicators 3" xfId="760"/>
    <cellStyle name="%_4.20 Scheme Listing NLR" xfId="761"/>
    <cellStyle name="%_4.3 Transmission system performance" xfId="762"/>
    <cellStyle name="%_5.15.1 Cond &amp; Risk-Entry Points" xfId="763"/>
    <cellStyle name="%_5.15.2 Cond &amp; Risk-Exit Points" xfId="764"/>
    <cellStyle name="%_5.15.3 Cond &amp; Risk-Comps" xfId="765"/>
    <cellStyle name="%_5.15.4 Cond &amp; Risk-Pipelines" xfId="766"/>
    <cellStyle name="%_5.15.5 Cond &amp; Risk-Multijunctin" xfId="767"/>
    <cellStyle name="%_5.6 Environmental " xfId="768"/>
    <cellStyle name="%_5.9 Asset data " xfId="769"/>
    <cellStyle name="%_Book1" xfId="770"/>
    <cellStyle name="%_BP10+ GTO Capex Split CN" xfId="771"/>
    <cellStyle name="%_Business Plan " xfId="772"/>
    <cellStyle name="%_Copy of Repair Draft RIIO Plan v0.11" xfId="773"/>
    <cellStyle name="%_Customer Operations Business Plan Input Reqs (3)" xfId="774"/>
    <cellStyle name="%_Draft RIIO plan presentation template - Commercial (2)" xfId="775"/>
    <cellStyle name="%_Draft RIIO plan presentation template - Customer Opsx Centre V2 (2)" xfId="776"/>
    <cellStyle name="%_Draft RIIO plan presentation template - Customer Opsx Centre V2 (2) - updated with mapping" xfId="777"/>
    <cellStyle name="%_Draft RIIO plan presentation template - Customer Opsx Centre V7" xfId="778"/>
    <cellStyle name="%_Emergency DRAFT RIIO Plan V0 3 1" xfId="779"/>
    <cellStyle name="%_Emergency DRAFT RIIO Plan V0 9" xfId="780"/>
    <cellStyle name="%_EMS 0.1 Emergency Process" xfId="781"/>
    <cellStyle name="%_EMS 0.1 Emergency Process - Opex plan template" xfId="782"/>
    <cellStyle name="%_EMS 0.2 Emergency Process" xfId="783"/>
    <cellStyle name="%_GTO Non Operational Capex Roll-over submission (FINAL with property)" xfId="784"/>
    <cellStyle name="%_Inputs" xfId="785"/>
    <cellStyle name="%_Maintenance Draft RIIO Plan v0.1" xfId="786"/>
    <cellStyle name="%_Manual Adjustments" xfId="787"/>
    <cellStyle name="%_Network Strategy Business Plan Input Reqs - v10" xfId="788"/>
    <cellStyle name="%_NGET Opex PCRRP Tables 31 Mar 2010 Final" xfId="789"/>
    <cellStyle name="%_NGET Opex PCRRP Tables 31 Mar 2010 Final 2" xfId="790"/>
    <cellStyle name="%_NGG Capex PCRRP Tables 31 Mar 2010 DraftV6 FINAL" xfId="791"/>
    <cellStyle name="%_NGG Opex PCRRP Tables 31 Mar 2009" xfId="792"/>
    <cellStyle name="%_NGG Opex PCRRP Tables 31 Mar 2009 2" xfId="793"/>
    <cellStyle name="%_NGG Opex PCRRP Tables 31 Mar 2010 final" xfId="794"/>
    <cellStyle name="%_NGG TPCR4 MG Workings" xfId="795"/>
    <cellStyle name="%_NGG TPCR4 Rollover FBPQ (Capex)" xfId="796"/>
    <cellStyle name="%_Non formula" xfId="797"/>
    <cellStyle name="%_Opex Consolidation v0.4" xfId="798"/>
    <cellStyle name="%_Opex plan template draft5" xfId="799"/>
    <cellStyle name="%_Opex plan template draft5b" xfId="800"/>
    <cellStyle name="%_Opex plan template draft5b 2" xfId="801"/>
    <cellStyle name="%_Opex plan template draft5b 2 2" xfId="802"/>
    <cellStyle name="%_Opex plan template draft5b 3" xfId="803"/>
    <cellStyle name="%_Opex plan template draft5b 3 2" xfId="804"/>
    <cellStyle name="%_Opex plan template draft6" xfId="805"/>
    <cellStyle name="%_Reactor (No scheme)" xfId="806"/>
    <cellStyle name="%_Reactor (Schemes)" xfId="807"/>
    <cellStyle name="%_Reactor_revisit (No scheme)" xfId="808"/>
    <cellStyle name="%_Reactor_revisit (Schemes)" xfId="809"/>
    <cellStyle name="%_Repair Draft RIIO Plan v0.12" xfId="810"/>
    <cellStyle name="%_Repair Draft RIIO Plan v0.18" xfId="811"/>
    <cellStyle name="%_Repair Draft RIIO Plan v0.19" xfId="812"/>
    <cellStyle name="%_Repair Draft RIIO Plan v0.20" xfId="813"/>
    <cellStyle name="%_Repair Draft RIIO Plan v0.5" xfId="814"/>
    <cellStyle name="%_Repair Draft RIIO Plan v0.6" xfId="815"/>
    <cellStyle name="%_Repair Draft RIIO Plan v0.9" xfId="816"/>
    <cellStyle name="%_RIIO Baseline Plan v3A with Reg Comparison &amp; Graphs" xfId="817"/>
    <cellStyle name="%_RIIO plan template - NS v1" xfId="818"/>
    <cellStyle name="%_RRP table" xfId="819"/>
    <cellStyle name="%_RRP table_1" xfId="820"/>
    <cellStyle name="%_Sch 2.1 Eng schedule 2009-10 Final @ 270710" xfId="821"/>
    <cellStyle name="%_Sch 2.1 Eng schedule 2009-10 Final @ 270710 2" xfId="822"/>
    <cellStyle name="%_Sch 2.1 Eng schedule 2009-10 Final @ 270710 3" xfId="823"/>
    <cellStyle name="%_Sch 2.1 Eng schedule 2009-10 Final @ 270710 4" xfId="824"/>
    <cellStyle name="%_Sch 2.1 Eng schedule 2009-10 Final @ 270710 5" xfId="825"/>
    <cellStyle name="%_Sch 2.1 Eng schedule 2009-10 Final @ 270710 6" xfId="826"/>
    <cellStyle name="%_Sch 2.1 Eng schedule 2009-10 Final @ 270710 7" xfId="827"/>
    <cellStyle name="%_Sch 2.1 Eng schedule 2009-10 Final @ 270710 8" xfId="828"/>
    <cellStyle name="%_Sheet1" xfId="829"/>
    <cellStyle name="%_Stat  Accounts" xfId="830"/>
    <cellStyle name="%_Switchgear (No scheme)" xfId="831"/>
    <cellStyle name="%_Switchgear (Schemes)" xfId="832"/>
    <cellStyle name="%_Switchgear_revisit (No scheme)" xfId="833"/>
    <cellStyle name="%_Switchgear_revisit (Schemes)" xfId="834"/>
    <cellStyle name="%_Table 4 28_Final" xfId="835"/>
    <cellStyle name="%_Table 4-16 - Asset Lives - 2009-10_Final" xfId="836"/>
    <cellStyle name="%_Table 4-16 - Asset Lives - 2009-10_Final (2)" xfId="837"/>
    <cellStyle name="%_Total summary" xfId="838"/>
    <cellStyle name="%_TPCR4 RollOver NGG Draft Table 5.8 v2" xfId="839"/>
    <cellStyle name="%_TPCR4 RollOver NGG Draft Table 5.8 v2 2" xfId="840"/>
    <cellStyle name="%_TPCR4 RollOver NGG Draft Table 5.8 v2 3" xfId="841"/>
    <cellStyle name="%_TPCR4 RollOver NGG Draft Table 5.8 v2 4" xfId="842"/>
    <cellStyle name="%_TPCR4 RollOver NGG Draft Table 5.8 v2 5" xfId="843"/>
    <cellStyle name="%_TPCR4 RollOver NGG Draft Table 5.8 v2 6" xfId="844"/>
    <cellStyle name="%_TPCR4 RollOver NGG Draft Table 5.8 v2 7" xfId="845"/>
    <cellStyle name="%_TPCR4 RollOver NGG Draft Table 5.8 v2 8" xfId="846"/>
    <cellStyle name="%_Transformer data based on November Freeze and RIIObaseline D6 data 10062011" xfId="847"/>
    <cellStyle name="%_Transmission PCRRP tables_SPTL_200809 V1" xfId="848"/>
    <cellStyle name="%_Transmission PCRRP tables_SPTL_200809 V1 2" xfId="849"/>
    <cellStyle name="%_Transmission PCRRP tables_SPTL_200809 V1 3" xfId="850"/>
    <cellStyle name="%_Transmission PCRRP tables_SPTL_200809 V1 4" xfId="851"/>
    <cellStyle name="%_Transmission PCRRP tables_SPTL_200809 V1_3.1.2 DB Pension Detail" xfId="852"/>
    <cellStyle name="%_Transmission PCRRP tables_SPTL_200809 V1_4.20 Scheme Listing NLR" xfId="853"/>
    <cellStyle name="%_Transmission PCRRP tables_SPTL_200809 V1_Table 4 28_Final" xfId="854"/>
    <cellStyle name="%_Transmission PCRRP tables_SPTL_200809 V1_Table 4-16 - Asset Lives - 2009-10_Final" xfId="855"/>
    <cellStyle name="%_Transmission PCRRP tables_SPTL_200809 V1_Table 4-16 - Asset Lives - 2009-10_Final (2)" xfId="856"/>
    <cellStyle name="%_Tx (No scheme)" xfId="857"/>
    <cellStyle name="%_Tx (Schemes)" xfId="858"/>
    <cellStyle name="%_Tx_revisit (No scheme)" xfId="859"/>
    <cellStyle name="%_Tx_revisit (Schemes)" xfId="860"/>
    <cellStyle name="%_VR Asset Man NGET 1.3 1.7 1.8, 2.14 2.15" xfId="861"/>
    <cellStyle name="%_VR NGET Opex tables" xfId="862"/>
    <cellStyle name="%_VR NGET Opex tables_1.5 Opex Reconciliation NG" xfId="863"/>
    <cellStyle name="%_VR Pensions Opex tables" xfId="864"/>
    <cellStyle name="%_VR Pensions Opex tables_2010_NGET_TPCR4_RO_FBPQ(Opex) trace only FINAL(DPP)" xfId="865"/>
    <cellStyle name="%_Winter - Pay deal impacts - Repair" xfId="866"/>
    <cellStyle name="%_WJBP Acc Ctrl v3" xfId="867"/>
    <cellStyle name="%1_Inputs" xfId="868"/>
    <cellStyle name="******************************************" xfId="869"/>
    <cellStyle name=".744" xfId="870"/>
    <cellStyle name="?? [0]_VERA" xfId="871"/>
    <cellStyle name="?????_VERA" xfId="872"/>
    <cellStyle name="??_VERA" xfId="873"/>
    <cellStyle name="_070323 - 5yr opex BPQ (Final)" xfId="874"/>
    <cellStyle name="_070323 - 5yr opex BPQ (Final) 2" xfId="875"/>
    <cellStyle name="_070323 - 5yr opex BPQ (Final) 3" xfId="876"/>
    <cellStyle name="_070323 - 5yr opex BPQ (Final) 4" xfId="877"/>
    <cellStyle name="_070323 - 5yr opex BPQ (Final) 5" xfId="878"/>
    <cellStyle name="_070323 - 5yr opex BPQ (Final) 6" xfId="879"/>
    <cellStyle name="_070323 - 5yr opex BPQ (Final) 7" xfId="880"/>
    <cellStyle name="_070323 - 5yr opex BPQ (Final) 8" xfId="881"/>
    <cellStyle name="_0708 GSO Capex RRP (detail)" xfId="882"/>
    <cellStyle name="_0708 GSO Capex RRP (detail)_RRP table" xfId="883"/>
    <cellStyle name="_0708 TO Non-Op Capex (detail)" xfId="884"/>
    <cellStyle name="_0708 TO Non-Op Capex (detail) 2" xfId="885"/>
    <cellStyle name="_0708 TO Non-Op Capex (detail) 3" xfId="886"/>
    <cellStyle name="_0708 TO Non-Op Capex (detail) 4" xfId="887"/>
    <cellStyle name="_0708 TO Non-Op Capex (detail) 5" xfId="888"/>
    <cellStyle name="_0708 TO Non-Op Capex (detail) 6" xfId="889"/>
    <cellStyle name="_0708 TO Non-Op Capex (detail) 7" xfId="890"/>
    <cellStyle name="_0708 TO Non-Op Capex (detail) 8" xfId="891"/>
    <cellStyle name="_0708 TO Non-Op Capex (detail)_1.3 Rec to old modelling" xfId="892"/>
    <cellStyle name="_0708 TO Non-Op Capex (detail)_1.5 Opex Reconciliation NG" xfId="893"/>
    <cellStyle name="_0708 TO Non-Op Capex (detail)_2010_NGET_TPCR4_RO_FBPQ(Opex) trace only FINAL(DPP)" xfId="894"/>
    <cellStyle name="_0708 TO Non-Op Capex (detail)_2010_NGET_TPCR4_RO_FBPQ(Opex) trace only FINAL(DPP) 2" xfId="895"/>
    <cellStyle name="_0708 TO Non-Op Capex (detail)_2010_NGET_TPCR4_RO_FBPQ(Opex) trace only FINAL(DPP) 3" xfId="896"/>
    <cellStyle name="_0708 TO Non-Op Capex (detail)_2010_NGET_TPCR4_RO_FBPQ(Opex) trace only FINAL(DPP) 4" xfId="897"/>
    <cellStyle name="_0708 TO Non-Op Capex (detail)_2010_NGET_TPCR4_RO_FBPQ(Opex) trace only FINAL(DPP) 5" xfId="898"/>
    <cellStyle name="_0708 TO Non-Op Capex (detail)_2010_NGET_TPCR4_RO_FBPQ(Opex) trace only FINAL(DPP) 6" xfId="899"/>
    <cellStyle name="_0708 TO Non-Op Capex (detail)_2010_NGET_TPCR4_RO_FBPQ(Opex) trace only FINAL(DPP) 7" xfId="900"/>
    <cellStyle name="_0708 TO Non-Op Capex (detail)_2010_NGET_TPCR4_RO_FBPQ(Opex) trace only FINAL(DPP) 8" xfId="901"/>
    <cellStyle name="_0708 TO Non-Op Capex (detail)_Manual Adjustments" xfId="902"/>
    <cellStyle name="_0708 TO Non-Op Capex (detail)_NGET Opex PCRRP Tables 31 Mar 2010 Final" xfId="903"/>
    <cellStyle name="_0708 TO Non-Op Capex (detail)_RRP table" xfId="904"/>
    <cellStyle name="_0708 TO Non-Op Capex (detail)_Sheet1" xfId="905"/>
    <cellStyle name="_070822 Mains and services workload phasing (2)" xfId="906"/>
    <cellStyle name="_070822 Repex - submission vp (2)" xfId="907"/>
    <cellStyle name="_0decimals" xfId="908"/>
    <cellStyle name="_1.3 Acc Costs NG (2011)" xfId="909"/>
    <cellStyle name="_1.8 Irregular Items" xfId="910"/>
    <cellStyle name="_2.14 Year on Year Movt ( (2013)" xfId="911"/>
    <cellStyle name="_2.14 Year on Year Movt (2011)" xfId="912"/>
    <cellStyle name="_2.14 Year on Year Movt (2012)" xfId="913"/>
    <cellStyle name="_2.9 UK BS Reconciliation" xfId="914"/>
    <cellStyle name="_2.9 UK BS Reconciliation_RRP table" xfId="915"/>
    <cellStyle name="_2010 Budget workings (Draft 5)" xfId="916"/>
    <cellStyle name="_2010 Draft Budgeted Summary 150709 (2)" xfId="917"/>
    <cellStyle name="_Accounting entries Feb 09" xfId="918"/>
    <cellStyle name="_Actuals" xfId="919"/>
    <cellStyle name="_Actuals 2" xfId="920"/>
    <cellStyle name="_Admin 01e" xfId="921"/>
    <cellStyle name="_Admin 01e 2" xfId="922"/>
    <cellStyle name="_Admin 01e 2 2" xfId="923"/>
    <cellStyle name="_Admin 01e 3" xfId="924"/>
    <cellStyle name="_Admin 01e_SGN_14m" xfId="925"/>
    <cellStyle name="_Admin 01e_strategic model 05j (INDEXATION)" xfId="926"/>
    <cellStyle name="_Admin 01o" xfId="927"/>
    <cellStyle name="_Admin 01o 2" xfId="928"/>
    <cellStyle name="_Admin 01o 2 2" xfId="929"/>
    <cellStyle name="_Admin 01o 3" xfId="930"/>
    <cellStyle name="_Admin 01o_SGN_14m" xfId="931"/>
    <cellStyle name="_Admin 01o_strategic model 05j (INDEXATION)" xfId="932"/>
    <cellStyle name="_Admin 02b" xfId="933"/>
    <cellStyle name="_Admin 02b 2" xfId="934"/>
    <cellStyle name="_Admin 02b 2 2" xfId="935"/>
    <cellStyle name="_Admin 02b 3" xfId="936"/>
    <cellStyle name="_Admin 02b_SGN_14m" xfId="937"/>
    <cellStyle name="_Admin 02b_strategic model 05j (INDEXATION)" xfId="938"/>
    <cellStyle name="_Amended Capex position 2011-12" xfId="939"/>
    <cellStyle name="_Balance Sheet Rec" xfId="940"/>
    <cellStyle name="_Balance Sheet Rec 2" xfId="941"/>
    <cellStyle name="_Berr Strading Analysis v 04 (2012 to 2020) v0 8 (no capex from 2012)" xfId="942"/>
    <cellStyle name="_Book1 (2)" xfId="943"/>
    <cellStyle name="_Book2" xfId="944"/>
    <cellStyle name="_Book3" xfId="945"/>
    <cellStyle name="_Book4" xfId="946"/>
    <cellStyle name="_BP10.2 v BP10v6 Reg Tables" xfId="947"/>
    <cellStyle name="_BP10.2 v BP10v6 Reg Tables_Reactor (No scheme)" xfId="948"/>
    <cellStyle name="_BP10.2 v BP10v6 Reg Tables_Reactor (Schemes)" xfId="949"/>
    <cellStyle name="_BP10.2 v BP10v6 Reg Tables_Reactor_revisit (No scheme)" xfId="950"/>
    <cellStyle name="_BP10.2 v BP10v6 Reg Tables_Reactor_revisit (Schemes)" xfId="951"/>
    <cellStyle name="_BP10.2 v BP10v6 Reg Tables_Tx (No scheme)" xfId="952"/>
    <cellStyle name="_BP10.2 v BP10v6 Reg Tables_Tx (Schemes)" xfId="953"/>
    <cellStyle name="_BP10.2 v BP10v6 Reg Tables_Tx_revisit (No scheme)" xfId="954"/>
    <cellStyle name="_BP10.2 v BP10v6 Reg Tables_Tx_revisit (Schemes)" xfId="955"/>
    <cellStyle name="_BP10+ GTO Capex Split CN" xfId="956"/>
    <cellStyle name="_BP10+post TIC 1 Jun" xfId="957"/>
    <cellStyle name="_BP11 GTO Capex Split CN v3 Dec-15 upload" xfId="958"/>
    <cellStyle name="_BSIS-JUN-008 APX" xfId="959"/>
    <cellStyle name="_BSIS-MAY-011 &amp; BSIS-MAY-012R Escrow Ac's" xfId="960"/>
    <cellStyle name="_Business Plan " xfId="961"/>
    <cellStyle name="_capex 1011" xfId="962"/>
    <cellStyle name="_Capex summary" xfId="963"/>
    <cellStyle name="_Capital Plan - IS UK" xfId="964"/>
    <cellStyle name="_Capital Plan - IS UK 2" xfId="965"/>
    <cellStyle name="_Capital Plan - IS UK 3" xfId="966"/>
    <cellStyle name="_Capital Plan - IS UK 4" xfId="967"/>
    <cellStyle name="_Capital Plan - IS UK 5" xfId="968"/>
    <cellStyle name="_Capital Plan - IS UK 6" xfId="969"/>
    <cellStyle name="_Capital Plan - IS UK 7" xfId="970"/>
    <cellStyle name="_Capital Plan - IS UK 8" xfId="971"/>
    <cellStyle name="_Capital Plan - IS UK_0910 GSO Capex RRP - Final (Detail) v2 220710" xfId="972"/>
    <cellStyle name="_Capital Plan - IS UK_1.3 Rec to old modelling" xfId="973"/>
    <cellStyle name="_Capital Plan - IS UK_1.5 Opex Reconciliation NG" xfId="974"/>
    <cellStyle name="_Capital Plan - IS UK_2010_NGET_TPCR4_RO_FBPQ(Opex) trace only FINAL(DPP)" xfId="975"/>
    <cellStyle name="_Capital Plan - IS UK_2010_NGET_TPCR4_RO_FBPQ(Opex) trace only FINAL(DPP) 2" xfId="976"/>
    <cellStyle name="_Capital Plan - IS UK_2010_NGET_TPCR4_RO_FBPQ(Opex) trace only FINAL(DPP) 3" xfId="977"/>
    <cellStyle name="_Capital Plan - IS UK_2010_NGET_TPCR4_RO_FBPQ(Opex) trace only FINAL(DPP) 4" xfId="978"/>
    <cellStyle name="_Capital Plan - IS UK_2010_NGET_TPCR4_RO_FBPQ(Opex) trace only FINAL(DPP) 5" xfId="979"/>
    <cellStyle name="_Capital Plan - IS UK_2010_NGET_TPCR4_RO_FBPQ(Opex) trace only FINAL(DPP) 6" xfId="980"/>
    <cellStyle name="_Capital Plan - IS UK_2010_NGET_TPCR4_RO_FBPQ(Opex) trace only FINAL(DPP) 7" xfId="981"/>
    <cellStyle name="_Capital Plan - IS UK_2010_NGET_TPCR4_RO_FBPQ(Opex) trace only FINAL(DPP) 8" xfId="982"/>
    <cellStyle name="_Capital Plan - IS UK_Manual Adjustments" xfId="983"/>
    <cellStyle name="_Capital Plan - IS UK_NGET Opex PCRRP Tables 31 Mar 2010 Final" xfId="984"/>
    <cellStyle name="_Capital Plan - IS UK_RRP table" xfId="985"/>
    <cellStyle name="_Capital Plan - IS UK_RRP table_1" xfId="986"/>
    <cellStyle name="_Capital Plan - IS UK_Sheet1" xfId="987"/>
    <cellStyle name="_Capital Plan - IS UK_Stat  Accounts" xfId="988"/>
    <cellStyle name="_CFO tables - New style" xfId="989"/>
    <cellStyle name="_Comma" xfId="990"/>
    <cellStyle name="_Comma_CSC" xfId="991"/>
    <cellStyle name="_Comma_merger_plans_modified_9_3_1999" xfId="992"/>
    <cellStyle name="_Commercial Escrow journals" xfId="993"/>
    <cellStyle name="_Commercial RIIO Business Plan V1" xfId="994"/>
    <cellStyle name="_Consolidated Financial Statements (Planet Data Book Format) v9.5" xfId="995"/>
    <cellStyle name="_Consolidated NS Forecast - 2011-12 Jan-11" xfId="996"/>
    <cellStyle name="_Copy of BGE T&amp;D OM v012 (1 Scenario)_TA38 (inputs for DBU Reg Co.5) with checks - finalEP" xfId="997"/>
    <cellStyle name="_Copy of BGE T&amp;D OM v012 (1 Scenario)_TA38 (inputs for DBU Reg Co.5) with checks - finalEP 2" xfId="998"/>
    <cellStyle name="_Copy of SGN 10a Business Plan 2010v1" xfId="999"/>
    <cellStyle name="_Copy of SGN 10a Business Plan 2010v15 updated budget 190310l" xfId="1000"/>
    <cellStyle name="_Copy of SGN 4.19 v3(OTPP) RF4" xfId="1001"/>
    <cellStyle name="_Copy of SGN 4.19 v3(OTPP) RF4 2" xfId="1002"/>
    <cellStyle name="_Cost Book NWR draft ss 090825" xfId="1003"/>
    <cellStyle name="_Cover" xfId="1004"/>
    <cellStyle name="_Currency" xfId="1005"/>
    <cellStyle name="_Currency_CSC" xfId="1006"/>
    <cellStyle name="_Currency_merger_plans_modified_9_3_1999" xfId="1007"/>
    <cellStyle name="_Currency_Model_Sep_2_02" xfId="1008"/>
    <cellStyle name="_Currency_Pipeline Model v1 (09_09_02) v3" xfId="1009"/>
    <cellStyle name="_CurrencySpace" xfId="1010"/>
    <cellStyle name="_CurrencySpace_CSC" xfId="1011"/>
    <cellStyle name="_CurrencySpace_merger_plans_modified_9_3_1999" xfId="1012"/>
    <cellStyle name="_Customer Ops RIIO Business Plan V2" xfId="1013"/>
    <cellStyle name="_Dalmuir 05l" xfId="1014"/>
    <cellStyle name="_dashboard example 01b" xfId="1015"/>
    <cellStyle name="_dashboard example 01b 2" xfId="1016"/>
    <cellStyle name="_Data" xfId="1017"/>
    <cellStyle name="_DFR.24 NBMHT 03g" xfId="1018"/>
    <cellStyle name="_DFR.24 NBMHT 03g 2" xfId="1019"/>
    <cellStyle name="_DFR.24 NBMHT 03g 2 2" xfId="1020"/>
    <cellStyle name="_DFR.24 NBMHT 03g 3" xfId="1021"/>
    <cellStyle name="_DFR.24 NBMHT 03g_SGN_14m" xfId="1022"/>
    <cellStyle name="_DFR.24 NBMHT 03g_strategic model 05j (INDEXATION)" xfId="1023"/>
    <cellStyle name="_Disclaimer" xfId="1024"/>
    <cellStyle name="_DR2 Oracle mapping document" xfId="1025"/>
    <cellStyle name="_Draft RIIO plan presentation template - CSDx Centre" xfId="1026"/>
    <cellStyle name="_Draft RIIO plan presentation template - Customer Opsx Centre V7" xfId="1027"/>
    <cellStyle name="_Electricity North West_v2.28" xfId="1028"/>
    <cellStyle name="_Extraction of Consolidated Financial Statements (Planet Data Book Format)" xfId="1029"/>
    <cellStyle name="_F1F9 ExModel 24b DFR01a" xfId="1030"/>
    <cellStyle name="_Finan - South" xfId="1031"/>
    <cellStyle name="_Finan - South 2" xfId="1032"/>
    <cellStyle name="_Gas TO major Projects Forecast Jun-10" xfId="1033"/>
    <cellStyle name="_Gas TO major Projects Forecast May-10 BP10+ v5" xfId="1034"/>
    <cellStyle name="_GDUK manpower summary (3)" xfId="1035"/>
    <cellStyle name="_GDx 2010_11 Q3 QPR tables - UK v3" xfId="1036"/>
    <cellStyle name="_Genesys 12f" xfId="1037"/>
    <cellStyle name="_Genesys 17e" xfId="1038"/>
    <cellStyle name="_GTO Commodity Pricing Model &amp; Risk Score Model Workings BP11 v2" xfId="1039"/>
    <cellStyle name="_GTO Non Operational Capex Roll-over submission (FINAL with property)" xfId="1040"/>
    <cellStyle name="_HoldCo" xfId="1041"/>
    <cellStyle name="_HoldCo 2" xfId="1042"/>
    <cellStyle name="_HoldCo_Finan - South" xfId="1043"/>
    <cellStyle name="_HoldCo_Inputs" xfId="1044"/>
    <cellStyle name="_HoldCo_RF Rec" xfId="1045"/>
    <cellStyle name="_HoldCo_SCOT FinStat" xfId="1046"/>
    <cellStyle name="_HoldCo_South FinStat" xfId="1047"/>
    <cellStyle name="_Inflation Output" xfId="1048"/>
    <cellStyle name="_Inflation Output 2" xfId="1049"/>
    <cellStyle name="_ING Mthly Accounting Entries Feb 09" xfId="1050"/>
    <cellStyle name="_Inputs" xfId="1051"/>
    <cellStyle name="_Inputs 2" xfId="1052"/>
    <cellStyle name="_Inputs 2008" xfId="1053"/>
    <cellStyle name="_Inputs 2008 2" xfId="1054"/>
    <cellStyle name="_IS" xfId="1055"/>
    <cellStyle name="_key indicators comparison" xfId="1056"/>
    <cellStyle name="_Kilo 31a" xfId="1057"/>
    <cellStyle name="_Lazuli Example Model 24d" xfId="1058"/>
    <cellStyle name="_Liquidity chart_Amended_16Jan09" xfId="1059"/>
    <cellStyle name="_MASTER OPEX COMMERCIAL AS AT 24-02-09" xfId="1060"/>
    <cellStyle name="_MASTER OPEX COMMERCIAL AS AT 24-02-09 2" xfId="1061"/>
    <cellStyle name="_Metering" xfId="1062"/>
    <cellStyle name="_Metering 2" xfId="1063"/>
    <cellStyle name="_Metering 3" xfId="1064"/>
    <cellStyle name="_Metering 4" xfId="1065"/>
    <cellStyle name="_Metering 5" xfId="1066"/>
    <cellStyle name="_Metering 6" xfId="1067"/>
    <cellStyle name="_Metering 7" xfId="1068"/>
    <cellStyle name="_Metering 8" xfId="1069"/>
    <cellStyle name="_Metering_Customer Operations Business Plan Input Reqs (3)" xfId="1070"/>
    <cellStyle name="_Metering_Draft RIIO plan presentation template - Commercial (2)" xfId="1071"/>
    <cellStyle name="_Metering_Draft RIIO plan presentation template - Customer Opsx Centre V2 (2)" xfId="1072"/>
    <cellStyle name="_Metering_Draft RIIO plan presentation template - Customer Opsx Centre V2 (2) - updated with mapping" xfId="1073"/>
    <cellStyle name="_Metering_Network Strategy Business Plan Input Reqs - v10" xfId="1074"/>
    <cellStyle name="_Metering_Non formula" xfId="1075"/>
    <cellStyle name="_Metering_RRP table" xfId="1076"/>
    <cellStyle name="_Monthly Value" xfId="1077"/>
    <cellStyle name="_Multiple" xfId="1078"/>
    <cellStyle name="_Multiple_CSC" xfId="1079"/>
    <cellStyle name="_Multiple_merger_plans_modified_9_3_1999" xfId="1080"/>
    <cellStyle name="_Multiple_Model_Sep_2_02" xfId="1081"/>
    <cellStyle name="_Multiple_Pipeline Model v1 (09_09_02) v3" xfId="1082"/>
    <cellStyle name="_MultipleSpace" xfId="1083"/>
    <cellStyle name="_MultipleSpace_CSC" xfId="1084"/>
    <cellStyle name="_MultipleSpace_merger_plans_modified_9_3_1999" xfId="1085"/>
    <cellStyle name="_MultipleSpace_Model_Sep_2_02" xfId="1086"/>
    <cellStyle name="_MultipleSpace_Pipeline Model v1 (09_09_02) v3" xfId="1087"/>
    <cellStyle name="_New CFO (2)" xfId="1088"/>
    <cellStyle name="_NFOR Budget 201112 control totals" xfId="1089"/>
    <cellStyle name="_NGM  Business Valuation Jan 10 v7 no links(sg)" xfId="1090"/>
    <cellStyle name="_Notes" xfId="1091"/>
    <cellStyle name="_Notes 01t" xfId="1092"/>
    <cellStyle name="_NS RIIO WJ Business Plan v3" xfId="1093"/>
    <cellStyle name="_Old_Op_10.64_01a" xfId="1094"/>
    <cellStyle name="_OM_SI_02_01 - Co 90_141008_Keelderry_v03" xfId="1095"/>
    <cellStyle name="_OM_SI_02_01 - Co 90_141008_Keelderry_v03 2" xfId="1096"/>
    <cellStyle name="_Opex 1011" xfId="1097"/>
    <cellStyle name="_Opex initiatives tracker v1.5 (post 9 aug update )" xfId="1098"/>
    <cellStyle name="_OTPP Review" xfId="1099"/>
    <cellStyle name="_OTPP Review 2" xfId="1100"/>
    <cellStyle name="_Outputs_v6" xfId="1101"/>
    <cellStyle name="_Outputs_v6 2" xfId="1102"/>
    <cellStyle name="_Outputs_v7" xfId="1103"/>
    <cellStyle name="_Outputs_v7 2" xfId="1104"/>
    <cellStyle name="_Percent" xfId="1105"/>
    <cellStyle name="_Percent_CSC" xfId="1106"/>
    <cellStyle name="_Percent_merger_plans_modified_9_3_1999" xfId="1107"/>
    <cellStyle name="_Percent_Model_Sep_2_02" xfId="1108"/>
    <cellStyle name="_Percent_Pipeline Model v1 (09_09_02) v3" xfId="1109"/>
    <cellStyle name="_PercentSpace" xfId="1110"/>
    <cellStyle name="_PercentSpace_CSC" xfId="1111"/>
    <cellStyle name="_PercentSpace_merger_plans_modified_9_3_1999" xfId="1112"/>
    <cellStyle name="_PercentSpace_Model_Sep_2_02" xfId="1113"/>
    <cellStyle name="_PercentSpace_Pipeline Model v1 (09_09_02) v3" xfId="1114"/>
    <cellStyle name="_Plan Challenge 1011" xfId="1115"/>
    <cellStyle name="_Plan Challenge 1011_Baseline - MASTER DATA (ORG) - v5.4 (P&amp;OD) BUSINESS PLAN" xfId="1116"/>
    <cellStyle name="_Plan Challenge 1011_Baseline - MASTER DATA (ORG) - v5.4 (P&amp;OD) BUSINESS PLAN_SS templates" xfId="1117"/>
    <cellStyle name="_Plan October QPR Templates - Shares Services (includes Business Services)" xfId="1118"/>
    <cellStyle name="_Pre Release Checklist 01l" xfId="1119"/>
    <cellStyle name="_Repex Forecast 090717" xfId="1120"/>
    <cellStyle name="_Repex Performance Pack 090720" xfId="1121"/>
    <cellStyle name="_RF Rec" xfId="1122"/>
    <cellStyle name="_RF Rec 2" xfId="1123"/>
    <cellStyle name="_SCOT FinStat" xfId="1124"/>
    <cellStyle name="_SCOT FinStat 2" xfId="1125"/>
    <cellStyle name="_Scotland Capex" xfId="1126"/>
    <cellStyle name="_SGN 10a Copy of Business Plan 2010v14 update 180510" xfId="1127"/>
    <cellStyle name="_SGN 4.18" xfId="1128"/>
    <cellStyle name="_SGN 4.18 2" xfId="1129"/>
    <cellStyle name="_Sheet1" xfId="1130"/>
    <cellStyle name="_Sheet1 2" xfId="1131"/>
    <cellStyle name="_Sheet1_1" xfId="1132"/>
    <cellStyle name="_Sheet1_1 2" xfId="1133"/>
    <cellStyle name="_Sheet1_1_SGN_14m" xfId="1134"/>
    <cellStyle name="_Sheet1_SGN_14m" xfId="1135"/>
    <cellStyle name="_Sheet2" xfId="1136"/>
    <cellStyle name="_Sheet3" xfId="1137"/>
    <cellStyle name="_Sheets to populate 1112 Budget Slides" xfId="1138"/>
    <cellStyle name="_Skel Mod 01l" xfId="1139"/>
    <cellStyle name="_South FinStat" xfId="1140"/>
    <cellStyle name="_South FinStat 2" xfId="1141"/>
    <cellStyle name="_Spreadsheet to populate plan slides 120810" xfId="1142"/>
    <cellStyle name="_Summaries" xfId="1143"/>
    <cellStyle name="_Summary" xfId="1144"/>
    <cellStyle name="_Summary (inc. Contract &amp; Conn.)" xfId="1145"/>
    <cellStyle name="_Sundry" xfId="1146"/>
    <cellStyle name="_TableRowHead" xfId="1147"/>
    <cellStyle name="_TableSuperHead" xfId="1148"/>
    <cellStyle name="_TEMPLATE 01m" xfId="1149"/>
    <cellStyle name="_Test scoring_UKGDx_20070924_Pilot (DV)" xfId="1150"/>
    <cellStyle name="_Test scoring_UKGDx_20070924_Pilot (DV) 2" xfId="1151"/>
    <cellStyle name="_Test scoring_UKGDx_20070924_Pilot (DV) 3" xfId="1152"/>
    <cellStyle name="_Test scoring_UKGDx_20070924_Pilot (DV) 4" xfId="1153"/>
    <cellStyle name="_Test scoring_UKGDx_20070924_Pilot (DV) 5" xfId="1154"/>
    <cellStyle name="_Test scoring_UKGDx_20070924_Pilot (DV) 6" xfId="1155"/>
    <cellStyle name="_Test scoring_UKGDx_20070924_Pilot (DV) 7" xfId="1156"/>
    <cellStyle name="_Test scoring_UKGDx_20070924_Pilot (DV) 8" xfId="1157"/>
    <cellStyle name="_TGK-14" xfId="1158"/>
    <cellStyle name="_TGK-9" xfId="1159"/>
    <cellStyle name="_TGK-9_1" xfId="1160"/>
    <cellStyle name="_Third Party-IT Data Collection Template" xfId="1161"/>
    <cellStyle name="_Total summary" xfId="1162"/>
    <cellStyle name="_Tower Definition (2)" xfId="1163"/>
    <cellStyle name="_Tower Definition (2)_Baseline - MASTER DATA (ORG) - v5.4 (P&amp;OD) BUSINESS PLAN" xfId="1164"/>
    <cellStyle name="_Tower Definition (2)_Baseline - MASTER DATA (ORG) - v5.4 (P&amp;OD) BUSINESS PLAN_SS templates" xfId="1165"/>
    <cellStyle name="_track 01a" xfId="1166"/>
    <cellStyle name="_Transmission agency" xfId="1167"/>
    <cellStyle name="_UKT RAV Summary (Mar-10) v2" xfId="1168"/>
    <cellStyle name="_Vattenfall Euro CY" xfId="1169"/>
    <cellStyle name="_VT FinMod 72d" xfId="1170"/>
    <cellStyle name="_VT FinMod 72d 2" xfId="1171"/>
    <cellStyle name="_VT FinMod 72d 2 2" xfId="1172"/>
    <cellStyle name="_VT FinMod 72d 3" xfId="1173"/>
    <cellStyle name="_VT FinMod 72d Option Effects" xfId="1174"/>
    <cellStyle name="_VT FinMod 72d Option Effects 2" xfId="1175"/>
    <cellStyle name="_VT FinMod 72d Option Effects 2 2" xfId="1176"/>
    <cellStyle name="_VT FinMod 72d Option Effects 3" xfId="1177"/>
    <cellStyle name="_VT FinMod 72d Option Effects_SGN_14m" xfId="1178"/>
    <cellStyle name="_VT FinMod 72d Option Effects_strategic model 05j (INDEXATION)" xfId="1179"/>
    <cellStyle name="_VT FinMod 72d_SGN_14m" xfId="1180"/>
    <cellStyle name="_VT FinMod 72d_strategic model 05j (INDEXATION)" xfId="1181"/>
    <cellStyle name="_VT FinMod 74a - pre D&amp;T deletion" xfId="1182"/>
    <cellStyle name="_VT FinMod 74a - pre D&amp;T deletion 2" xfId="1183"/>
    <cellStyle name="_VT FinMod 74a - pre D&amp;T deletion 2 2" xfId="1184"/>
    <cellStyle name="_VT FinMod 74a - pre D&amp;T deletion 3" xfId="1185"/>
    <cellStyle name="_VT FinMod 74a - pre D&amp;T deletion_SGN_14m" xfId="1186"/>
    <cellStyle name="_VT FinMod 74a - pre D&amp;T deletion_strategic model 05j (INDEXATION)" xfId="1187"/>
    <cellStyle name="_VT FinMod 76p" xfId="1188"/>
    <cellStyle name="_VT FinMod 76p 2" xfId="1189"/>
    <cellStyle name="_VT FinMod 76p 2 2" xfId="1190"/>
    <cellStyle name="_VT FinMod 76p 3" xfId="1191"/>
    <cellStyle name="_VT FinMod 76p_SGN_14m" xfId="1192"/>
    <cellStyle name="_VT FinMod 76p_strategic model 05j (INDEXATION)" xfId="1193"/>
    <cellStyle name="’Ê‰Ý [0.00]_Area" xfId="1194"/>
    <cellStyle name="’Ê‰Ý_Area" xfId="1195"/>
    <cellStyle name="£" xfId="1196"/>
    <cellStyle name="£ BP" xfId="1197"/>
    <cellStyle name="£[2]" xfId="1198"/>
    <cellStyle name="¥ JY" xfId="1199"/>
    <cellStyle name="€" xfId="1200"/>
    <cellStyle name="=C:\WINNT\SYSTEM32\COMMAND.COM" xfId="1201"/>
    <cellStyle name="=C:\WINNT\SYSTEM32\COMMAND.COM 10" xfId="1202"/>
    <cellStyle name="=C:\WINNT\SYSTEM32\COMMAND.COM 11" xfId="1203"/>
    <cellStyle name="=C:\WINNT\SYSTEM32\COMMAND.COM 12" xfId="1204"/>
    <cellStyle name="=C:\WINNT\SYSTEM32\COMMAND.COM 12 2" xfId="1205"/>
    <cellStyle name="=C:\WINNT\SYSTEM32\COMMAND.COM 13" xfId="1206"/>
    <cellStyle name="=C:\WINNT\SYSTEM32\COMMAND.COM 14" xfId="1207"/>
    <cellStyle name="=C:\WINNT\SYSTEM32\COMMAND.COM 15" xfId="1208"/>
    <cellStyle name="=C:\WINNT\SYSTEM32\COMMAND.COM 16" xfId="1209"/>
    <cellStyle name="=C:\WINNT\SYSTEM32\COMMAND.COM 17" xfId="1210"/>
    <cellStyle name="=C:\WINNT\SYSTEM32\COMMAND.COM 18" xfId="1211"/>
    <cellStyle name="=C:\WINNT\SYSTEM32\COMMAND.COM 19" xfId="1212"/>
    <cellStyle name="=C:\WINNT\SYSTEM32\COMMAND.COM 2" xfId="1213"/>
    <cellStyle name="=C:\WINNT\SYSTEM32\COMMAND.COM 2 2" xfId="1214"/>
    <cellStyle name="=C:\WINNT\SYSTEM32\COMMAND.COM 2 2 10" xfId="1215"/>
    <cellStyle name="=C:\WINNT\SYSTEM32\COMMAND.COM 2 2 11" xfId="1216"/>
    <cellStyle name="=C:\WINNT\SYSTEM32\COMMAND.COM 2 2 12" xfId="1217"/>
    <cellStyle name="=C:\WINNT\SYSTEM32\COMMAND.COM 2 2 13" xfId="1218"/>
    <cellStyle name="=C:\WINNT\SYSTEM32\COMMAND.COM 2 2 14" xfId="1219"/>
    <cellStyle name="=C:\WINNT\SYSTEM32\COMMAND.COM 2 2 15" xfId="1220"/>
    <cellStyle name="=C:\WINNT\SYSTEM32\COMMAND.COM 2 2 16" xfId="1221"/>
    <cellStyle name="=C:\WINNT\SYSTEM32\COMMAND.COM 2 2 17" xfId="1222"/>
    <cellStyle name="=C:\WINNT\SYSTEM32\COMMAND.COM 2 2 18" xfId="1223"/>
    <cellStyle name="=C:\WINNT\SYSTEM32\COMMAND.COM 2 2 19" xfId="1224"/>
    <cellStyle name="=C:\WINNT\SYSTEM32\COMMAND.COM 2 2 2" xfId="1225"/>
    <cellStyle name="=C:\WINNT\SYSTEM32\COMMAND.COM 2 2 2 2" xfId="1226"/>
    <cellStyle name="=C:\WINNT\SYSTEM32\COMMAND.COM 2 2 2_NGN_RIIO-GD1_ BPDT (tab 2.0-4.3)" xfId="1227"/>
    <cellStyle name="=C:\WINNT\SYSTEM32\COMMAND.COM 2 2 20" xfId="1228"/>
    <cellStyle name="=C:\WINNT\SYSTEM32\COMMAND.COM 2 2 21" xfId="1229"/>
    <cellStyle name="=C:\WINNT\SYSTEM32\COMMAND.COM 2 2 22" xfId="1230"/>
    <cellStyle name="=C:\WINNT\SYSTEM32\COMMAND.COM 2 2 23" xfId="1231"/>
    <cellStyle name="=C:\WINNT\SYSTEM32\COMMAND.COM 2 2 24" xfId="1232"/>
    <cellStyle name="=C:\WINNT\SYSTEM32\COMMAND.COM 2 2 25" xfId="1233"/>
    <cellStyle name="=C:\WINNT\SYSTEM32\COMMAND.COM 2 2 26" xfId="1234"/>
    <cellStyle name="=C:\WINNT\SYSTEM32\COMMAND.COM 2 2 27" xfId="1235"/>
    <cellStyle name="=C:\WINNT\SYSTEM32\COMMAND.COM 2 2 28" xfId="1236"/>
    <cellStyle name="=C:\WINNT\SYSTEM32\COMMAND.COM 2 2 29" xfId="1237"/>
    <cellStyle name="=C:\WINNT\SYSTEM32\COMMAND.COM 2 2 3" xfId="1238"/>
    <cellStyle name="=C:\WINNT\SYSTEM32\COMMAND.COM 2 2 30" xfId="1239"/>
    <cellStyle name="=C:\WINNT\SYSTEM32\COMMAND.COM 2 2 31" xfId="1240"/>
    <cellStyle name="=C:\WINNT\SYSTEM32\COMMAND.COM 2 2 32" xfId="1241"/>
    <cellStyle name="=C:\WINNT\SYSTEM32\COMMAND.COM 2 2 33" xfId="1242"/>
    <cellStyle name="=C:\WINNT\SYSTEM32\COMMAND.COM 2 2 34" xfId="1243"/>
    <cellStyle name="=C:\WINNT\SYSTEM32\COMMAND.COM 2 2 35" xfId="1244"/>
    <cellStyle name="=C:\WINNT\SYSTEM32\COMMAND.COM 2 2 36" xfId="1245"/>
    <cellStyle name="=C:\WINNT\SYSTEM32\COMMAND.COM 2 2 37" xfId="1246"/>
    <cellStyle name="=C:\WINNT\SYSTEM32\COMMAND.COM 2 2 38" xfId="1247"/>
    <cellStyle name="=C:\WINNT\SYSTEM32\COMMAND.COM 2 2 39" xfId="1248"/>
    <cellStyle name="=C:\WINNT\SYSTEM32\COMMAND.COM 2 2 4" xfId="1249"/>
    <cellStyle name="=C:\WINNT\SYSTEM32\COMMAND.COM 2 2 40" xfId="1250"/>
    <cellStyle name="=C:\WINNT\SYSTEM32\COMMAND.COM 2 2 41" xfId="1251"/>
    <cellStyle name="=C:\WINNT\SYSTEM32\COMMAND.COM 2 2 42" xfId="1252"/>
    <cellStyle name="=C:\WINNT\SYSTEM32\COMMAND.COM 2 2 43" xfId="1253"/>
    <cellStyle name="=C:\WINNT\SYSTEM32\COMMAND.COM 2 2 44" xfId="1254"/>
    <cellStyle name="=C:\WINNT\SYSTEM32\COMMAND.COM 2 2 45" xfId="1255"/>
    <cellStyle name="=C:\WINNT\SYSTEM32\COMMAND.COM 2 2 46" xfId="1256"/>
    <cellStyle name="=C:\WINNT\SYSTEM32\COMMAND.COM 2 2 47" xfId="1257"/>
    <cellStyle name="=C:\WINNT\SYSTEM32\COMMAND.COM 2 2 48" xfId="1258"/>
    <cellStyle name="=C:\WINNT\SYSTEM32\COMMAND.COM 2 2 5" xfId="1259"/>
    <cellStyle name="=C:\WINNT\SYSTEM32\COMMAND.COM 2 2 6" xfId="1260"/>
    <cellStyle name="=C:\WINNT\SYSTEM32\COMMAND.COM 2 2 7" xfId="1261"/>
    <cellStyle name="=C:\WINNT\SYSTEM32\COMMAND.COM 2 2 8" xfId="1262"/>
    <cellStyle name="=C:\WINNT\SYSTEM32\COMMAND.COM 2 2 9" xfId="1263"/>
    <cellStyle name="=C:\WINNT\SYSTEM32\COMMAND.COM 2 2_1.3s Accounting C Costs Scots" xfId="1264"/>
    <cellStyle name="=C:\WINNT\SYSTEM32\COMMAND.COM 2 3" xfId="1265"/>
    <cellStyle name="=C:\WINNT\SYSTEM32\COMMAND.COM 2 4" xfId="1266"/>
    <cellStyle name="=C:\WINNT\SYSTEM32\COMMAND.COM 2 5" xfId="1267"/>
    <cellStyle name="=C:\WINNT\SYSTEM32\COMMAND.COM 2 6" xfId="1268"/>
    <cellStyle name="=C:\WINNT\SYSTEM32\COMMAND.COM 2 7" xfId="1269"/>
    <cellStyle name="=C:\WINNT\SYSTEM32\COMMAND.COM 2 8" xfId="1270"/>
    <cellStyle name="=C:\WINNT\SYSTEM32\COMMAND.COM 2 9" xfId="1271"/>
    <cellStyle name="=C:\WINNT\SYSTEM32\COMMAND.COM 20" xfId="1272"/>
    <cellStyle name="=C:\WINNT\SYSTEM32\COMMAND.COM 21" xfId="1273"/>
    <cellStyle name="=C:\WINNT\SYSTEM32\COMMAND.COM 22" xfId="1274"/>
    <cellStyle name="=C:\WINNT\SYSTEM32\COMMAND.COM 23" xfId="1275"/>
    <cellStyle name="=C:\WINNT\SYSTEM32\COMMAND.COM 24" xfId="1276"/>
    <cellStyle name="=C:\WINNT\SYSTEM32\COMMAND.COM 25" xfId="1277"/>
    <cellStyle name="=C:\WINNT\SYSTEM32\COMMAND.COM 26" xfId="1278"/>
    <cellStyle name="=C:\WINNT\SYSTEM32\COMMAND.COM 27" xfId="1279"/>
    <cellStyle name="=C:\WINNT\SYSTEM32\COMMAND.COM 28" xfId="1280"/>
    <cellStyle name="=C:\WINNT\SYSTEM32\COMMAND.COM 29" xfId="1281"/>
    <cellStyle name="=C:\WINNT\SYSTEM32\COMMAND.COM 3" xfId="1282"/>
    <cellStyle name="=C:\WINNT\SYSTEM32\COMMAND.COM 3 2" xfId="1283"/>
    <cellStyle name="=C:\WINNT\SYSTEM32\COMMAND.COM 3 3" xfId="1284"/>
    <cellStyle name="=C:\WINNT\SYSTEM32\COMMAND.COM 3 4" xfId="1285"/>
    <cellStyle name="=C:\WINNT\SYSTEM32\COMMAND.COM 3 5" xfId="1286"/>
    <cellStyle name="=C:\WINNT\SYSTEM32\COMMAND.COM 3 6" xfId="1287"/>
    <cellStyle name="=C:\WINNT\SYSTEM32\COMMAND.COM 3 7" xfId="1288"/>
    <cellStyle name="=C:\WINNT\SYSTEM32\COMMAND.COM 3 8" xfId="1289"/>
    <cellStyle name="=C:\WINNT\SYSTEM32\COMMAND.COM 30" xfId="1290"/>
    <cellStyle name="=C:\WINNT\SYSTEM32\COMMAND.COM 31" xfId="1291"/>
    <cellStyle name="=C:\WINNT\SYSTEM32\COMMAND.COM 32" xfId="1292"/>
    <cellStyle name="=C:\WINNT\SYSTEM32\COMMAND.COM 33" xfId="1293"/>
    <cellStyle name="=C:\WINNT\SYSTEM32\COMMAND.COM 34" xfId="1294"/>
    <cellStyle name="=C:\WINNT\SYSTEM32\COMMAND.COM 35" xfId="1295"/>
    <cellStyle name="=C:\WINNT\SYSTEM32\COMMAND.COM 36" xfId="1296"/>
    <cellStyle name="=C:\WINNT\SYSTEM32\COMMAND.COM 37" xfId="1297"/>
    <cellStyle name="=C:\WINNT\SYSTEM32\COMMAND.COM 38" xfId="1298"/>
    <cellStyle name="=C:\WINNT\SYSTEM32\COMMAND.COM 39" xfId="1299"/>
    <cellStyle name="=C:\WINNT\SYSTEM32\COMMAND.COM 4" xfId="1300"/>
    <cellStyle name="=C:\WINNT\SYSTEM32\COMMAND.COM 4 10" xfId="1301"/>
    <cellStyle name="=C:\WINNT\SYSTEM32\COMMAND.COM 4 11" xfId="1302"/>
    <cellStyle name="=C:\WINNT\SYSTEM32\COMMAND.COM 4 12" xfId="1303"/>
    <cellStyle name="=C:\WINNT\SYSTEM32\COMMAND.COM 4 13" xfId="1304"/>
    <cellStyle name="=C:\WINNT\SYSTEM32\COMMAND.COM 4 14" xfId="1305"/>
    <cellStyle name="=C:\WINNT\SYSTEM32\COMMAND.COM 4 15" xfId="1306"/>
    <cellStyle name="=C:\WINNT\SYSTEM32\COMMAND.COM 4 16" xfId="1307"/>
    <cellStyle name="=C:\WINNT\SYSTEM32\COMMAND.COM 4 17" xfId="1308"/>
    <cellStyle name="=C:\WINNT\SYSTEM32\COMMAND.COM 4 18" xfId="1309"/>
    <cellStyle name="=C:\WINNT\SYSTEM32\COMMAND.COM 4 19" xfId="1310"/>
    <cellStyle name="=C:\WINNT\SYSTEM32\COMMAND.COM 4 2" xfId="1311"/>
    <cellStyle name="=C:\WINNT\SYSTEM32\COMMAND.COM 4 20" xfId="1312"/>
    <cellStyle name="=C:\WINNT\SYSTEM32\COMMAND.COM 4 21" xfId="1313"/>
    <cellStyle name="=C:\WINNT\SYSTEM32\COMMAND.COM 4 22" xfId="1314"/>
    <cellStyle name="=C:\WINNT\SYSTEM32\COMMAND.COM 4 23" xfId="1315"/>
    <cellStyle name="=C:\WINNT\SYSTEM32\COMMAND.COM 4 24" xfId="1316"/>
    <cellStyle name="=C:\WINNT\SYSTEM32\COMMAND.COM 4 25" xfId="1317"/>
    <cellStyle name="=C:\WINNT\SYSTEM32\COMMAND.COM 4 26" xfId="1318"/>
    <cellStyle name="=C:\WINNT\SYSTEM32\COMMAND.COM 4 27" xfId="1319"/>
    <cellStyle name="=C:\WINNT\SYSTEM32\COMMAND.COM 4 28" xfId="1320"/>
    <cellStyle name="=C:\WINNT\SYSTEM32\COMMAND.COM 4 29" xfId="1321"/>
    <cellStyle name="=C:\WINNT\SYSTEM32\COMMAND.COM 4 3" xfId="1322"/>
    <cellStyle name="=C:\WINNT\SYSTEM32\COMMAND.COM 4 30" xfId="1323"/>
    <cellStyle name="=C:\WINNT\SYSTEM32\COMMAND.COM 4 31" xfId="1324"/>
    <cellStyle name="=C:\WINNT\SYSTEM32\COMMAND.COM 4 32" xfId="1325"/>
    <cellStyle name="=C:\WINNT\SYSTEM32\COMMAND.COM 4 33" xfId="1326"/>
    <cellStyle name="=C:\WINNT\SYSTEM32\COMMAND.COM 4 34" xfId="1327"/>
    <cellStyle name="=C:\WINNT\SYSTEM32\COMMAND.COM 4 35" xfId="1328"/>
    <cellStyle name="=C:\WINNT\SYSTEM32\COMMAND.COM 4 36" xfId="1329"/>
    <cellStyle name="=C:\WINNT\SYSTEM32\COMMAND.COM 4 37" xfId="1330"/>
    <cellStyle name="=C:\WINNT\SYSTEM32\COMMAND.COM 4 38" xfId="1331"/>
    <cellStyle name="=C:\WINNT\SYSTEM32\COMMAND.COM 4 39" xfId="1332"/>
    <cellStyle name="=C:\WINNT\SYSTEM32\COMMAND.COM 4 4" xfId="1333"/>
    <cellStyle name="=C:\WINNT\SYSTEM32\COMMAND.COM 4 40" xfId="1334"/>
    <cellStyle name="=C:\WINNT\SYSTEM32\COMMAND.COM 4 41" xfId="1335"/>
    <cellStyle name="=C:\WINNT\SYSTEM32\COMMAND.COM 4 42" xfId="1336"/>
    <cellStyle name="=C:\WINNT\SYSTEM32\COMMAND.COM 4 43" xfId="1337"/>
    <cellStyle name="=C:\WINNT\SYSTEM32\COMMAND.COM 4 44" xfId="1338"/>
    <cellStyle name="=C:\WINNT\SYSTEM32\COMMAND.COM 4 45" xfId="1339"/>
    <cellStyle name="=C:\WINNT\SYSTEM32\COMMAND.COM 4 46" xfId="1340"/>
    <cellStyle name="=C:\WINNT\SYSTEM32\COMMAND.COM 4 47" xfId="1341"/>
    <cellStyle name="=C:\WINNT\SYSTEM32\COMMAND.COM 4 5" xfId="1342"/>
    <cellStyle name="=C:\WINNT\SYSTEM32\COMMAND.COM 4 6" xfId="1343"/>
    <cellStyle name="=C:\WINNT\SYSTEM32\COMMAND.COM 4 7" xfId="1344"/>
    <cellStyle name="=C:\WINNT\SYSTEM32\COMMAND.COM 4 8" xfId="1345"/>
    <cellStyle name="=C:\WINNT\SYSTEM32\COMMAND.COM 4 9" xfId="1346"/>
    <cellStyle name="=C:\WINNT\SYSTEM32\COMMAND.COM 4_1.3s Accounting C Costs Scots" xfId="1347"/>
    <cellStyle name="=C:\WINNT\SYSTEM32\COMMAND.COM 40" xfId="1348"/>
    <cellStyle name="=C:\WINNT\SYSTEM32\COMMAND.COM 41" xfId="1349"/>
    <cellStyle name="=C:\WINNT\SYSTEM32\COMMAND.COM 42" xfId="1350"/>
    <cellStyle name="=C:\WINNT\SYSTEM32\COMMAND.COM 43" xfId="1351"/>
    <cellStyle name="=C:\WINNT\SYSTEM32\COMMAND.COM 44" xfId="1352"/>
    <cellStyle name="=C:\WINNT\SYSTEM32\COMMAND.COM 45" xfId="1353"/>
    <cellStyle name="=C:\WINNT\SYSTEM32\COMMAND.COM 46" xfId="1354"/>
    <cellStyle name="=C:\WINNT\SYSTEM32\COMMAND.COM 47" xfId="1355"/>
    <cellStyle name="=C:\WINNT\SYSTEM32\COMMAND.COM 48" xfId="1356"/>
    <cellStyle name="=C:\WINNT\SYSTEM32\COMMAND.COM 49" xfId="1357"/>
    <cellStyle name="=C:\WINNT\SYSTEM32\COMMAND.COM 5" xfId="1358"/>
    <cellStyle name="=C:\WINNT\SYSTEM32\COMMAND.COM 5 10" xfId="1359"/>
    <cellStyle name="=C:\WINNT\SYSTEM32\COMMAND.COM 5 10 2" xfId="1360"/>
    <cellStyle name="=C:\WINNT\SYSTEM32\COMMAND.COM 5 10 3" xfId="1361"/>
    <cellStyle name="=C:\WINNT\SYSTEM32\COMMAND.COM 5 10 4" xfId="1362"/>
    <cellStyle name="=C:\WINNT\SYSTEM32\COMMAND.COM 5 10 5" xfId="1363"/>
    <cellStyle name="=C:\WINNT\SYSTEM32\COMMAND.COM 5 10 6" xfId="1364"/>
    <cellStyle name="=C:\WINNT\SYSTEM32\COMMAND.COM 5 10 7" xfId="1365"/>
    <cellStyle name="=C:\WINNT\SYSTEM32\COMMAND.COM 5 10 8" xfId="1366"/>
    <cellStyle name="=C:\WINNT\SYSTEM32\COMMAND.COM 5 11" xfId="1367"/>
    <cellStyle name="=C:\WINNT\SYSTEM32\COMMAND.COM 5 11 2" xfId="1368"/>
    <cellStyle name="=C:\WINNT\SYSTEM32\COMMAND.COM 5 11 3" xfId="1369"/>
    <cellStyle name="=C:\WINNT\SYSTEM32\COMMAND.COM 5 11 4" xfId="1370"/>
    <cellStyle name="=C:\WINNT\SYSTEM32\COMMAND.COM 5 11 5" xfId="1371"/>
    <cellStyle name="=C:\WINNT\SYSTEM32\COMMAND.COM 5 11 6" xfId="1372"/>
    <cellStyle name="=C:\WINNT\SYSTEM32\COMMAND.COM 5 11 7" xfId="1373"/>
    <cellStyle name="=C:\WINNT\SYSTEM32\COMMAND.COM 5 11 8" xfId="1374"/>
    <cellStyle name="=C:\WINNT\SYSTEM32\COMMAND.COM 5 12" xfId="1375"/>
    <cellStyle name="=C:\WINNT\SYSTEM32\COMMAND.COM 5 12 2" xfId="1376"/>
    <cellStyle name="=C:\WINNT\SYSTEM32\COMMAND.COM 5 12 3" xfId="1377"/>
    <cellStyle name="=C:\WINNT\SYSTEM32\COMMAND.COM 5 12 4" xfId="1378"/>
    <cellStyle name="=C:\WINNT\SYSTEM32\COMMAND.COM 5 12 5" xfId="1379"/>
    <cellStyle name="=C:\WINNT\SYSTEM32\COMMAND.COM 5 12 6" xfId="1380"/>
    <cellStyle name="=C:\WINNT\SYSTEM32\COMMAND.COM 5 12 7" xfId="1381"/>
    <cellStyle name="=C:\WINNT\SYSTEM32\COMMAND.COM 5 12 8" xfId="1382"/>
    <cellStyle name="=C:\WINNT\SYSTEM32\COMMAND.COM 5 13" xfId="1383"/>
    <cellStyle name="=C:\WINNT\SYSTEM32\COMMAND.COM 5 13 2" xfId="1384"/>
    <cellStyle name="=C:\WINNT\SYSTEM32\COMMAND.COM 5 13 3" xfId="1385"/>
    <cellStyle name="=C:\WINNT\SYSTEM32\COMMAND.COM 5 13 4" xfId="1386"/>
    <cellStyle name="=C:\WINNT\SYSTEM32\COMMAND.COM 5 13 5" xfId="1387"/>
    <cellStyle name="=C:\WINNT\SYSTEM32\COMMAND.COM 5 13 6" xfId="1388"/>
    <cellStyle name="=C:\WINNT\SYSTEM32\COMMAND.COM 5 13 7" xfId="1389"/>
    <cellStyle name="=C:\WINNT\SYSTEM32\COMMAND.COM 5 13 8" xfId="1390"/>
    <cellStyle name="=C:\WINNT\SYSTEM32\COMMAND.COM 5 14" xfId="1391"/>
    <cellStyle name="=C:\WINNT\SYSTEM32\COMMAND.COM 5 14 2" xfId="1392"/>
    <cellStyle name="=C:\WINNT\SYSTEM32\COMMAND.COM 5 14 3" xfId="1393"/>
    <cellStyle name="=C:\WINNT\SYSTEM32\COMMAND.COM 5 14 4" xfId="1394"/>
    <cellStyle name="=C:\WINNT\SYSTEM32\COMMAND.COM 5 14 5" xfId="1395"/>
    <cellStyle name="=C:\WINNT\SYSTEM32\COMMAND.COM 5 14 6" xfId="1396"/>
    <cellStyle name="=C:\WINNT\SYSTEM32\COMMAND.COM 5 14 7" xfId="1397"/>
    <cellStyle name="=C:\WINNT\SYSTEM32\COMMAND.COM 5 14 8" xfId="1398"/>
    <cellStyle name="=C:\WINNT\SYSTEM32\COMMAND.COM 5 15" xfId="1399"/>
    <cellStyle name="=C:\WINNT\SYSTEM32\COMMAND.COM 5 15 2" xfId="1400"/>
    <cellStyle name="=C:\WINNT\SYSTEM32\COMMAND.COM 5 15 3" xfId="1401"/>
    <cellStyle name="=C:\WINNT\SYSTEM32\COMMAND.COM 5 15 4" xfId="1402"/>
    <cellStyle name="=C:\WINNT\SYSTEM32\COMMAND.COM 5 15 5" xfId="1403"/>
    <cellStyle name="=C:\WINNT\SYSTEM32\COMMAND.COM 5 15 6" xfId="1404"/>
    <cellStyle name="=C:\WINNT\SYSTEM32\COMMAND.COM 5 15 7" xfId="1405"/>
    <cellStyle name="=C:\WINNT\SYSTEM32\COMMAND.COM 5 15 8" xfId="1406"/>
    <cellStyle name="=C:\WINNT\SYSTEM32\COMMAND.COM 5 16" xfId="1407"/>
    <cellStyle name="=C:\WINNT\SYSTEM32\COMMAND.COM 5 16 2" xfId="1408"/>
    <cellStyle name="=C:\WINNT\SYSTEM32\COMMAND.COM 5 16 3" xfId="1409"/>
    <cellStyle name="=C:\WINNT\SYSTEM32\COMMAND.COM 5 16 4" xfId="1410"/>
    <cellStyle name="=C:\WINNT\SYSTEM32\COMMAND.COM 5 16 5" xfId="1411"/>
    <cellStyle name="=C:\WINNT\SYSTEM32\COMMAND.COM 5 16 6" xfId="1412"/>
    <cellStyle name="=C:\WINNT\SYSTEM32\COMMAND.COM 5 16 7" xfId="1413"/>
    <cellStyle name="=C:\WINNT\SYSTEM32\COMMAND.COM 5 16 8" xfId="1414"/>
    <cellStyle name="=C:\WINNT\SYSTEM32\COMMAND.COM 5 17" xfId="1415"/>
    <cellStyle name="=C:\WINNT\SYSTEM32\COMMAND.COM 5 17 2" xfId="1416"/>
    <cellStyle name="=C:\WINNT\SYSTEM32\COMMAND.COM 5 17 3" xfId="1417"/>
    <cellStyle name="=C:\WINNT\SYSTEM32\COMMAND.COM 5 17 4" xfId="1418"/>
    <cellStyle name="=C:\WINNT\SYSTEM32\COMMAND.COM 5 17 5" xfId="1419"/>
    <cellStyle name="=C:\WINNT\SYSTEM32\COMMAND.COM 5 17 6" xfId="1420"/>
    <cellStyle name="=C:\WINNT\SYSTEM32\COMMAND.COM 5 17 7" xfId="1421"/>
    <cellStyle name="=C:\WINNT\SYSTEM32\COMMAND.COM 5 17 8" xfId="1422"/>
    <cellStyle name="=C:\WINNT\SYSTEM32\COMMAND.COM 5 18" xfId="1423"/>
    <cellStyle name="=C:\WINNT\SYSTEM32\COMMAND.COM 5 18 2" xfId="1424"/>
    <cellStyle name="=C:\WINNT\SYSTEM32\COMMAND.COM 5 18 3" xfId="1425"/>
    <cellStyle name="=C:\WINNT\SYSTEM32\COMMAND.COM 5 18 4" xfId="1426"/>
    <cellStyle name="=C:\WINNT\SYSTEM32\COMMAND.COM 5 18 5" xfId="1427"/>
    <cellStyle name="=C:\WINNT\SYSTEM32\COMMAND.COM 5 18 6" xfId="1428"/>
    <cellStyle name="=C:\WINNT\SYSTEM32\COMMAND.COM 5 18 7" xfId="1429"/>
    <cellStyle name="=C:\WINNT\SYSTEM32\COMMAND.COM 5 18 8" xfId="1430"/>
    <cellStyle name="=C:\WINNT\SYSTEM32\COMMAND.COM 5 19" xfId="1431"/>
    <cellStyle name="=C:\WINNT\SYSTEM32\COMMAND.COM 5 19 2" xfId="1432"/>
    <cellStyle name="=C:\WINNT\SYSTEM32\COMMAND.COM 5 19 3" xfId="1433"/>
    <cellStyle name="=C:\WINNT\SYSTEM32\COMMAND.COM 5 19 4" xfId="1434"/>
    <cellStyle name="=C:\WINNT\SYSTEM32\COMMAND.COM 5 19 5" xfId="1435"/>
    <cellStyle name="=C:\WINNT\SYSTEM32\COMMAND.COM 5 19 6" xfId="1436"/>
    <cellStyle name="=C:\WINNT\SYSTEM32\COMMAND.COM 5 19 7" xfId="1437"/>
    <cellStyle name="=C:\WINNT\SYSTEM32\COMMAND.COM 5 19 8" xfId="1438"/>
    <cellStyle name="=C:\WINNT\SYSTEM32\COMMAND.COM 5 2" xfId="1439"/>
    <cellStyle name="=C:\WINNT\SYSTEM32\COMMAND.COM 5 2 2" xfId="1440"/>
    <cellStyle name="=C:\WINNT\SYSTEM32\COMMAND.COM 5 2 3" xfId="1441"/>
    <cellStyle name="=C:\WINNT\SYSTEM32\COMMAND.COM 5 2 4" xfId="1442"/>
    <cellStyle name="=C:\WINNT\SYSTEM32\COMMAND.COM 5 2 5" xfId="1443"/>
    <cellStyle name="=C:\WINNT\SYSTEM32\COMMAND.COM 5 2 6" xfId="1444"/>
    <cellStyle name="=C:\WINNT\SYSTEM32\COMMAND.COM 5 2 7" xfId="1445"/>
    <cellStyle name="=C:\WINNT\SYSTEM32\COMMAND.COM 5 2 8" xfId="1446"/>
    <cellStyle name="=C:\WINNT\SYSTEM32\COMMAND.COM 5 2 9" xfId="1447"/>
    <cellStyle name="=C:\WINNT\SYSTEM32\COMMAND.COM 5 20" xfId="1448"/>
    <cellStyle name="=C:\WINNT\SYSTEM32\COMMAND.COM 5 20 2" xfId="1449"/>
    <cellStyle name="=C:\WINNT\SYSTEM32\COMMAND.COM 5 20 3" xfId="1450"/>
    <cellStyle name="=C:\WINNT\SYSTEM32\COMMAND.COM 5 20 4" xfId="1451"/>
    <cellStyle name="=C:\WINNT\SYSTEM32\COMMAND.COM 5 20 5" xfId="1452"/>
    <cellStyle name="=C:\WINNT\SYSTEM32\COMMAND.COM 5 20 6" xfId="1453"/>
    <cellStyle name="=C:\WINNT\SYSTEM32\COMMAND.COM 5 20 7" xfId="1454"/>
    <cellStyle name="=C:\WINNT\SYSTEM32\COMMAND.COM 5 20 8" xfId="1455"/>
    <cellStyle name="=C:\WINNT\SYSTEM32\COMMAND.COM 5 21" xfId="1456"/>
    <cellStyle name="=C:\WINNT\SYSTEM32\COMMAND.COM 5 21 2" xfId="1457"/>
    <cellStyle name="=C:\WINNT\SYSTEM32\COMMAND.COM 5 21 3" xfId="1458"/>
    <cellStyle name="=C:\WINNT\SYSTEM32\COMMAND.COM 5 21 4" xfId="1459"/>
    <cellStyle name="=C:\WINNT\SYSTEM32\COMMAND.COM 5 21 5" xfId="1460"/>
    <cellStyle name="=C:\WINNT\SYSTEM32\COMMAND.COM 5 21 6" xfId="1461"/>
    <cellStyle name="=C:\WINNT\SYSTEM32\COMMAND.COM 5 21 7" xfId="1462"/>
    <cellStyle name="=C:\WINNT\SYSTEM32\COMMAND.COM 5 21 8" xfId="1463"/>
    <cellStyle name="=C:\WINNT\SYSTEM32\COMMAND.COM 5 22" xfId="1464"/>
    <cellStyle name="=C:\WINNT\SYSTEM32\COMMAND.COM 5 22 2" xfId="1465"/>
    <cellStyle name="=C:\WINNT\SYSTEM32\COMMAND.COM 5 22 3" xfId="1466"/>
    <cellStyle name="=C:\WINNT\SYSTEM32\COMMAND.COM 5 22 4" xfId="1467"/>
    <cellStyle name="=C:\WINNT\SYSTEM32\COMMAND.COM 5 22 5" xfId="1468"/>
    <cellStyle name="=C:\WINNT\SYSTEM32\COMMAND.COM 5 22 6" xfId="1469"/>
    <cellStyle name="=C:\WINNT\SYSTEM32\COMMAND.COM 5 22 7" xfId="1470"/>
    <cellStyle name="=C:\WINNT\SYSTEM32\COMMAND.COM 5 22 8" xfId="1471"/>
    <cellStyle name="=C:\WINNT\SYSTEM32\COMMAND.COM 5 3" xfId="1472"/>
    <cellStyle name="=C:\WINNT\SYSTEM32\COMMAND.COM 5 3 2" xfId="1473"/>
    <cellStyle name="=C:\WINNT\SYSTEM32\COMMAND.COM 5 3 3" xfId="1474"/>
    <cellStyle name="=C:\WINNT\SYSTEM32\COMMAND.COM 5 3 4" xfId="1475"/>
    <cellStyle name="=C:\WINNT\SYSTEM32\COMMAND.COM 5 3 5" xfId="1476"/>
    <cellStyle name="=C:\WINNT\SYSTEM32\COMMAND.COM 5 3 6" xfId="1477"/>
    <cellStyle name="=C:\WINNT\SYSTEM32\COMMAND.COM 5 3 7" xfId="1478"/>
    <cellStyle name="=C:\WINNT\SYSTEM32\COMMAND.COM 5 3 8" xfId="1479"/>
    <cellStyle name="=C:\WINNT\SYSTEM32\COMMAND.COM 5 4" xfId="1480"/>
    <cellStyle name="=C:\WINNT\SYSTEM32\COMMAND.COM 5 4 2" xfId="1481"/>
    <cellStyle name="=C:\WINNT\SYSTEM32\COMMAND.COM 5 4 3" xfId="1482"/>
    <cellStyle name="=C:\WINNT\SYSTEM32\COMMAND.COM 5 4 4" xfId="1483"/>
    <cellStyle name="=C:\WINNT\SYSTEM32\COMMAND.COM 5 4 5" xfId="1484"/>
    <cellStyle name="=C:\WINNT\SYSTEM32\COMMAND.COM 5 4 6" xfId="1485"/>
    <cellStyle name="=C:\WINNT\SYSTEM32\COMMAND.COM 5 4 7" xfId="1486"/>
    <cellStyle name="=C:\WINNT\SYSTEM32\COMMAND.COM 5 4 8" xfId="1487"/>
    <cellStyle name="=C:\WINNT\SYSTEM32\COMMAND.COM 5 5" xfId="1488"/>
    <cellStyle name="=C:\WINNT\SYSTEM32\COMMAND.COM 5 5 2" xfId="1489"/>
    <cellStyle name="=C:\WINNT\SYSTEM32\COMMAND.COM 5 5 3" xfId="1490"/>
    <cellStyle name="=C:\WINNT\SYSTEM32\COMMAND.COM 5 5 4" xfId="1491"/>
    <cellStyle name="=C:\WINNT\SYSTEM32\COMMAND.COM 5 5 5" xfId="1492"/>
    <cellStyle name="=C:\WINNT\SYSTEM32\COMMAND.COM 5 5 6" xfId="1493"/>
    <cellStyle name="=C:\WINNT\SYSTEM32\COMMAND.COM 5 5 7" xfId="1494"/>
    <cellStyle name="=C:\WINNT\SYSTEM32\COMMAND.COM 5 5 8" xfId="1495"/>
    <cellStyle name="=C:\WINNT\SYSTEM32\COMMAND.COM 5 6" xfId="1496"/>
    <cellStyle name="=C:\WINNT\SYSTEM32\COMMAND.COM 5 6 2" xfId="1497"/>
    <cellStyle name="=C:\WINNT\SYSTEM32\COMMAND.COM 5 6 3" xfId="1498"/>
    <cellStyle name="=C:\WINNT\SYSTEM32\COMMAND.COM 5 6 4" xfId="1499"/>
    <cellStyle name="=C:\WINNT\SYSTEM32\COMMAND.COM 5 6 5" xfId="1500"/>
    <cellStyle name="=C:\WINNT\SYSTEM32\COMMAND.COM 5 6 6" xfId="1501"/>
    <cellStyle name="=C:\WINNT\SYSTEM32\COMMAND.COM 5 6 7" xfId="1502"/>
    <cellStyle name="=C:\WINNT\SYSTEM32\COMMAND.COM 5 6 8" xfId="1503"/>
    <cellStyle name="=C:\WINNT\SYSTEM32\COMMAND.COM 5 7" xfId="1504"/>
    <cellStyle name="=C:\WINNT\SYSTEM32\COMMAND.COM 5 7 2" xfId="1505"/>
    <cellStyle name="=C:\WINNT\SYSTEM32\COMMAND.COM 5 7 3" xfId="1506"/>
    <cellStyle name="=C:\WINNT\SYSTEM32\COMMAND.COM 5 7 4" xfId="1507"/>
    <cellStyle name="=C:\WINNT\SYSTEM32\COMMAND.COM 5 7 5" xfId="1508"/>
    <cellStyle name="=C:\WINNT\SYSTEM32\COMMAND.COM 5 7 6" xfId="1509"/>
    <cellStyle name="=C:\WINNT\SYSTEM32\COMMAND.COM 5 7 7" xfId="1510"/>
    <cellStyle name="=C:\WINNT\SYSTEM32\COMMAND.COM 5 7 8" xfId="1511"/>
    <cellStyle name="=C:\WINNT\SYSTEM32\COMMAND.COM 5 8" xfId="1512"/>
    <cellStyle name="=C:\WINNT\SYSTEM32\COMMAND.COM 5 8 2" xfId="1513"/>
    <cellStyle name="=C:\WINNT\SYSTEM32\COMMAND.COM 5 8 3" xfId="1514"/>
    <cellStyle name="=C:\WINNT\SYSTEM32\COMMAND.COM 5 8 4" xfId="1515"/>
    <cellStyle name="=C:\WINNT\SYSTEM32\COMMAND.COM 5 8 5" xfId="1516"/>
    <cellStyle name="=C:\WINNT\SYSTEM32\COMMAND.COM 5 8 6" xfId="1517"/>
    <cellStyle name="=C:\WINNT\SYSTEM32\COMMAND.COM 5 8 7" xfId="1518"/>
    <cellStyle name="=C:\WINNT\SYSTEM32\COMMAND.COM 5 8 8" xfId="1519"/>
    <cellStyle name="=C:\WINNT\SYSTEM32\COMMAND.COM 5 9" xfId="1520"/>
    <cellStyle name="=C:\WINNT\SYSTEM32\COMMAND.COM 5 9 2" xfId="1521"/>
    <cellStyle name="=C:\WINNT\SYSTEM32\COMMAND.COM 5 9 3" xfId="1522"/>
    <cellStyle name="=C:\WINNT\SYSTEM32\COMMAND.COM 5 9 4" xfId="1523"/>
    <cellStyle name="=C:\WINNT\SYSTEM32\COMMAND.COM 5 9 5" xfId="1524"/>
    <cellStyle name="=C:\WINNT\SYSTEM32\COMMAND.COM 5 9 6" xfId="1525"/>
    <cellStyle name="=C:\WINNT\SYSTEM32\COMMAND.COM 5 9 7" xfId="1526"/>
    <cellStyle name="=C:\WINNT\SYSTEM32\COMMAND.COM 5 9 8" xfId="1527"/>
    <cellStyle name="=C:\WINNT\SYSTEM32\COMMAND.COM 50" xfId="1528"/>
    <cellStyle name="=C:\WINNT\SYSTEM32\COMMAND.COM 51" xfId="1529"/>
    <cellStyle name="=C:\WINNT\SYSTEM32\COMMAND.COM 52" xfId="1530"/>
    <cellStyle name="=C:\WINNT\SYSTEM32\COMMAND.COM 53" xfId="1531"/>
    <cellStyle name="=C:\WINNT\SYSTEM32\COMMAND.COM 54" xfId="1532"/>
    <cellStyle name="=C:\WINNT\SYSTEM32\COMMAND.COM 55" xfId="1533"/>
    <cellStyle name="=C:\WINNT\SYSTEM32\COMMAND.COM 56" xfId="1534"/>
    <cellStyle name="=C:\WINNT\SYSTEM32\COMMAND.COM 57" xfId="1535"/>
    <cellStyle name="=C:\WINNT\SYSTEM32\COMMAND.COM 58" xfId="1536"/>
    <cellStyle name="=C:\WINNT\SYSTEM32\COMMAND.COM 59" xfId="1537"/>
    <cellStyle name="=C:\WINNT\SYSTEM32\COMMAND.COM 6" xfId="1538"/>
    <cellStyle name="=C:\WINNT\SYSTEM32\COMMAND.COM 6 2" xfId="1539"/>
    <cellStyle name="=C:\WINNT\SYSTEM32\COMMAND.COM 6 3" xfId="1540"/>
    <cellStyle name="=C:\WINNT\SYSTEM32\COMMAND.COM 60" xfId="1541"/>
    <cellStyle name="=C:\WINNT\SYSTEM32\COMMAND.COM 61" xfId="1542"/>
    <cellStyle name="=C:\WINNT\SYSTEM32\COMMAND.COM 62" xfId="1543"/>
    <cellStyle name="=C:\WINNT\SYSTEM32\COMMAND.COM 63" xfId="1544"/>
    <cellStyle name="=C:\WINNT\SYSTEM32\COMMAND.COM 64" xfId="1545"/>
    <cellStyle name="=C:\WINNT\SYSTEM32\COMMAND.COM 65" xfId="1546"/>
    <cellStyle name="=C:\WINNT\SYSTEM32\COMMAND.COM 66" xfId="1547"/>
    <cellStyle name="=C:\WINNT\SYSTEM32\COMMAND.COM 7" xfId="1548"/>
    <cellStyle name="=C:\WINNT\SYSTEM32\COMMAND.COM 7 2" xfId="1549"/>
    <cellStyle name="=C:\WINNT\SYSTEM32\COMMAND.COM 7 2 2" xfId="1550"/>
    <cellStyle name="=C:\WINNT\SYSTEM32\COMMAND.COM 7 2 2 2" xfId="1551"/>
    <cellStyle name="=C:\WINNT\SYSTEM32\COMMAND.COM 7 2 3" xfId="1552"/>
    <cellStyle name="=C:\WINNT\SYSTEM32\COMMAND.COM 7 3" xfId="1553"/>
    <cellStyle name="=C:\WINNT\SYSTEM32\COMMAND.COM 7 3 2" xfId="1554"/>
    <cellStyle name="=C:\WINNT\SYSTEM32\COMMAND.COM 7 4" xfId="1555"/>
    <cellStyle name="=C:\WINNT\SYSTEM32\COMMAND.COM 8" xfId="1556"/>
    <cellStyle name="=C:\WINNT\SYSTEM32\COMMAND.COM 8 2" xfId="1557"/>
    <cellStyle name="=C:\WINNT\SYSTEM32\COMMAND.COM 9" xfId="1558"/>
    <cellStyle name="=C:\WINNT\SYSTEM32\COMMAND.COM_1.5 Opex Reconciliation NG" xfId="1559"/>
    <cellStyle name="=C:\WINNT35\SYSTEM32\COMMAND.COM" xfId="1560"/>
    <cellStyle name="=C:\WINNT35\SYSTEM32\COMMAND.COM 10" xfId="1561"/>
    <cellStyle name="=C:\WINNT35\SYSTEM32\COMMAND.COM 11" xfId="1562"/>
    <cellStyle name="=C:\WINNT35\SYSTEM32\COMMAND.COM 12" xfId="1563"/>
    <cellStyle name="=C:\WINNT35\SYSTEM32\COMMAND.COM 13" xfId="1564"/>
    <cellStyle name="=C:\WINNT35\SYSTEM32\COMMAND.COM 14" xfId="1565"/>
    <cellStyle name="=C:\WINNT35\SYSTEM32\COMMAND.COM 15" xfId="1566"/>
    <cellStyle name="=C:\WINNT35\SYSTEM32\COMMAND.COM 16" xfId="1567"/>
    <cellStyle name="=C:\WINNT35\SYSTEM32\COMMAND.COM 17" xfId="1568"/>
    <cellStyle name="=C:\WINNT35\SYSTEM32\COMMAND.COM 18" xfId="1569"/>
    <cellStyle name="=C:\WINNT35\SYSTEM32\COMMAND.COM 19" xfId="1570"/>
    <cellStyle name="=C:\WINNT35\SYSTEM32\COMMAND.COM 2" xfId="1571"/>
    <cellStyle name="=C:\WINNT35\SYSTEM32\COMMAND.COM 20" xfId="1572"/>
    <cellStyle name="=C:\WINNT35\SYSTEM32\COMMAND.COM 21" xfId="1573"/>
    <cellStyle name="=C:\WINNT35\SYSTEM32\COMMAND.COM 22" xfId="1574"/>
    <cellStyle name="=C:\WINNT35\SYSTEM32\COMMAND.COM 23" xfId="1575"/>
    <cellStyle name="=C:\WINNT35\SYSTEM32\COMMAND.COM 24" xfId="1576"/>
    <cellStyle name="=C:\WINNT35\SYSTEM32\COMMAND.COM 25" xfId="1577"/>
    <cellStyle name="=C:\WINNT35\SYSTEM32\COMMAND.COM 26" xfId="1578"/>
    <cellStyle name="=C:\WINNT35\SYSTEM32\COMMAND.COM 27" xfId="1579"/>
    <cellStyle name="=C:\WINNT35\SYSTEM32\COMMAND.COM 28" xfId="1580"/>
    <cellStyle name="=C:\WINNT35\SYSTEM32\COMMAND.COM 29" xfId="1581"/>
    <cellStyle name="=C:\WINNT35\SYSTEM32\COMMAND.COM 3" xfId="1582"/>
    <cellStyle name="=C:\WINNT35\SYSTEM32\COMMAND.COM 30" xfId="1583"/>
    <cellStyle name="=C:\WINNT35\SYSTEM32\COMMAND.COM 31" xfId="1584"/>
    <cellStyle name="=C:\WINNT35\SYSTEM32\COMMAND.COM 32" xfId="1585"/>
    <cellStyle name="=C:\WINNT35\SYSTEM32\COMMAND.COM 33" xfId="1586"/>
    <cellStyle name="=C:\WINNT35\SYSTEM32\COMMAND.COM 34" xfId="1587"/>
    <cellStyle name="=C:\WINNT35\SYSTEM32\COMMAND.COM 35" xfId="1588"/>
    <cellStyle name="=C:\WINNT35\SYSTEM32\COMMAND.COM 36" xfId="1589"/>
    <cellStyle name="=C:\WINNT35\SYSTEM32\COMMAND.COM 37" xfId="1590"/>
    <cellStyle name="=C:\WINNT35\SYSTEM32\COMMAND.COM 38" xfId="1591"/>
    <cellStyle name="=C:\WINNT35\SYSTEM32\COMMAND.COM 39" xfId="1592"/>
    <cellStyle name="=C:\WINNT35\SYSTEM32\COMMAND.COM 4" xfId="1593"/>
    <cellStyle name="=C:\WINNT35\SYSTEM32\COMMAND.COM 40" xfId="1594"/>
    <cellStyle name="=C:\WINNT35\SYSTEM32\COMMAND.COM 41" xfId="1595"/>
    <cellStyle name="=C:\WINNT35\SYSTEM32\COMMAND.COM 42" xfId="1596"/>
    <cellStyle name="=C:\WINNT35\SYSTEM32\COMMAND.COM 43" xfId="1597"/>
    <cellStyle name="=C:\WINNT35\SYSTEM32\COMMAND.COM 44" xfId="1598"/>
    <cellStyle name="=C:\WINNT35\SYSTEM32\COMMAND.COM 45" xfId="1599"/>
    <cellStyle name="=C:\WINNT35\SYSTEM32\COMMAND.COM 46" xfId="1600"/>
    <cellStyle name="=C:\WINNT35\SYSTEM32\COMMAND.COM 47" xfId="1601"/>
    <cellStyle name="=C:\WINNT35\SYSTEM32\COMMAND.COM 5" xfId="1602"/>
    <cellStyle name="=C:\WINNT35\SYSTEM32\COMMAND.COM 6" xfId="1603"/>
    <cellStyle name="=C:\WINNT35\SYSTEM32\COMMAND.COM 7" xfId="1604"/>
    <cellStyle name="=C:\WINNT35\SYSTEM32\COMMAND.COM 8" xfId="1605"/>
    <cellStyle name="=C:\WINNT35\SYSTEM32\COMMAND.COM 9" xfId="1606"/>
    <cellStyle name="=C:\WINNT35\SYSTEM32\COMMAND.COM_1.3s Accounting C Costs Scots" xfId="1607"/>
    <cellStyle name="•W_Area" xfId="1608"/>
    <cellStyle name="0" xfId="1609"/>
    <cellStyle name="0,0_x000a__x000a_NA_x000a__x000a_" xfId="1610"/>
    <cellStyle name="0,0_x000a__x000a_NA_x000a__x000a_ 2" xfId="1611"/>
    <cellStyle name="0_Credit Rating Ratios" xfId="1612"/>
    <cellStyle name="0_Pension numbers in 09 Plan  Budget (3)" xfId="1613"/>
    <cellStyle name="0_Vattenfall Euro CY" xfId="1614"/>
    <cellStyle name="0DP" xfId="1615"/>
    <cellStyle name="0DP bold" xfId="1616"/>
    <cellStyle name="0DP_calcSens" xfId="1617"/>
    <cellStyle name="1000s (0)" xfId="1618"/>
    <cellStyle name="12pt Title" xfId="1619"/>
    <cellStyle name="14pt Title" xfId="1620"/>
    <cellStyle name="1DP" xfId="1621"/>
    <cellStyle name="1DP bold" xfId="1622"/>
    <cellStyle name="1DP_Draft RIIO plan presentation template - Customer Opsx Centre V7" xfId="1623"/>
    <cellStyle name="20% - Accent1 2" xfId="1624"/>
    <cellStyle name="20% - Accent1 2 2" xfId="1625"/>
    <cellStyle name="20% - Accent1 2 2 2" xfId="1626"/>
    <cellStyle name="20% - Accent1 2 2 2 2" xfId="1627"/>
    <cellStyle name="20% - Accent1 2 2 2 2 2" xfId="1628"/>
    <cellStyle name="20% - Accent1 2 2 2 3" xfId="1629"/>
    <cellStyle name="20% - Accent1 2 2 2 4" xfId="1630"/>
    <cellStyle name="20% - Accent1 2 2 3" xfId="1631"/>
    <cellStyle name="20% - Accent1 2 2 3 2" xfId="1632"/>
    <cellStyle name="20% - Accent1 2 2 3 2 2" xfId="1633"/>
    <cellStyle name="20% - Accent1 2 2 4" xfId="1634"/>
    <cellStyle name="20% - Accent1 2 2 5" xfId="1635"/>
    <cellStyle name="20% - Accent1 2 2 6" xfId="1636"/>
    <cellStyle name="20% - Accent1 2 2 6 2" xfId="1637"/>
    <cellStyle name="20% - Accent1 2 3" xfId="1638"/>
    <cellStyle name="20% - Accent1 2 4" xfId="1639"/>
    <cellStyle name="20% - Accent1 2 4 2" xfId="1640"/>
    <cellStyle name="20% - Accent1 2 4 2 2" xfId="1641"/>
    <cellStyle name="20% - Accent1 2 5" xfId="1642"/>
    <cellStyle name="20% - Accent1 2 5 2" xfId="1643"/>
    <cellStyle name="20% - Accent1 2 5 2 2" xfId="1644"/>
    <cellStyle name="20% - Accent1 2 6" xfId="1645"/>
    <cellStyle name="20% - Accent1 2 7" xfId="1646"/>
    <cellStyle name="20% - Accent1 3" xfId="1647"/>
    <cellStyle name="20% - Accent1 3 2" xfId="1648"/>
    <cellStyle name="20% - Accent1 3 3" xfId="1649"/>
    <cellStyle name="20% - Accent1 4" xfId="1650"/>
    <cellStyle name="20% - Accent1 5" xfId="1651"/>
    <cellStyle name="20% - Accent1 6" xfId="1652"/>
    <cellStyle name="20% - Accent1 7" xfId="1653"/>
    <cellStyle name="20% - Accent2 2" xfId="1654"/>
    <cellStyle name="20% - Accent2 2 2" xfId="1655"/>
    <cellStyle name="20% - Accent2 2 2 2" xfId="1656"/>
    <cellStyle name="20% - Accent2 2 2 2 2" xfId="1657"/>
    <cellStyle name="20% - Accent2 2 2 2 2 2" xfId="1658"/>
    <cellStyle name="20% - Accent2 2 2 2 3" xfId="1659"/>
    <cellStyle name="20% - Accent2 2 2 2 4" xfId="1660"/>
    <cellStyle name="20% - Accent2 2 2 3" xfId="1661"/>
    <cellStyle name="20% - Accent2 2 2 3 2" xfId="1662"/>
    <cellStyle name="20% - Accent2 2 2 3 2 2" xfId="1663"/>
    <cellStyle name="20% - Accent2 2 2 4" xfId="1664"/>
    <cellStyle name="20% - Accent2 2 2 5" xfId="1665"/>
    <cellStyle name="20% - Accent2 2 2 6" xfId="1666"/>
    <cellStyle name="20% - Accent2 2 2 6 2" xfId="1667"/>
    <cellStyle name="20% - Accent2 2 3" xfId="1668"/>
    <cellStyle name="20% - Accent2 2 4" xfId="1669"/>
    <cellStyle name="20% - Accent2 2 4 2" xfId="1670"/>
    <cellStyle name="20% - Accent2 2 4 2 2" xfId="1671"/>
    <cellStyle name="20% - Accent2 2 5" xfId="1672"/>
    <cellStyle name="20% - Accent2 2 5 2" xfId="1673"/>
    <cellStyle name="20% - Accent2 2 5 2 2" xfId="1674"/>
    <cellStyle name="20% - Accent2 2 6" xfId="1675"/>
    <cellStyle name="20% - Accent2 2 7" xfId="1676"/>
    <cellStyle name="20% - Accent2 3" xfId="1677"/>
    <cellStyle name="20% - Accent2 3 2" xfId="1678"/>
    <cellStyle name="20% - Accent2 3 3" xfId="1679"/>
    <cellStyle name="20% - Accent2 4" xfId="1680"/>
    <cellStyle name="20% - Accent2 5" xfId="1681"/>
    <cellStyle name="20% - Accent2 6" xfId="1682"/>
    <cellStyle name="20% - Accent2 7" xfId="1683"/>
    <cellStyle name="20% - Accent3 2" xfId="1684"/>
    <cellStyle name="20% - Accent3 2 2" xfId="1685"/>
    <cellStyle name="20% - Accent3 2 2 2" xfId="1686"/>
    <cellStyle name="20% - Accent3 2 2 2 2" xfId="1687"/>
    <cellStyle name="20% - Accent3 2 2 2 2 2" xfId="1688"/>
    <cellStyle name="20% - Accent3 2 2 2 3" xfId="1689"/>
    <cellStyle name="20% - Accent3 2 2 2 4" xfId="1690"/>
    <cellStyle name="20% - Accent3 2 2 3" xfId="1691"/>
    <cellStyle name="20% - Accent3 2 2 3 2" xfId="1692"/>
    <cellStyle name="20% - Accent3 2 2 3 2 2" xfId="1693"/>
    <cellStyle name="20% - Accent3 2 2 4" xfId="1694"/>
    <cellStyle name="20% - Accent3 2 2 5" xfId="1695"/>
    <cellStyle name="20% - Accent3 2 2 6" xfId="1696"/>
    <cellStyle name="20% - Accent3 2 2 6 2" xfId="1697"/>
    <cellStyle name="20% - Accent3 2 3" xfId="1698"/>
    <cellStyle name="20% - Accent3 2 4" xfId="1699"/>
    <cellStyle name="20% - Accent3 2 4 2" xfId="1700"/>
    <cellStyle name="20% - Accent3 2 4 2 2" xfId="1701"/>
    <cellStyle name="20% - Accent3 2 5" xfId="1702"/>
    <cellStyle name="20% - Accent3 2 5 2" xfId="1703"/>
    <cellStyle name="20% - Accent3 2 5 2 2" xfId="1704"/>
    <cellStyle name="20% - Accent3 2 6" xfId="1705"/>
    <cellStyle name="20% - Accent3 2 7" xfId="1706"/>
    <cellStyle name="20% - Accent3 3" xfId="1707"/>
    <cellStyle name="20% - Accent3 3 2" xfId="1708"/>
    <cellStyle name="20% - Accent3 3 3" xfId="1709"/>
    <cellStyle name="20% - Accent3 4" xfId="1710"/>
    <cellStyle name="20% - Accent3 5" xfId="1711"/>
    <cellStyle name="20% - Accent3 6" xfId="1712"/>
    <cellStyle name="20% - Accent3 7" xfId="1713"/>
    <cellStyle name="20% - Accent4 2" xfId="1714"/>
    <cellStyle name="20% - Accent4 2 2" xfId="1715"/>
    <cellStyle name="20% - Accent4 2 2 2" xfId="1716"/>
    <cellStyle name="20% - Accent4 2 2 2 2" xfId="1717"/>
    <cellStyle name="20% - Accent4 2 2 2 2 2" xfId="1718"/>
    <cellStyle name="20% - Accent4 2 2 2 3" xfId="1719"/>
    <cellStyle name="20% - Accent4 2 2 2 4" xfId="1720"/>
    <cellStyle name="20% - Accent4 2 2 3" xfId="1721"/>
    <cellStyle name="20% - Accent4 2 2 3 2" xfId="1722"/>
    <cellStyle name="20% - Accent4 2 2 3 2 2" xfId="1723"/>
    <cellStyle name="20% - Accent4 2 2 4" xfId="1724"/>
    <cellStyle name="20% - Accent4 2 2 5" xfId="1725"/>
    <cellStyle name="20% - Accent4 2 2 6" xfId="1726"/>
    <cellStyle name="20% - Accent4 2 2 6 2" xfId="1727"/>
    <cellStyle name="20% - Accent4 2 3" xfId="1728"/>
    <cellStyle name="20% - Accent4 2 4" xfId="1729"/>
    <cellStyle name="20% - Accent4 2 4 2" xfId="1730"/>
    <cellStyle name="20% - Accent4 2 4 2 2" xfId="1731"/>
    <cellStyle name="20% - Accent4 2 5" xfId="1732"/>
    <cellStyle name="20% - Accent4 2 5 2" xfId="1733"/>
    <cellStyle name="20% - Accent4 2 5 2 2" xfId="1734"/>
    <cellStyle name="20% - Accent4 2 6" xfId="1735"/>
    <cellStyle name="20% - Accent4 2 7" xfId="1736"/>
    <cellStyle name="20% - Accent4 3" xfId="1737"/>
    <cellStyle name="20% - Accent4 3 2" xfId="1738"/>
    <cellStyle name="20% - Accent4 3 3" xfId="1739"/>
    <cellStyle name="20% - Accent4 4" xfId="1740"/>
    <cellStyle name="20% - Accent4 5" xfId="1741"/>
    <cellStyle name="20% - Accent4 6" xfId="1742"/>
    <cellStyle name="20% - Accent4 7" xfId="1743"/>
    <cellStyle name="20% - Accent5 2" xfId="1744"/>
    <cellStyle name="20% - Accent5 2 2" xfId="1745"/>
    <cellStyle name="20% - Accent5 2 2 2" xfId="1746"/>
    <cellStyle name="20% - Accent5 2 2 2 2" xfId="1747"/>
    <cellStyle name="20% - Accent5 2 2 2 2 2" xfId="1748"/>
    <cellStyle name="20% - Accent5 2 2 2 3" xfId="1749"/>
    <cellStyle name="20% - Accent5 2 2 2 4" xfId="1750"/>
    <cellStyle name="20% - Accent5 2 2 3" xfId="1751"/>
    <cellStyle name="20% - Accent5 2 2 3 2" xfId="1752"/>
    <cellStyle name="20% - Accent5 2 2 3 2 2" xfId="1753"/>
    <cellStyle name="20% - Accent5 2 2 4" xfId="1754"/>
    <cellStyle name="20% - Accent5 2 2 5" xfId="1755"/>
    <cellStyle name="20% - Accent5 2 2 6" xfId="1756"/>
    <cellStyle name="20% - Accent5 2 2 6 2" xfId="1757"/>
    <cellStyle name="20% - Accent5 2 3" xfId="1758"/>
    <cellStyle name="20% - Accent5 2 4" xfId="1759"/>
    <cellStyle name="20% - Accent5 2 4 2" xfId="1760"/>
    <cellStyle name="20% - Accent5 2 4 2 2" xfId="1761"/>
    <cellStyle name="20% - Accent5 2 5" xfId="1762"/>
    <cellStyle name="20% - Accent5 2 5 2" xfId="1763"/>
    <cellStyle name="20% - Accent5 2 5 2 2" xfId="1764"/>
    <cellStyle name="20% - Accent5 2 6" xfId="1765"/>
    <cellStyle name="20% - Accent5 2 7" xfId="1766"/>
    <cellStyle name="20% - Accent5 3" xfId="1767"/>
    <cellStyle name="20% - Accent5 3 2" xfId="1768"/>
    <cellStyle name="20% - Accent5 3 3" xfId="1769"/>
    <cellStyle name="20% - Accent5 4" xfId="1770"/>
    <cellStyle name="20% - Accent5 5" xfId="1771"/>
    <cellStyle name="20% - Accent5 6" xfId="1772"/>
    <cellStyle name="20% - Accent5 7" xfId="1773"/>
    <cellStyle name="20% - Accent6 2" xfId="1774"/>
    <cellStyle name="20% - Accent6 2 2" xfId="1775"/>
    <cellStyle name="20% - Accent6 2 2 2" xfId="1776"/>
    <cellStyle name="20% - Accent6 2 2 2 2" xfId="1777"/>
    <cellStyle name="20% - Accent6 2 2 2 2 2" xfId="1778"/>
    <cellStyle name="20% - Accent6 2 2 2 3" xfId="1779"/>
    <cellStyle name="20% - Accent6 2 2 2 4" xfId="1780"/>
    <cellStyle name="20% - Accent6 2 2 3" xfId="1781"/>
    <cellStyle name="20% - Accent6 2 2 3 2" xfId="1782"/>
    <cellStyle name="20% - Accent6 2 2 3 2 2" xfId="1783"/>
    <cellStyle name="20% - Accent6 2 2 4" xfId="1784"/>
    <cellStyle name="20% - Accent6 2 2 5" xfId="1785"/>
    <cellStyle name="20% - Accent6 2 2 6" xfId="1786"/>
    <cellStyle name="20% - Accent6 2 2 6 2" xfId="1787"/>
    <cellStyle name="20% - Accent6 2 3" xfId="1788"/>
    <cellStyle name="20% - Accent6 2 4" xfId="1789"/>
    <cellStyle name="20% - Accent6 2 4 2" xfId="1790"/>
    <cellStyle name="20% - Accent6 2 4 2 2" xfId="1791"/>
    <cellStyle name="20% - Accent6 2 5" xfId="1792"/>
    <cellStyle name="20% - Accent6 2 5 2" xfId="1793"/>
    <cellStyle name="20% - Accent6 2 5 2 2" xfId="1794"/>
    <cellStyle name="20% - Accent6 2 6" xfId="1795"/>
    <cellStyle name="20% - Accent6 2 7" xfId="1796"/>
    <cellStyle name="20% - Accent6 3" xfId="1797"/>
    <cellStyle name="20% - Accent6 3 2" xfId="1798"/>
    <cellStyle name="20% - Accent6 3 3" xfId="1799"/>
    <cellStyle name="20% - Accent6 4" xfId="1800"/>
    <cellStyle name="20% - Accent6 5" xfId="1801"/>
    <cellStyle name="20% - Accent6 6" xfId="1802"/>
    <cellStyle name="20% - Accent6 7" xfId="1803"/>
    <cellStyle name="2DP" xfId="1804"/>
    <cellStyle name="2DP bold" xfId="1805"/>
    <cellStyle name="2DP_Draft RIIO plan presentation template - Customer Opsx Centre V7" xfId="1806"/>
    <cellStyle name="3 V1.00 CORE IMAGE (5200MM3.100 08/01/97)_x000d__x000a__x000d__x000a_[windows]_x000d__x000a_;spooler=yes_x000d__x000a_load=nw" xfId="1807"/>
    <cellStyle name="3 V1.00 CORE IMAGE (5200MM3.100 08/01/97)_x000d__x000a__x000d__x000a_[windows]_x000d__x000a_;spooler=yes_x000d__x000a_load=nw 2" xfId="1808"/>
    <cellStyle name="3DP" xfId="1809"/>
    <cellStyle name="40% - Accent1 2" xfId="31"/>
    <cellStyle name="40% - Accent1 2 10" xfId="1810"/>
    <cellStyle name="40% - Accent1 2 10 2" xfId="4477"/>
    <cellStyle name="40% - Accent1 2 10 2 2" xfId="4849"/>
    <cellStyle name="40% - Accent1 2 10 2 2 2" xfId="8592"/>
    <cellStyle name="40% - Accent1 2 10 2 2 2 2" xfId="15140"/>
    <cellStyle name="40% - Accent1 2 10 2 2 3" xfId="6873"/>
    <cellStyle name="40% - Accent1 2 10 2 2 3 2" xfId="13559"/>
    <cellStyle name="40% - Accent1 2 10 2 2 4" xfId="11774"/>
    <cellStyle name="40% - Accent1 2 10 2 3" xfId="5304"/>
    <cellStyle name="40% - Accent1 2 10 2 3 2" xfId="9047"/>
    <cellStyle name="40% - Accent1 2 10 2 3 2 2" xfId="15591"/>
    <cellStyle name="40% - Accent1 2 10 2 3 3" xfId="7328"/>
    <cellStyle name="40% - Accent1 2 10 2 3 3 2" xfId="14010"/>
    <cellStyle name="40% - Accent1 2 10 2 3 4" xfId="12225"/>
    <cellStyle name="40% - Accent1 2 10 2 4" xfId="5742"/>
    <cellStyle name="40% - Accent1 2 10 2 4 2" xfId="9483"/>
    <cellStyle name="40% - Accent1 2 10 2 4 2 2" xfId="15985"/>
    <cellStyle name="40% - Accent1 2 10 2 4 3" xfId="7764"/>
    <cellStyle name="40% - Accent1 2 10 2 4 3 2" xfId="14404"/>
    <cellStyle name="40% - Accent1 2 10 2 4 4" xfId="12635"/>
    <cellStyle name="40% - Accent1 2 10 2 5" xfId="9845"/>
    <cellStyle name="40% - Accent1 2 10 2 5 2" xfId="16326"/>
    <cellStyle name="40% - Accent1 2 10 2 6" xfId="8241"/>
    <cellStyle name="40% - Accent1 2 10 2 6 2" xfId="14798"/>
    <cellStyle name="40% - Accent1 2 10 2 7" xfId="6522"/>
    <cellStyle name="40% - Accent1 2 10 2 7 2" xfId="13212"/>
    <cellStyle name="40% - Accent1 2 10 2 8" xfId="11422"/>
    <cellStyle name="40% - Accent1 2 10 3" xfId="4831"/>
    <cellStyle name="40% - Accent1 2 10 3 2" xfId="8574"/>
    <cellStyle name="40% - Accent1 2 10 3 2 2" xfId="15122"/>
    <cellStyle name="40% - Accent1 2 10 3 3" xfId="6855"/>
    <cellStyle name="40% - Accent1 2 10 3 3 2" xfId="13541"/>
    <cellStyle name="40% - Accent1 2 10 3 4" xfId="11756"/>
    <cellStyle name="40% - Accent1 2 10 4" xfId="5107"/>
    <cellStyle name="40% - Accent1 2 10 4 2" xfId="8850"/>
    <cellStyle name="40% - Accent1 2 10 4 2 2" xfId="15394"/>
    <cellStyle name="40% - Accent1 2 10 4 3" xfId="7131"/>
    <cellStyle name="40% - Accent1 2 10 4 3 2" xfId="13813"/>
    <cellStyle name="40% - Accent1 2 10 4 4" xfId="12028"/>
    <cellStyle name="40% - Accent1 2 10 5" xfId="5540"/>
    <cellStyle name="40% - Accent1 2 10 5 2" xfId="9281"/>
    <cellStyle name="40% - Accent1 2 10 5 2 2" xfId="15788"/>
    <cellStyle name="40% - Accent1 2 10 5 3" xfId="7562"/>
    <cellStyle name="40% - Accent1 2 10 5 3 2" xfId="14207"/>
    <cellStyle name="40% - Accent1 2 10 5 4" xfId="12433"/>
    <cellStyle name="40% - Accent1 2 10 6" xfId="9822"/>
    <cellStyle name="40% - Accent1 2 10 6 2" xfId="16308"/>
    <cellStyle name="40% - Accent1 2 10 7" xfId="7970"/>
    <cellStyle name="40% - Accent1 2 10 7 2" xfId="14601"/>
    <cellStyle name="40% - Accent1 2 10 8" xfId="6117"/>
    <cellStyle name="40% - Accent1 2 10 8 2" xfId="12842"/>
    <cellStyle name="40% - Accent1 2 10 9" xfId="10276"/>
    <cellStyle name="40% - Accent1 2 11" xfId="4466"/>
    <cellStyle name="40% - Accent1 2 11 2" xfId="4850"/>
    <cellStyle name="40% - Accent1 2 11 2 2" xfId="8593"/>
    <cellStyle name="40% - Accent1 2 11 2 2 2" xfId="15141"/>
    <cellStyle name="40% - Accent1 2 11 2 3" xfId="6874"/>
    <cellStyle name="40% - Accent1 2 11 2 3 2" xfId="13560"/>
    <cellStyle name="40% - Accent1 2 11 2 4" xfId="11775"/>
    <cellStyle name="40% - Accent1 2 11 3" xfId="5294"/>
    <cellStyle name="40% - Accent1 2 11 3 2" xfId="9037"/>
    <cellStyle name="40% - Accent1 2 11 3 2 2" xfId="15581"/>
    <cellStyle name="40% - Accent1 2 11 3 3" xfId="7318"/>
    <cellStyle name="40% - Accent1 2 11 3 3 2" xfId="14000"/>
    <cellStyle name="40% - Accent1 2 11 3 4" xfId="12215"/>
    <cellStyle name="40% - Accent1 2 11 4" xfId="5732"/>
    <cellStyle name="40% - Accent1 2 11 4 2" xfId="9473"/>
    <cellStyle name="40% - Accent1 2 11 4 2 2" xfId="15975"/>
    <cellStyle name="40% - Accent1 2 11 4 3" xfId="7754"/>
    <cellStyle name="40% - Accent1 2 11 4 3 2" xfId="14394"/>
    <cellStyle name="40% - Accent1 2 11 4 4" xfId="12625"/>
    <cellStyle name="40% - Accent1 2 11 5" xfId="9846"/>
    <cellStyle name="40% - Accent1 2 11 5 2" xfId="16327"/>
    <cellStyle name="40% - Accent1 2 11 6" xfId="8231"/>
    <cellStyle name="40% - Accent1 2 11 6 2" xfId="14788"/>
    <cellStyle name="40% - Accent1 2 11 7" xfId="6512"/>
    <cellStyle name="40% - Accent1 2 11 7 2" xfId="13202"/>
    <cellStyle name="40% - Accent1 2 11 8" xfId="11411"/>
    <cellStyle name="40% - Accent1 2 12" xfId="4672"/>
    <cellStyle name="40% - Accent1 2 12 2" xfId="8418"/>
    <cellStyle name="40% - Accent1 2 12 2 2" xfId="14970"/>
    <cellStyle name="40% - Accent1 2 12 3" xfId="6699"/>
    <cellStyle name="40% - Accent1 2 12 3 2" xfId="13389"/>
    <cellStyle name="40% - Accent1 2 12 4" xfId="11603"/>
    <cellStyle name="40% - Accent1 2 13" xfId="5093"/>
    <cellStyle name="40% - Accent1 2 13 2" xfId="8836"/>
    <cellStyle name="40% - Accent1 2 13 2 2" xfId="15384"/>
    <cellStyle name="40% - Accent1 2 13 3" xfId="7117"/>
    <cellStyle name="40% - Accent1 2 13 3 2" xfId="13803"/>
    <cellStyle name="40% - Accent1 2 13 4" xfId="12018"/>
    <cellStyle name="40% - Accent1 2 14" xfId="5530"/>
    <cellStyle name="40% - Accent1 2 14 2" xfId="9271"/>
    <cellStyle name="40% - Accent1 2 14 2 2" xfId="15778"/>
    <cellStyle name="40% - Accent1 2 14 3" xfId="7552"/>
    <cellStyle name="40% - Accent1 2 14 3 2" xfId="14197"/>
    <cellStyle name="40% - Accent1 2 14 4" xfId="12423"/>
    <cellStyle name="40% - Accent1 2 15" xfId="9652"/>
    <cellStyle name="40% - Accent1 2 15 2" xfId="16154"/>
    <cellStyle name="40% - Accent1 2 16" xfId="7951"/>
    <cellStyle name="40% - Accent1 2 16 2" xfId="14591"/>
    <cellStyle name="40% - Accent1 2 17" xfId="5930"/>
    <cellStyle name="40% - Accent1 2 17 2" xfId="12823"/>
    <cellStyle name="40% - Accent1 2 18" xfId="10265"/>
    <cellStyle name="40% - Accent1 2 2" xfId="1811"/>
    <cellStyle name="40% - Accent1 2 2 2" xfId="1812"/>
    <cellStyle name="40% - Accent1 2 2 2 2" xfId="1813"/>
    <cellStyle name="40% - Accent1 2 2 2 2 2" xfId="1814"/>
    <cellStyle name="40% - Accent1 2 2 2 3" xfId="1815"/>
    <cellStyle name="40% - Accent1 2 2 2 4" xfId="1816"/>
    <cellStyle name="40% - Accent1 2 2 3" xfId="1817"/>
    <cellStyle name="40% - Accent1 2 2 3 2" xfId="1818"/>
    <cellStyle name="40% - Accent1 2 2 3 2 2" xfId="1819"/>
    <cellStyle name="40% - Accent1 2 2 4" xfId="1820"/>
    <cellStyle name="40% - Accent1 2 2 5" xfId="1821"/>
    <cellStyle name="40% - Accent1 2 2 6" xfId="1822"/>
    <cellStyle name="40% - Accent1 2 2 6 2" xfId="1823"/>
    <cellStyle name="40% - Accent1 2 3" xfId="1824"/>
    <cellStyle name="40% - Accent1 2 4" xfId="1825"/>
    <cellStyle name="40% - Accent1 2 4 2" xfId="1826"/>
    <cellStyle name="40% - Accent1 2 4 2 2" xfId="1827"/>
    <cellStyle name="40% - Accent1 2 5" xfId="1828"/>
    <cellStyle name="40% - Accent1 2 5 2" xfId="1829"/>
    <cellStyle name="40% - Accent1 2 5 2 2" xfId="1830"/>
    <cellStyle name="40% - Accent1 2 6" xfId="1831"/>
    <cellStyle name="40% - Accent1 2 7" xfId="1832"/>
    <cellStyle name="40% - Accent1 2 8" xfId="1833"/>
    <cellStyle name="40% - Accent1 2 9" xfId="1834"/>
    <cellStyle name="40% - Accent1 2 9 2" xfId="4478"/>
    <cellStyle name="40% - Accent1 2 9 2 2" xfId="4851"/>
    <cellStyle name="40% - Accent1 2 9 2 2 2" xfId="8594"/>
    <cellStyle name="40% - Accent1 2 9 2 2 2 2" xfId="15142"/>
    <cellStyle name="40% - Accent1 2 9 2 2 3" xfId="6875"/>
    <cellStyle name="40% - Accent1 2 9 2 2 3 2" xfId="13561"/>
    <cellStyle name="40% - Accent1 2 9 2 2 4" xfId="11776"/>
    <cellStyle name="40% - Accent1 2 9 2 3" xfId="5305"/>
    <cellStyle name="40% - Accent1 2 9 2 3 2" xfId="9048"/>
    <cellStyle name="40% - Accent1 2 9 2 3 2 2" xfId="15592"/>
    <cellStyle name="40% - Accent1 2 9 2 3 3" xfId="7329"/>
    <cellStyle name="40% - Accent1 2 9 2 3 3 2" xfId="14011"/>
    <cellStyle name="40% - Accent1 2 9 2 3 4" xfId="12226"/>
    <cellStyle name="40% - Accent1 2 9 2 4" xfId="5743"/>
    <cellStyle name="40% - Accent1 2 9 2 4 2" xfId="9484"/>
    <cellStyle name="40% - Accent1 2 9 2 4 2 2" xfId="15986"/>
    <cellStyle name="40% - Accent1 2 9 2 4 3" xfId="7765"/>
    <cellStyle name="40% - Accent1 2 9 2 4 3 2" xfId="14405"/>
    <cellStyle name="40% - Accent1 2 9 2 4 4" xfId="12636"/>
    <cellStyle name="40% - Accent1 2 9 2 5" xfId="9847"/>
    <cellStyle name="40% - Accent1 2 9 2 5 2" xfId="16328"/>
    <cellStyle name="40% - Accent1 2 9 2 6" xfId="8242"/>
    <cellStyle name="40% - Accent1 2 9 2 6 2" xfId="14799"/>
    <cellStyle name="40% - Accent1 2 9 2 7" xfId="6523"/>
    <cellStyle name="40% - Accent1 2 9 2 7 2" xfId="13213"/>
    <cellStyle name="40% - Accent1 2 9 2 8" xfId="11423"/>
    <cellStyle name="40% - Accent1 2 9 3" xfId="4763"/>
    <cellStyle name="40% - Accent1 2 9 3 2" xfId="8506"/>
    <cellStyle name="40% - Accent1 2 9 3 2 2" xfId="15058"/>
    <cellStyle name="40% - Accent1 2 9 3 3" xfId="6787"/>
    <cellStyle name="40% - Accent1 2 9 3 3 2" xfId="13477"/>
    <cellStyle name="40% - Accent1 2 9 3 4" xfId="11692"/>
    <cellStyle name="40% - Accent1 2 9 4" xfId="5108"/>
    <cellStyle name="40% - Accent1 2 9 4 2" xfId="8851"/>
    <cellStyle name="40% - Accent1 2 9 4 2 2" xfId="15395"/>
    <cellStyle name="40% - Accent1 2 9 4 3" xfId="7132"/>
    <cellStyle name="40% - Accent1 2 9 4 3 2" xfId="13814"/>
    <cellStyle name="40% - Accent1 2 9 4 4" xfId="12029"/>
    <cellStyle name="40% - Accent1 2 9 5" xfId="5541"/>
    <cellStyle name="40% - Accent1 2 9 5 2" xfId="9282"/>
    <cellStyle name="40% - Accent1 2 9 5 2 2" xfId="15789"/>
    <cellStyle name="40% - Accent1 2 9 5 3" xfId="7563"/>
    <cellStyle name="40% - Accent1 2 9 5 3 2" xfId="14208"/>
    <cellStyle name="40% - Accent1 2 9 5 4" xfId="12434"/>
    <cellStyle name="40% - Accent1 2 9 6" xfId="9753"/>
    <cellStyle name="40% - Accent1 2 9 6 2" xfId="16244"/>
    <cellStyle name="40% - Accent1 2 9 7" xfId="7971"/>
    <cellStyle name="40% - Accent1 2 9 7 2" xfId="14602"/>
    <cellStyle name="40% - Accent1 2 9 8" xfId="6118"/>
    <cellStyle name="40% - Accent1 2 9 8 2" xfId="12843"/>
    <cellStyle name="40% - Accent1 2 9 9" xfId="10277"/>
    <cellStyle name="40% - Accent1 3" xfId="1835"/>
    <cellStyle name="40% - Accent1 3 2" xfId="1836"/>
    <cellStyle name="40% - Accent1 3 3" xfId="1837"/>
    <cellStyle name="40% - Accent1 4" xfId="1838"/>
    <cellStyle name="40% - Accent1 5" xfId="1839"/>
    <cellStyle name="40% - Accent1 6" xfId="1840"/>
    <cellStyle name="40% - Accent1 7" xfId="1841"/>
    <cellStyle name="40% - Accent2 2" xfId="1842"/>
    <cellStyle name="40% - Accent2 2 2" xfId="1843"/>
    <cellStyle name="40% - Accent2 2 2 2" xfId="1844"/>
    <cellStyle name="40% - Accent2 2 2 2 2" xfId="1845"/>
    <cellStyle name="40% - Accent2 2 2 2 2 2" xfId="1846"/>
    <cellStyle name="40% - Accent2 2 2 2 3" xfId="1847"/>
    <cellStyle name="40% - Accent2 2 2 2 4" xfId="1848"/>
    <cellStyle name="40% - Accent2 2 2 3" xfId="1849"/>
    <cellStyle name="40% - Accent2 2 2 3 2" xfId="1850"/>
    <cellStyle name="40% - Accent2 2 2 3 2 2" xfId="1851"/>
    <cellStyle name="40% - Accent2 2 2 4" xfId="1852"/>
    <cellStyle name="40% - Accent2 2 2 5" xfId="1853"/>
    <cellStyle name="40% - Accent2 2 2 6" xfId="1854"/>
    <cellStyle name="40% - Accent2 2 2 6 2" xfId="1855"/>
    <cellStyle name="40% - Accent2 2 3" xfId="1856"/>
    <cellStyle name="40% - Accent2 2 4" xfId="1857"/>
    <cellStyle name="40% - Accent2 2 4 2" xfId="1858"/>
    <cellStyle name="40% - Accent2 2 4 2 2" xfId="1859"/>
    <cellStyle name="40% - Accent2 2 5" xfId="1860"/>
    <cellStyle name="40% - Accent2 2 5 2" xfId="1861"/>
    <cellStyle name="40% - Accent2 2 5 2 2" xfId="1862"/>
    <cellStyle name="40% - Accent2 2 6" xfId="1863"/>
    <cellStyle name="40% - Accent2 2 7" xfId="1864"/>
    <cellStyle name="40% - Accent2 3" xfId="1865"/>
    <cellStyle name="40% - Accent2 3 2" xfId="1866"/>
    <cellStyle name="40% - Accent2 3 3" xfId="1867"/>
    <cellStyle name="40% - Accent2 4" xfId="1868"/>
    <cellStyle name="40% - Accent2 5" xfId="1869"/>
    <cellStyle name="40% - Accent2 6" xfId="1870"/>
    <cellStyle name="40% - Accent2 7" xfId="1871"/>
    <cellStyle name="40% - Accent3 2" xfId="1872"/>
    <cellStyle name="40% - Accent3 2 2" xfId="1873"/>
    <cellStyle name="40% - Accent3 2 2 2" xfId="1874"/>
    <cellStyle name="40% - Accent3 2 2 2 2" xfId="1875"/>
    <cellStyle name="40% - Accent3 2 2 2 2 2" xfId="1876"/>
    <cellStyle name="40% - Accent3 2 2 2 3" xfId="1877"/>
    <cellStyle name="40% - Accent3 2 2 2 4" xfId="1878"/>
    <cellStyle name="40% - Accent3 2 2 3" xfId="1879"/>
    <cellStyle name="40% - Accent3 2 2 3 2" xfId="1880"/>
    <cellStyle name="40% - Accent3 2 2 3 2 2" xfId="1881"/>
    <cellStyle name="40% - Accent3 2 2 4" xfId="1882"/>
    <cellStyle name="40% - Accent3 2 2 5" xfId="1883"/>
    <cellStyle name="40% - Accent3 2 2 6" xfId="1884"/>
    <cellStyle name="40% - Accent3 2 2 6 2" xfId="1885"/>
    <cellStyle name="40% - Accent3 2 3" xfId="1886"/>
    <cellStyle name="40% - Accent3 2 4" xfId="1887"/>
    <cellStyle name="40% - Accent3 2 4 2" xfId="1888"/>
    <cellStyle name="40% - Accent3 2 4 2 2" xfId="1889"/>
    <cellStyle name="40% - Accent3 2 5" xfId="1890"/>
    <cellStyle name="40% - Accent3 2 5 2" xfId="1891"/>
    <cellStyle name="40% - Accent3 2 5 2 2" xfId="1892"/>
    <cellStyle name="40% - Accent3 2 6" xfId="1893"/>
    <cellStyle name="40% - Accent3 2 7" xfId="1894"/>
    <cellStyle name="40% - Accent3 3" xfId="1895"/>
    <cellStyle name="40% - Accent3 3 2" xfId="1896"/>
    <cellStyle name="40% - Accent3 3 3" xfId="1897"/>
    <cellStyle name="40% - Accent3 4" xfId="1898"/>
    <cellStyle name="40% - Accent3 5" xfId="1899"/>
    <cellStyle name="40% - Accent3 6" xfId="1900"/>
    <cellStyle name="40% - Accent3 7" xfId="1901"/>
    <cellStyle name="40% - Accent4 2" xfId="1902"/>
    <cellStyle name="40% - Accent4 2 2" xfId="1903"/>
    <cellStyle name="40% - Accent4 2 2 2" xfId="1904"/>
    <cellStyle name="40% - Accent4 2 2 2 2" xfId="1905"/>
    <cellStyle name="40% - Accent4 2 2 2 2 2" xfId="1906"/>
    <cellStyle name="40% - Accent4 2 2 2 3" xfId="1907"/>
    <cellStyle name="40% - Accent4 2 2 2 4" xfId="1908"/>
    <cellStyle name="40% - Accent4 2 2 3" xfId="1909"/>
    <cellStyle name="40% - Accent4 2 2 3 2" xfId="1910"/>
    <cellStyle name="40% - Accent4 2 2 3 2 2" xfId="1911"/>
    <cellStyle name="40% - Accent4 2 2 4" xfId="1912"/>
    <cellStyle name="40% - Accent4 2 2 5" xfId="1913"/>
    <cellStyle name="40% - Accent4 2 2 6" xfId="1914"/>
    <cellStyle name="40% - Accent4 2 2 6 2" xfId="1915"/>
    <cellStyle name="40% - Accent4 2 3" xfId="1916"/>
    <cellStyle name="40% - Accent4 2 4" xfId="1917"/>
    <cellStyle name="40% - Accent4 2 4 2" xfId="1918"/>
    <cellStyle name="40% - Accent4 2 4 2 2" xfId="1919"/>
    <cellStyle name="40% - Accent4 2 5" xfId="1920"/>
    <cellStyle name="40% - Accent4 2 5 2" xfId="1921"/>
    <cellStyle name="40% - Accent4 2 5 2 2" xfId="1922"/>
    <cellStyle name="40% - Accent4 2 6" xfId="1923"/>
    <cellStyle name="40% - Accent4 2 7" xfId="1924"/>
    <cellStyle name="40% - Accent4 3" xfId="1925"/>
    <cellStyle name="40% - Accent4 3 2" xfId="1926"/>
    <cellStyle name="40% - Accent4 3 3" xfId="1927"/>
    <cellStyle name="40% - Accent4 4" xfId="1928"/>
    <cellStyle name="40% - Accent4 5" xfId="1929"/>
    <cellStyle name="40% - Accent4 6" xfId="1930"/>
    <cellStyle name="40% - Accent4 7" xfId="1931"/>
    <cellStyle name="40% - Accent5 2" xfId="1932"/>
    <cellStyle name="40% - Accent5 2 2" xfId="1933"/>
    <cellStyle name="40% - Accent5 2 2 2" xfId="1934"/>
    <cellStyle name="40% - Accent5 2 2 2 2" xfId="1935"/>
    <cellStyle name="40% - Accent5 2 2 2 2 2" xfId="1936"/>
    <cellStyle name="40% - Accent5 2 2 2 3" xfId="1937"/>
    <cellStyle name="40% - Accent5 2 2 2 4" xfId="1938"/>
    <cellStyle name="40% - Accent5 2 2 3" xfId="1939"/>
    <cellStyle name="40% - Accent5 2 2 3 2" xfId="1940"/>
    <cellStyle name="40% - Accent5 2 2 3 2 2" xfId="1941"/>
    <cellStyle name="40% - Accent5 2 2 4" xfId="1942"/>
    <cellStyle name="40% - Accent5 2 2 5" xfId="1943"/>
    <cellStyle name="40% - Accent5 2 2 6" xfId="1944"/>
    <cellStyle name="40% - Accent5 2 2 6 2" xfId="1945"/>
    <cellStyle name="40% - Accent5 2 3" xfId="1946"/>
    <cellStyle name="40% - Accent5 2 4" xfId="1947"/>
    <cellStyle name="40% - Accent5 2 4 2" xfId="1948"/>
    <cellStyle name="40% - Accent5 2 4 2 2" xfId="1949"/>
    <cellStyle name="40% - Accent5 2 5" xfId="1950"/>
    <cellStyle name="40% - Accent5 2 5 2" xfId="1951"/>
    <cellStyle name="40% - Accent5 2 5 2 2" xfId="1952"/>
    <cellStyle name="40% - Accent5 2 6" xfId="1953"/>
    <cellStyle name="40% - Accent5 2 7" xfId="1954"/>
    <cellStyle name="40% - Accent5 3" xfId="1955"/>
    <cellStyle name="40% - Accent5 3 2" xfId="1956"/>
    <cellStyle name="40% - Accent5 3 3" xfId="1957"/>
    <cellStyle name="40% - Accent5 4" xfId="1958"/>
    <cellStyle name="40% - Accent5 5" xfId="1959"/>
    <cellStyle name="40% - Accent5 6" xfId="1960"/>
    <cellStyle name="40% - Accent5 7" xfId="1961"/>
    <cellStyle name="40% - Accent6 2" xfId="1962"/>
    <cellStyle name="40% - Accent6 2 2" xfId="1963"/>
    <cellStyle name="40% - Accent6 2 2 2" xfId="1964"/>
    <cellStyle name="40% - Accent6 2 2 2 2" xfId="1965"/>
    <cellStyle name="40% - Accent6 2 2 2 2 2" xfId="1966"/>
    <cellStyle name="40% - Accent6 2 2 2 3" xfId="1967"/>
    <cellStyle name="40% - Accent6 2 2 2 4" xfId="1968"/>
    <cellStyle name="40% - Accent6 2 2 3" xfId="1969"/>
    <cellStyle name="40% - Accent6 2 2 3 2" xfId="1970"/>
    <cellStyle name="40% - Accent6 2 2 3 2 2" xfId="1971"/>
    <cellStyle name="40% - Accent6 2 2 4" xfId="1972"/>
    <cellStyle name="40% - Accent6 2 2 5" xfId="1973"/>
    <cellStyle name="40% - Accent6 2 2 6" xfId="1974"/>
    <cellStyle name="40% - Accent6 2 2 6 2" xfId="1975"/>
    <cellStyle name="40% - Accent6 2 3" xfId="1976"/>
    <cellStyle name="40% - Accent6 2 4" xfId="1977"/>
    <cellStyle name="40% - Accent6 2 4 2" xfId="1978"/>
    <cellStyle name="40% - Accent6 2 4 2 2" xfId="1979"/>
    <cellStyle name="40% - Accent6 2 5" xfId="1980"/>
    <cellStyle name="40% - Accent6 2 5 2" xfId="1981"/>
    <cellStyle name="40% - Accent6 2 5 2 2" xfId="1982"/>
    <cellStyle name="40% - Accent6 2 6" xfId="1983"/>
    <cellStyle name="40% - Accent6 2 7" xfId="1984"/>
    <cellStyle name="40% - Accent6 3" xfId="1985"/>
    <cellStyle name="40% - Accent6 3 2" xfId="1986"/>
    <cellStyle name="40% - Accent6 3 3" xfId="1987"/>
    <cellStyle name="40% - Accent6 4" xfId="1988"/>
    <cellStyle name="40% - Accent6 5" xfId="1989"/>
    <cellStyle name="40% - Accent6 6" xfId="1990"/>
    <cellStyle name="40% - Accent6 7" xfId="1991"/>
    <cellStyle name="60% - Accent1 2" xfId="1992"/>
    <cellStyle name="60% - Accent1 2 2" xfId="1993"/>
    <cellStyle name="60% - Accent1 2 2 2" xfId="1994"/>
    <cellStyle name="60% - Accent1 2 2 2 2" xfId="1995"/>
    <cellStyle name="60% - Accent1 2 2 2 2 2" xfId="1996"/>
    <cellStyle name="60% - Accent1 2 2 2 3" xfId="1997"/>
    <cellStyle name="60% - Accent1 2 2 2 4" xfId="1998"/>
    <cellStyle name="60% - Accent1 2 2 3" xfId="1999"/>
    <cellStyle name="60% - Accent1 2 2 3 2" xfId="2000"/>
    <cellStyle name="60% - Accent1 2 2 3 2 2" xfId="2001"/>
    <cellStyle name="60% - Accent1 2 2 4" xfId="2002"/>
    <cellStyle name="60% - Accent1 2 2 5" xfId="2003"/>
    <cellStyle name="60% - Accent1 2 2 6" xfId="2004"/>
    <cellStyle name="60% - Accent1 2 2 6 2" xfId="2005"/>
    <cellStyle name="60% - Accent1 2 3" xfId="2006"/>
    <cellStyle name="60% - Accent1 2 4" xfId="2007"/>
    <cellStyle name="60% - Accent1 2 4 2" xfId="2008"/>
    <cellStyle name="60% - Accent1 2 4 2 2" xfId="2009"/>
    <cellStyle name="60% - Accent1 2 5" xfId="2010"/>
    <cellStyle name="60% - Accent1 2 5 2" xfId="2011"/>
    <cellStyle name="60% - Accent1 2 5 2 2" xfId="2012"/>
    <cellStyle name="60% - Accent1 2 6" xfId="2013"/>
    <cellStyle name="60% - Accent1 2 7" xfId="2014"/>
    <cellStyle name="60% - Accent1 3" xfId="2015"/>
    <cellStyle name="60% - Accent1 3 2" xfId="2016"/>
    <cellStyle name="60% - Accent1 3 3" xfId="2017"/>
    <cellStyle name="60% - Accent1 4" xfId="2018"/>
    <cellStyle name="60% - Accent1 5" xfId="2019"/>
    <cellStyle name="60% - Accent1 6" xfId="2020"/>
    <cellStyle name="60% - Accent1 7" xfId="2021"/>
    <cellStyle name="60% - Accent2 2" xfId="2022"/>
    <cellStyle name="60% - Accent2 2 2" xfId="2023"/>
    <cellStyle name="60% - Accent2 2 2 2" xfId="2024"/>
    <cellStyle name="60% - Accent2 2 2 2 2" xfId="2025"/>
    <cellStyle name="60% - Accent2 2 2 2 2 2" xfId="2026"/>
    <cellStyle name="60% - Accent2 2 2 2 3" xfId="2027"/>
    <cellStyle name="60% - Accent2 2 2 2 4" xfId="2028"/>
    <cellStyle name="60% - Accent2 2 2 3" xfId="2029"/>
    <cellStyle name="60% - Accent2 2 2 3 2" xfId="2030"/>
    <cellStyle name="60% - Accent2 2 2 3 2 2" xfId="2031"/>
    <cellStyle name="60% - Accent2 2 2 4" xfId="2032"/>
    <cellStyle name="60% - Accent2 2 2 5" xfId="2033"/>
    <cellStyle name="60% - Accent2 2 2 6" xfId="2034"/>
    <cellStyle name="60% - Accent2 2 2 6 2" xfId="2035"/>
    <cellStyle name="60% - Accent2 2 3" xfId="2036"/>
    <cellStyle name="60% - Accent2 2 4" xfId="2037"/>
    <cellStyle name="60% - Accent2 2 4 2" xfId="2038"/>
    <cellStyle name="60% - Accent2 2 4 2 2" xfId="2039"/>
    <cellStyle name="60% - Accent2 2 5" xfId="2040"/>
    <cellStyle name="60% - Accent2 2 5 2" xfId="2041"/>
    <cellStyle name="60% - Accent2 2 5 2 2" xfId="2042"/>
    <cellStyle name="60% - Accent2 2 6" xfId="2043"/>
    <cellStyle name="60% - Accent2 2 7" xfId="2044"/>
    <cellStyle name="60% - Accent2 3" xfId="2045"/>
    <cellStyle name="60% - Accent2 3 2" xfId="2046"/>
    <cellStyle name="60% - Accent2 3 3" xfId="2047"/>
    <cellStyle name="60% - Accent2 4" xfId="2048"/>
    <cellStyle name="60% - Accent2 5" xfId="2049"/>
    <cellStyle name="60% - Accent2 6" xfId="2050"/>
    <cellStyle name="60% - Accent2 7" xfId="2051"/>
    <cellStyle name="60% - Accent3 2" xfId="2052"/>
    <cellStyle name="60% - Accent3 2 2" xfId="2053"/>
    <cellStyle name="60% - Accent3 2 2 2" xfId="2054"/>
    <cellStyle name="60% - Accent3 2 2 2 2" xfId="2055"/>
    <cellStyle name="60% - Accent3 2 2 2 2 2" xfId="2056"/>
    <cellStyle name="60% - Accent3 2 2 2 3" xfId="2057"/>
    <cellStyle name="60% - Accent3 2 2 2 4" xfId="2058"/>
    <cellStyle name="60% - Accent3 2 2 3" xfId="2059"/>
    <cellStyle name="60% - Accent3 2 2 3 2" xfId="2060"/>
    <cellStyle name="60% - Accent3 2 2 3 2 2" xfId="2061"/>
    <cellStyle name="60% - Accent3 2 2 4" xfId="2062"/>
    <cellStyle name="60% - Accent3 2 2 5" xfId="2063"/>
    <cellStyle name="60% - Accent3 2 2 6" xfId="2064"/>
    <cellStyle name="60% - Accent3 2 2 6 2" xfId="2065"/>
    <cellStyle name="60% - Accent3 2 3" xfId="2066"/>
    <cellStyle name="60% - Accent3 2 4" xfId="2067"/>
    <cellStyle name="60% - Accent3 2 4 2" xfId="2068"/>
    <cellStyle name="60% - Accent3 2 4 2 2" xfId="2069"/>
    <cellStyle name="60% - Accent3 2 5" xfId="2070"/>
    <cellStyle name="60% - Accent3 2 5 2" xfId="2071"/>
    <cellStyle name="60% - Accent3 2 5 2 2" xfId="2072"/>
    <cellStyle name="60% - Accent3 2 6" xfId="2073"/>
    <cellStyle name="60% - Accent3 2 7" xfId="2074"/>
    <cellStyle name="60% - Accent3 3" xfId="2075"/>
    <cellStyle name="60% - Accent3 3 2" xfId="2076"/>
    <cellStyle name="60% - Accent3 3 3" xfId="2077"/>
    <cellStyle name="60% - Accent3 4" xfId="2078"/>
    <cellStyle name="60% - Accent3 5" xfId="2079"/>
    <cellStyle name="60% - Accent3 6" xfId="2080"/>
    <cellStyle name="60% - Accent3 7" xfId="2081"/>
    <cellStyle name="60% - Accent4 2" xfId="2082"/>
    <cellStyle name="60% - Accent4 2 2" xfId="2083"/>
    <cellStyle name="60% - Accent4 2 2 2" xfId="2084"/>
    <cellStyle name="60% - Accent4 2 2 2 2" xfId="2085"/>
    <cellStyle name="60% - Accent4 2 2 2 2 2" xfId="2086"/>
    <cellStyle name="60% - Accent4 2 2 2 3" xfId="2087"/>
    <cellStyle name="60% - Accent4 2 2 2 4" xfId="2088"/>
    <cellStyle name="60% - Accent4 2 2 3" xfId="2089"/>
    <cellStyle name="60% - Accent4 2 2 3 2" xfId="2090"/>
    <cellStyle name="60% - Accent4 2 2 3 2 2" xfId="2091"/>
    <cellStyle name="60% - Accent4 2 2 4" xfId="2092"/>
    <cellStyle name="60% - Accent4 2 2 5" xfId="2093"/>
    <cellStyle name="60% - Accent4 2 2 6" xfId="2094"/>
    <cellStyle name="60% - Accent4 2 2 6 2" xfId="2095"/>
    <cellStyle name="60% - Accent4 2 3" xfId="2096"/>
    <cellStyle name="60% - Accent4 2 4" xfId="2097"/>
    <cellStyle name="60% - Accent4 2 4 2" xfId="2098"/>
    <cellStyle name="60% - Accent4 2 4 2 2" xfId="2099"/>
    <cellStyle name="60% - Accent4 2 5" xfId="2100"/>
    <cellStyle name="60% - Accent4 2 5 2" xfId="2101"/>
    <cellStyle name="60% - Accent4 2 5 2 2" xfId="2102"/>
    <cellStyle name="60% - Accent4 2 6" xfId="2103"/>
    <cellStyle name="60% - Accent4 2 7" xfId="2104"/>
    <cellStyle name="60% - Accent4 3" xfId="2105"/>
    <cellStyle name="60% - Accent4 3 2" xfId="2106"/>
    <cellStyle name="60% - Accent4 3 3" xfId="2107"/>
    <cellStyle name="60% - Accent4 4" xfId="2108"/>
    <cellStyle name="60% - Accent4 5" xfId="2109"/>
    <cellStyle name="60% - Accent4 6" xfId="2110"/>
    <cellStyle name="60% - Accent4 7" xfId="2111"/>
    <cellStyle name="60% - Accent5 2" xfId="2112"/>
    <cellStyle name="60% - Accent5 2 2" xfId="2113"/>
    <cellStyle name="60% - Accent5 2 2 2" xfId="2114"/>
    <cellStyle name="60% - Accent5 2 2 2 2" xfId="2115"/>
    <cellStyle name="60% - Accent5 2 2 2 2 2" xfId="2116"/>
    <cellStyle name="60% - Accent5 2 2 2 3" xfId="2117"/>
    <cellStyle name="60% - Accent5 2 2 2 4" xfId="2118"/>
    <cellStyle name="60% - Accent5 2 2 3" xfId="2119"/>
    <cellStyle name="60% - Accent5 2 2 3 2" xfId="2120"/>
    <cellStyle name="60% - Accent5 2 2 3 2 2" xfId="2121"/>
    <cellStyle name="60% - Accent5 2 2 4" xfId="2122"/>
    <cellStyle name="60% - Accent5 2 2 5" xfId="2123"/>
    <cellStyle name="60% - Accent5 2 2 6" xfId="2124"/>
    <cellStyle name="60% - Accent5 2 2 6 2" xfId="2125"/>
    <cellStyle name="60% - Accent5 2 3" xfId="2126"/>
    <cellStyle name="60% - Accent5 2 4" xfId="2127"/>
    <cellStyle name="60% - Accent5 2 4 2" xfId="2128"/>
    <cellStyle name="60% - Accent5 2 4 2 2" xfId="2129"/>
    <cellStyle name="60% - Accent5 2 5" xfId="2130"/>
    <cellStyle name="60% - Accent5 2 5 2" xfId="2131"/>
    <cellStyle name="60% - Accent5 2 5 2 2" xfId="2132"/>
    <cellStyle name="60% - Accent5 2 6" xfId="2133"/>
    <cellStyle name="60% - Accent5 2 7" xfId="2134"/>
    <cellStyle name="60% - Accent5 3" xfId="2135"/>
    <cellStyle name="60% - Accent5 3 2" xfId="2136"/>
    <cellStyle name="60% - Accent5 3 3" xfId="2137"/>
    <cellStyle name="60% - Accent5 4" xfId="2138"/>
    <cellStyle name="60% - Accent5 5" xfId="2139"/>
    <cellStyle name="60% - Accent5 6" xfId="2140"/>
    <cellStyle name="60% - Accent5 7" xfId="2141"/>
    <cellStyle name="60% - Accent6 2" xfId="2142"/>
    <cellStyle name="60% - Accent6 2 2" xfId="2143"/>
    <cellStyle name="60% - Accent6 2 2 2" xfId="2144"/>
    <cellStyle name="60% - Accent6 2 2 2 2" xfId="2145"/>
    <cellStyle name="60% - Accent6 2 2 2 2 2" xfId="2146"/>
    <cellStyle name="60% - Accent6 2 2 2 3" xfId="2147"/>
    <cellStyle name="60% - Accent6 2 2 2 4" xfId="2148"/>
    <cellStyle name="60% - Accent6 2 2 3" xfId="2149"/>
    <cellStyle name="60% - Accent6 2 2 3 2" xfId="2150"/>
    <cellStyle name="60% - Accent6 2 2 3 2 2" xfId="2151"/>
    <cellStyle name="60% - Accent6 2 2 4" xfId="2152"/>
    <cellStyle name="60% - Accent6 2 2 5" xfId="2153"/>
    <cellStyle name="60% - Accent6 2 2 6" xfId="2154"/>
    <cellStyle name="60% - Accent6 2 2 6 2" xfId="2155"/>
    <cellStyle name="60% - Accent6 2 3" xfId="2156"/>
    <cellStyle name="60% - Accent6 2 4" xfId="2157"/>
    <cellStyle name="60% - Accent6 2 4 2" xfId="2158"/>
    <cellStyle name="60% - Accent6 2 4 2 2" xfId="2159"/>
    <cellStyle name="60% - Accent6 2 5" xfId="2160"/>
    <cellStyle name="60% - Accent6 2 5 2" xfId="2161"/>
    <cellStyle name="60% - Accent6 2 5 2 2" xfId="2162"/>
    <cellStyle name="60% - Accent6 2 6" xfId="2163"/>
    <cellStyle name="60% - Accent6 2 7" xfId="2164"/>
    <cellStyle name="60% - Accent6 3" xfId="2165"/>
    <cellStyle name="60% - Accent6 3 2" xfId="2166"/>
    <cellStyle name="60% - Accent6 3 3" xfId="2167"/>
    <cellStyle name="60% - Accent6 4" xfId="2168"/>
    <cellStyle name="60% - Accent6 5" xfId="2169"/>
    <cellStyle name="60% - Accent6 6" xfId="2170"/>
    <cellStyle name="60% - Accent6 7" xfId="2171"/>
    <cellStyle name="aaa" xfId="2172"/>
    <cellStyle name="Accent1 - 20%" xfId="2173"/>
    <cellStyle name="Accent1 - 20% 2" xfId="2174"/>
    <cellStyle name="Accent1 - 40%" xfId="2175"/>
    <cellStyle name="Accent1 - 40% 2" xfId="2176"/>
    <cellStyle name="Accent1 - 60%" xfId="2177"/>
    <cellStyle name="Accent1 2" xfId="2178"/>
    <cellStyle name="Accent1 2 2" xfId="2179"/>
    <cellStyle name="Accent1 2 2 2" xfId="2180"/>
    <cellStyle name="Accent1 2 2 2 2" xfId="2181"/>
    <cellStyle name="Accent1 2 2 2 2 2" xfId="2182"/>
    <cellStyle name="Accent1 2 2 2 3" xfId="2183"/>
    <cellStyle name="Accent1 2 2 2 4" xfId="2184"/>
    <cellStyle name="Accent1 2 2 3" xfId="2185"/>
    <cellStyle name="Accent1 2 2 3 2" xfId="2186"/>
    <cellStyle name="Accent1 2 2 3 2 2" xfId="2187"/>
    <cellStyle name="Accent1 2 2 4" xfId="2188"/>
    <cellStyle name="Accent1 2 2 5" xfId="2189"/>
    <cellStyle name="Accent1 2 2 6" xfId="2190"/>
    <cellStyle name="Accent1 2 2 6 2" xfId="2191"/>
    <cellStyle name="Accent1 2 3" xfId="2192"/>
    <cellStyle name="Accent1 2 4" xfId="2193"/>
    <cellStyle name="Accent1 2 4 2" xfId="2194"/>
    <cellStyle name="Accent1 2 4 2 2" xfId="2195"/>
    <cellStyle name="Accent1 2 5" xfId="2196"/>
    <cellStyle name="Accent1 2 5 2" xfId="2197"/>
    <cellStyle name="Accent1 2 5 2 2" xfId="2198"/>
    <cellStyle name="Accent1 2 6" xfId="2199"/>
    <cellStyle name="Accent1 2 7" xfId="2200"/>
    <cellStyle name="Accent1 3" xfId="2201"/>
    <cellStyle name="Accent1 3 2" xfId="2202"/>
    <cellStyle name="Accent1 3 3" xfId="2203"/>
    <cellStyle name="Accent1 4" xfId="2204"/>
    <cellStyle name="Accent1 5" xfId="2205"/>
    <cellStyle name="Accent1 6" xfId="2206"/>
    <cellStyle name="Accent1 7" xfId="2207"/>
    <cellStyle name="Accent2 - 20%" xfId="2208"/>
    <cellStyle name="Accent2 - 20% 2" xfId="2209"/>
    <cellStyle name="Accent2 - 40%" xfId="2210"/>
    <cellStyle name="Accent2 - 40% 2" xfId="2211"/>
    <cellStyle name="Accent2 - 60%" xfId="2212"/>
    <cellStyle name="Accent2 2" xfId="2213"/>
    <cellStyle name="Accent2 2 2" xfId="2214"/>
    <cellStyle name="Accent2 2 2 2" xfId="2215"/>
    <cellStyle name="Accent2 2 2 2 2" xfId="2216"/>
    <cellStyle name="Accent2 2 2 2 2 2" xfId="2217"/>
    <cellStyle name="Accent2 2 2 2 3" xfId="2218"/>
    <cellStyle name="Accent2 2 2 2 4" xfId="2219"/>
    <cellStyle name="Accent2 2 2 3" xfId="2220"/>
    <cellStyle name="Accent2 2 2 3 2" xfId="2221"/>
    <cellStyle name="Accent2 2 2 3 2 2" xfId="2222"/>
    <cellStyle name="Accent2 2 2 4" xfId="2223"/>
    <cellStyle name="Accent2 2 2 5" xfId="2224"/>
    <cellStyle name="Accent2 2 2 6" xfId="2225"/>
    <cellStyle name="Accent2 2 2 6 2" xfId="2226"/>
    <cellStyle name="Accent2 2 3" xfId="2227"/>
    <cellStyle name="Accent2 2 4" xfId="2228"/>
    <cellStyle name="Accent2 2 4 2" xfId="2229"/>
    <cellStyle name="Accent2 2 4 2 2" xfId="2230"/>
    <cellStyle name="Accent2 2 5" xfId="2231"/>
    <cellStyle name="Accent2 2 5 2" xfId="2232"/>
    <cellStyle name="Accent2 2 5 2 2" xfId="2233"/>
    <cellStyle name="Accent2 2 6" xfId="2234"/>
    <cellStyle name="Accent2 2 7" xfId="2235"/>
    <cellStyle name="Accent2 3" xfId="2236"/>
    <cellStyle name="Accent2 3 2" xfId="2237"/>
    <cellStyle name="Accent2 3 3" xfId="2238"/>
    <cellStyle name="Accent2 4" xfId="2239"/>
    <cellStyle name="Accent2 5" xfId="2240"/>
    <cellStyle name="Accent2 6" xfId="2241"/>
    <cellStyle name="Accent2 7" xfId="2242"/>
    <cellStyle name="Accent3 - 20%" xfId="2243"/>
    <cellStyle name="Accent3 - 20% 2" xfId="2244"/>
    <cellStyle name="Accent3 - 40%" xfId="2245"/>
    <cellStyle name="Accent3 - 40% 2" xfId="2246"/>
    <cellStyle name="Accent3 - 60%" xfId="2247"/>
    <cellStyle name="Accent3 2" xfId="2248"/>
    <cellStyle name="Accent3 2 2" xfId="2249"/>
    <cellStyle name="Accent3 2 2 2" xfId="2250"/>
    <cellStyle name="Accent3 2 2 2 2" xfId="2251"/>
    <cellStyle name="Accent3 2 2 2 2 2" xfId="2252"/>
    <cellStyle name="Accent3 2 2 2 3" xfId="2253"/>
    <cellStyle name="Accent3 2 2 2 4" xfId="2254"/>
    <cellStyle name="Accent3 2 2 3" xfId="2255"/>
    <cellStyle name="Accent3 2 2 3 2" xfId="2256"/>
    <cellStyle name="Accent3 2 2 3 2 2" xfId="2257"/>
    <cellStyle name="Accent3 2 2 4" xfId="2258"/>
    <cellStyle name="Accent3 2 2 5" xfId="2259"/>
    <cellStyle name="Accent3 2 2 6" xfId="2260"/>
    <cellStyle name="Accent3 2 2 6 2" xfId="2261"/>
    <cellStyle name="Accent3 2 3" xfId="2262"/>
    <cellStyle name="Accent3 2 4" xfId="2263"/>
    <cellStyle name="Accent3 2 4 2" xfId="2264"/>
    <cellStyle name="Accent3 2 4 2 2" xfId="2265"/>
    <cellStyle name="Accent3 2 5" xfId="2266"/>
    <cellStyle name="Accent3 2 5 2" xfId="2267"/>
    <cellStyle name="Accent3 2 5 2 2" xfId="2268"/>
    <cellStyle name="Accent3 2 6" xfId="2269"/>
    <cellStyle name="Accent3 2 7" xfId="2270"/>
    <cellStyle name="Accent3 3" xfId="2271"/>
    <cellStyle name="Accent3 3 2" xfId="2272"/>
    <cellStyle name="Accent3 3 3" xfId="2273"/>
    <cellStyle name="Accent3 4" xfId="2274"/>
    <cellStyle name="Accent3 5" xfId="2275"/>
    <cellStyle name="Accent3 6" xfId="2276"/>
    <cellStyle name="Accent3 7" xfId="2277"/>
    <cellStyle name="Accent4 - 20%" xfId="2278"/>
    <cellStyle name="Accent4 - 20% 2" xfId="2279"/>
    <cellStyle name="Accent4 - 40%" xfId="2280"/>
    <cellStyle name="Accent4 - 40% 2" xfId="2281"/>
    <cellStyle name="Accent4 - 60%" xfId="2282"/>
    <cellStyle name="Accent4 2" xfId="2283"/>
    <cellStyle name="Accent4 2 2" xfId="2284"/>
    <cellStyle name="Accent4 2 2 2" xfId="2285"/>
    <cellStyle name="Accent4 2 2 2 2" xfId="2286"/>
    <cellStyle name="Accent4 2 2 2 2 2" xfId="2287"/>
    <cellStyle name="Accent4 2 2 2 3" xfId="2288"/>
    <cellStyle name="Accent4 2 2 2 4" xfId="2289"/>
    <cellStyle name="Accent4 2 2 3" xfId="2290"/>
    <cellStyle name="Accent4 2 2 3 2" xfId="2291"/>
    <cellStyle name="Accent4 2 2 3 2 2" xfId="2292"/>
    <cellStyle name="Accent4 2 2 4" xfId="2293"/>
    <cellStyle name="Accent4 2 2 5" xfId="2294"/>
    <cellStyle name="Accent4 2 2 6" xfId="2295"/>
    <cellStyle name="Accent4 2 2 6 2" xfId="2296"/>
    <cellStyle name="Accent4 2 3" xfId="2297"/>
    <cellStyle name="Accent4 2 4" xfId="2298"/>
    <cellStyle name="Accent4 2 4 2" xfId="2299"/>
    <cellStyle name="Accent4 2 4 2 2" xfId="2300"/>
    <cellStyle name="Accent4 2 5" xfId="2301"/>
    <cellStyle name="Accent4 2 5 2" xfId="2302"/>
    <cellStyle name="Accent4 2 5 2 2" xfId="2303"/>
    <cellStyle name="Accent4 2 6" xfId="2304"/>
    <cellStyle name="Accent4 2 7" xfId="2305"/>
    <cellStyle name="Accent4 3" xfId="2306"/>
    <cellStyle name="Accent4 3 2" xfId="2307"/>
    <cellStyle name="Accent4 3 3" xfId="2308"/>
    <cellStyle name="Accent4 4" xfId="2309"/>
    <cellStyle name="Accent4 5" xfId="2310"/>
    <cellStyle name="Accent4 6" xfId="2311"/>
    <cellStyle name="Accent4 7" xfId="2312"/>
    <cellStyle name="Accent5 - 20%" xfId="2313"/>
    <cellStyle name="Accent5 - 20% 2" xfId="2314"/>
    <cellStyle name="Accent5 - 40%" xfId="2315"/>
    <cellStyle name="Accent5 - 40% 2" xfId="2316"/>
    <cellStyle name="Accent5 - 60%" xfId="2317"/>
    <cellStyle name="Accent5 2" xfId="2318"/>
    <cellStyle name="Accent5 2 2" xfId="2319"/>
    <cellStyle name="Accent5 2 2 2" xfId="2320"/>
    <cellStyle name="Accent5 2 2 2 2" xfId="2321"/>
    <cellStyle name="Accent5 2 2 2 2 2" xfId="2322"/>
    <cellStyle name="Accent5 2 2 2 3" xfId="2323"/>
    <cellStyle name="Accent5 2 2 2 4" xfId="2324"/>
    <cellStyle name="Accent5 2 2 3" xfId="2325"/>
    <cellStyle name="Accent5 2 2 3 2" xfId="2326"/>
    <cellStyle name="Accent5 2 2 3 2 2" xfId="2327"/>
    <cellStyle name="Accent5 2 2 4" xfId="2328"/>
    <cellStyle name="Accent5 2 2 5" xfId="2329"/>
    <cellStyle name="Accent5 2 2 6" xfId="2330"/>
    <cellStyle name="Accent5 2 2 6 2" xfId="2331"/>
    <cellStyle name="Accent5 2 3" xfId="2332"/>
    <cellStyle name="Accent5 2 4" xfId="2333"/>
    <cellStyle name="Accent5 2 4 2" xfId="2334"/>
    <cellStyle name="Accent5 2 4 2 2" xfId="2335"/>
    <cellStyle name="Accent5 2 5" xfId="2336"/>
    <cellStyle name="Accent5 2 5 2" xfId="2337"/>
    <cellStyle name="Accent5 2 5 2 2" xfId="2338"/>
    <cellStyle name="Accent5 2 6" xfId="2339"/>
    <cellStyle name="Accent5 2 7" xfId="2340"/>
    <cellStyle name="Accent5 3" xfId="2341"/>
    <cellStyle name="Accent5 3 2" xfId="2342"/>
    <cellStyle name="Accent5 3 3" xfId="2343"/>
    <cellStyle name="Accent5 4" xfId="2344"/>
    <cellStyle name="Accent5 5" xfId="2345"/>
    <cellStyle name="Accent5 6" xfId="2346"/>
    <cellStyle name="Accent5 7" xfId="2347"/>
    <cellStyle name="Accent6 - 20%" xfId="2348"/>
    <cellStyle name="Accent6 - 20% 2" xfId="2349"/>
    <cellStyle name="Accent6 - 40%" xfId="2350"/>
    <cellStyle name="Accent6 - 40% 2" xfId="2351"/>
    <cellStyle name="Accent6 - 60%" xfId="2352"/>
    <cellStyle name="Accent6 2" xfId="2353"/>
    <cellStyle name="Accent6 2 2" xfId="2354"/>
    <cellStyle name="Accent6 2 2 2" xfId="2355"/>
    <cellStyle name="Accent6 2 2 2 2" xfId="2356"/>
    <cellStyle name="Accent6 2 2 2 2 2" xfId="2357"/>
    <cellStyle name="Accent6 2 2 2 3" xfId="2358"/>
    <cellStyle name="Accent6 2 2 2 4" xfId="2359"/>
    <cellStyle name="Accent6 2 2 3" xfId="2360"/>
    <cellStyle name="Accent6 2 2 3 2" xfId="2361"/>
    <cellStyle name="Accent6 2 2 3 2 2" xfId="2362"/>
    <cellStyle name="Accent6 2 2 4" xfId="2363"/>
    <cellStyle name="Accent6 2 2 5" xfId="2364"/>
    <cellStyle name="Accent6 2 2 6" xfId="2365"/>
    <cellStyle name="Accent6 2 2 6 2" xfId="2366"/>
    <cellStyle name="Accent6 2 3" xfId="2367"/>
    <cellStyle name="Accent6 2 4" xfId="2368"/>
    <cellStyle name="Accent6 2 4 2" xfId="2369"/>
    <cellStyle name="Accent6 2 4 2 2" xfId="2370"/>
    <cellStyle name="Accent6 2 5" xfId="2371"/>
    <cellStyle name="Accent6 2 5 2" xfId="2372"/>
    <cellStyle name="Accent6 2 5 2 2" xfId="2373"/>
    <cellStyle name="Accent6 2 6" xfId="2374"/>
    <cellStyle name="Accent6 2 7" xfId="2375"/>
    <cellStyle name="Accent6 3" xfId="2376"/>
    <cellStyle name="Accent6 3 2" xfId="2377"/>
    <cellStyle name="Accent6 3 3" xfId="2378"/>
    <cellStyle name="Accent6 4" xfId="2379"/>
    <cellStyle name="Accent6 5" xfId="2380"/>
    <cellStyle name="Accent6 6" xfId="2381"/>
    <cellStyle name="Accent6 7" xfId="2382"/>
    <cellStyle name="Acrual" xfId="2383"/>
    <cellStyle name="Actual" xfId="2384"/>
    <cellStyle name="Actual Date" xfId="2385"/>
    <cellStyle name="ÅëÈ­ [0]_±âÅ¸" xfId="2386"/>
    <cellStyle name="ÅëÈ­_±âÅ¸" xfId="2387"/>
    <cellStyle name="AFE" xfId="2388"/>
    <cellStyle name="Allign center" xfId="2389"/>
    <cellStyle name="alternate" xfId="2390"/>
    <cellStyle name="Ancillary" xfId="2391"/>
    <cellStyle name="Anos" xfId="2392"/>
    <cellStyle name="Array" xfId="2393"/>
    <cellStyle name="ÄÞ¸¶ [0]_±âÅ¸" xfId="2394"/>
    <cellStyle name="ÄÞ¸¶_±âÅ¸" xfId="2395"/>
    <cellStyle name="Bad 2" xfId="2396"/>
    <cellStyle name="Bad 2 10" xfId="2397"/>
    <cellStyle name="Bad 2 11" xfId="2398"/>
    <cellStyle name="Bad 2 12" xfId="2399"/>
    <cellStyle name="Bad 2 13" xfId="2400"/>
    <cellStyle name="Bad 2 14" xfId="2401"/>
    <cellStyle name="Bad 2 15" xfId="2402"/>
    <cellStyle name="Bad 2 16" xfId="2403"/>
    <cellStyle name="Bad 2 17" xfId="2404"/>
    <cellStyle name="Bad 2 18" xfId="2405"/>
    <cellStyle name="Bad 2 19" xfId="2406"/>
    <cellStyle name="Bad 2 2" xfId="2407"/>
    <cellStyle name="Bad 2 2 2" xfId="2408"/>
    <cellStyle name="Bad 2 2 2 2" xfId="2409"/>
    <cellStyle name="Bad 2 2 2 2 2" xfId="2410"/>
    <cellStyle name="Bad 2 2 2 3" xfId="2411"/>
    <cellStyle name="Bad 2 2 2 4" xfId="2412"/>
    <cellStyle name="Bad 2 2 3" xfId="2413"/>
    <cellStyle name="Bad 2 2 3 2" xfId="2414"/>
    <cellStyle name="Bad 2 2 3 2 2" xfId="2415"/>
    <cellStyle name="Bad 2 2 4" xfId="2416"/>
    <cellStyle name="Bad 2 2 5" xfId="2417"/>
    <cellStyle name="Bad 2 2 6" xfId="2418"/>
    <cellStyle name="Bad 2 2 6 2" xfId="2419"/>
    <cellStyle name="Bad 2 20" xfId="2420"/>
    <cellStyle name="Bad 2 21" xfId="2421"/>
    <cellStyle name="Bad 2 22" xfId="2422"/>
    <cellStyle name="Bad 2 23" xfId="2423"/>
    <cellStyle name="Bad 2 24" xfId="2424"/>
    <cellStyle name="Bad 2 25" xfId="2425"/>
    <cellStyle name="Bad 2 26" xfId="2426"/>
    <cellStyle name="Bad 2 27" xfId="2427"/>
    <cellStyle name="Bad 2 28" xfId="2428"/>
    <cellStyle name="Bad 2 29" xfId="2429"/>
    <cellStyle name="Bad 2 3" xfId="2430"/>
    <cellStyle name="Bad 2 30" xfId="2431"/>
    <cellStyle name="Bad 2 31" xfId="2432"/>
    <cellStyle name="Bad 2 32" xfId="2433"/>
    <cellStyle name="Bad 2 33" xfId="2434"/>
    <cellStyle name="Bad 2 34" xfId="2435"/>
    <cellStyle name="Bad 2 35" xfId="2436"/>
    <cellStyle name="Bad 2 36" xfId="2437"/>
    <cellStyle name="Bad 2 37" xfId="2438"/>
    <cellStyle name="Bad 2 38" xfId="2439"/>
    <cellStyle name="Bad 2 39" xfId="2440"/>
    <cellStyle name="Bad 2 4" xfId="2441"/>
    <cellStyle name="Bad 2 4 2" xfId="2442"/>
    <cellStyle name="Bad 2 4 2 2" xfId="2443"/>
    <cellStyle name="Bad 2 40" xfId="2444"/>
    <cellStyle name="Bad 2 41" xfId="2445"/>
    <cellStyle name="Bad 2 42" xfId="2446"/>
    <cellStyle name="Bad 2 43" xfId="2447"/>
    <cellStyle name="Bad 2 44" xfId="2448"/>
    <cellStyle name="Bad 2 45" xfId="2449"/>
    <cellStyle name="Bad 2 46" xfId="2450"/>
    <cellStyle name="Bad 2 47" xfId="2451"/>
    <cellStyle name="Bad 2 48" xfId="2452"/>
    <cellStyle name="Bad 2 49" xfId="2453"/>
    <cellStyle name="Bad 2 5" xfId="2454"/>
    <cellStyle name="Bad 2 5 2" xfId="2455"/>
    <cellStyle name="Bad 2 5 2 2" xfId="2456"/>
    <cellStyle name="Bad 2 50" xfId="2457"/>
    <cellStyle name="Bad 2 51" xfId="2458"/>
    <cellStyle name="Bad 2 52" xfId="2459"/>
    <cellStyle name="Bad 2 53" xfId="2460"/>
    <cellStyle name="Bad 2 54" xfId="2461"/>
    <cellStyle name="Bad 2 55" xfId="2462"/>
    <cellStyle name="Bad 2 56" xfId="2463"/>
    <cellStyle name="Bad 2 57" xfId="2464"/>
    <cellStyle name="Bad 2 58" xfId="2465"/>
    <cellStyle name="Bad 2 59" xfId="2466"/>
    <cellStyle name="Bad 2 6" xfId="2467"/>
    <cellStyle name="Bad 2 60" xfId="2468"/>
    <cellStyle name="Bad 2 61" xfId="2469"/>
    <cellStyle name="Bad 2 62" xfId="2470"/>
    <cellStyle name="Bad 2 63" xfId="2471"/>
    <cellStyle name="Bad 2 7" xfId="2472"/>
    <cellStyle name="Bad 2 8" xfId="2473"/>
    <cellStyle name="Bad 2 9" xfId="2474"/>
    <cellStyle name="Bad 3" xfId="2475"/>
    <cellStyle name="Bad 3 10" xfId="2476"/>
    <cellStyle name="Bad 3 11" xfId="2477"/>
    <cellStyle name="Bad 3 12" xfId="2478"/>
    <cellStyle name="Bad 3 13" xfId="2479"/>
    <cellStyle name="Bad 3 14" xfId="2480"/>
    <cellStyle name="Bad 3 2" xfId="2481"/>
    <cellStyle name="Bad 3 3" xfId="2482"/>
    <cellStyle name="Bad 3 4" xfId="2483"/>
    <cellStyle name="Bad 3 5" xfId="2484"/>
    <cellStyle name="Bad 3 6" xfId="2485"/>
    <cellStyle name="Bad 3 7" xfId="2486"/>
    <cellStyle name="Bad 3 8" xfId="2487"/>
    <cellStyle name="Bad 3 9" xfId="2488"/>
    <cellStyle name="Bad 4" xfId="2489"/>
    <cellStyle name="Bad 4 2" xfId="2490"/>
    <cellStyle name="Bad 4 3" xfId="2491"/>
    <cellStyle name="Bad 5" xfId="2492"/>
    <cellStyle name="Bad 6" xfId="2493"/>
    <cellStyle name="Bad 7" xfId="2494"/>
    <cellStyle name="Bad 8" xfId="2495"/>
    <cellStyle name="Band 1" xfId="2496"/>
    <cellStyle name="Band 2" xfId="2497"/>
    <cellStyle name="billion" xfId="2498"/>
    <cellStyle name="blank" xfId="2499"/>
    <cellStyle name="BlankCellReferenced" xfId="2500"/>
    <cellStyle name="BlankCellReferenced 2" xfId="6116"/>
    <cellStyle name="blue axis cells" xfId="2501"/>
    <cellStyle name="Blue Percent" xfId="2502"/>
    <cellStyle name="blue text cells" xfId="2503"/>
    <cellStyle name="BMHeading" xfId="2504"/>
    <cellStyle name="BMPercent" xfId="2505"/>
    <cellStyle name="Body" xfId="2506"/>
    <cellStyle name="Bold/Border" xfId="2507"/>
    <cellStyle name="BooleanYorN" xfId="2508"/>
    <cellStyle name="bp--" xfId="2509"/>
    <cellStyle name="brakcomma" xfId="2510"/>
    <cellStyle name="Brand Default" xfId="2511"/>
    <cellStyle name="Brand Source" xfId="2512"/>
    <cellStyle name="Brand Subtitle with Underline" xfId="2513"/>
    <cellStyle name="Brand Title" xfId="2514"/>
    <cellStyle name="Bullet" xfId="2515"/>
    <cellStyle name="c" xfId="2516"/>
    <cellStyle name="c_Bal Sheets" xfId="2517"/>
    <cellStyle name="c_Credit (2)" xfId="2518"/>
    <cellStyle name="c_Earnings" xfId="2519"/>
    <cellStyle name="c_Earnings (2)" xfId="2520"/>
    <cellStyle name="c_finsumm" xfId="2521"/>
    <cellStyle name="c_GoroWipTax-to2050_fromCo_Oct21_99" xfId="2522"/>
    <cellStyle name="c_HardInc " xfId="2523"/>
    <cellStyle name="c_Hist Inputs (2)" xfId="2524"/>
    <cellStyle name="c_IEL_finsumm" xfId="2525"/>
    <cellStyle name="c_IEL_finsumm1" xfId="2526"/>
    <cellStyle name="c_LBO Summary" xfId="2527"/>
    <cellStyle name="c_Schedules" xfId="2528"/>
    <cellStyle name="c_Trans Assump (2)" xfId="2529"/>
    <cellStyle name="c_Unit Price Sen. (2)" xfId="2530"/>
    <cellStyle name="Ç¥ÁØ_¿ù°£¿ä¾àº¸°í" xfId="2531"/>
    <cellStyle name="CALC Amount" xfId="2532"/>
    <cellStyle name="CALC Amount [1]" xfId="2533"/>
    <cellStyle name="CALC Amount [2]" xfId="2534"/>
    <cellStyle name="CALC Amount Total" xfId="2535"/>
    <cellStyle name="CALC Amount Total [1]" xfId="2536"/>
    <cellStyle name="CALC Amount Total [1] 2" xfId="2537"/>
    <cellStyle name="CALC Amount Total [2]" xfId="2538"/>
    <cellStyle name="CALC Amount Total [2] 2" xfId="2539"/>
    <cellStyle name="CALC Amount Total 2" xfId="2540"/>
    <cellStyle name="CALC Currency" xfId="2541"/>
    <cellStyle name="Calc Currency (0)" xfId="2542"/>
    <cellStyle name="CALC Currency [1]" xfId="2543"/>
    <cellStyle name="CALC Currency [2]" xfId="2544"/>
    <cellStyle name="CALC Currency Total" xfId="2545"/>
    <cellStyle name="CALC Currency Total [1]" xfId="2546"/>
    <cellStyle name="CALC Currency Total [1] 2" xfId="2547"/>
    <cellStyle name="CALC Currency Total [2]" xfId="2548"/>
    <cellStyle name="CALC Currency Total [2] 2" xfId="2549"/>
    <cellStyle name="CALC Currency Total 2" xfId="2550"/>
    <cellStyle name="CALC Date Long" xfId="2551"/>
    <cellStyle name="CALC Date Short" xfId="2552"/>
    <cellStyle name="CALC Percent" xfId="2553"/>
    <cellStyle name="CALC Percent [1]" xfId="2554"/>
    <cellStyle name="CALC Percent [2]" xfId="2555"/>
    <cellStyle name="CALC Percent Total" xfId="2556"/>
    <cellStyle name="CALC Percent Total [1]" xfId="2557"/>
    <cellStyle name="CALC Percent Total [1] 2" xfId="2558"/>
    <cellStyle name="CALC Percent Total [2]" xfId="2559"/>
    <cellStyle name="CALC Percent Total [2] 2" xfId="2560"/>
    <cellStyle name="CALC Percent Total 2" xfId="2561"/>
    <cellStyle name="Calc0" xfId="2562"/>
    <cellStyle name="Calc1" xfId="2563"/>
    <cellStyle name="Calc2" xfId="2564"/>
    <cellStyle name="Calc4" xfId="2565"/>
    <cellStyle name="CalcInput" xfId="2566"/>
    <cellStyle name="Calcs" xfId="2567"/>
    <cellStyle name="Calculation 2" xfId="2568"/>
    <cellStyle name="Calculation 2 10" xfId="2569"/>
    <cellStyle name="Calculation 2 10 2" xfId="6114"/>
    <cellStyle name="Calculation 2 11" xfId="2570"/>
    <cellStyle name="Calculation 2 11 2" xfId="6113"/>
    <cellStyle name="Calculation 2 12" xfId="2571"/>
    <cellStyle name="Calculation 2 12 2" xfId="6112"/>
    <cellStyle name="Calculation 2 13" xfId="2572"/>
    <cellStyle name="Calculation 2 13 2" xfId="6111"/>
    <cellStyle name="Calculation 2 14" xfId="2573"/>
    <cellStyle name="Calculation 2 14 2" xfId="6110"/>
    <cellStyle name="Calculation 2 15" xfId="2574"/>
    <cellStyle name="Calculation 2 15 2" xfId="6109"/>
    <cellStyle name="Calculation 2 16" xfId="2575"/>
    <cellStyle name="Calculation 2 16 2" xfId="6108"/>
    <cellStyle name="Calculation 2 17" xfId="2576"/>
    <cellStyle name="Calculation 2 17 2" xfId="6107"/>
    <cellStyle name="Calculation 2 18" xfId="2577"/>
    <cellStyle name="Calculation 2 18 2" xfId="6106"/>
    <cellStyle name="Calculation 2 19" xfId="2578"/>
    <cellStyle name="Calculation 2 19 2" xfId="6105"/>
    <cellStyle name="Calculation 2 2" xfId="2579"/>
    <cellStyle name="Calculation 2 2 10" xfId="2580"/>
    <cellStyle name="Calculation 2 2 10 2" xfId="6103"/>
    <cellStyle name="Calculation 2 2 11" xfId="2581"/>
    <cellStyle name="Calculation 2 2 11 2" xfId="6102"/>
    <cellStyle name="Calculation 2 2 12" xfId="2582"/>
    <cellStyle name="Calculation 2 2 12 2" xfId="6101"/>
    <cellStyle name="Calculation 2 2 13" xfId="2583"/>
    <cellStyle name="Calculation 2 2 13 2" xfId="6100"/>
    <cellStyle name="Calculation 2 2 14" xfId="2584"/>
    <cellStyle name="Calculation 2 2 14 2" xfId="6099"/>
    <cellStyle name="Calculation 2 2 15" xfId="2585"/>
    <cellStyle name="Calculation 2 2 15 2" xfId="6098"/>
    <cellStyle name="Calculation 2 2 16" xfId="2586"/>
    <cellStyle name="Calculation 2 2 16 2" xfId="6097"/>
    <cellStyle name="Calculation 2 2 17" xfId="2587"/>
    <cellStyle name="Calculation 2 2 17 2" xfId="6096"/>
    <cellStyle name="Calculation 2 2 18" xfId="2588"/>
    <cellStyle name="Calculation 2 2 18 2" xfId="6095"/>
    <cellStyle name="Calculation 2 2 19" xfId="2589"/>
    <cellStyle name="Calculation 2 2 19 2" xfId="6094"/>
    <cellStyle name="Calculation 2 2 2" xfId="2590"/>
    <cellStyle name="Calculation 2 2 2 2" xfId="6093"/>
    <cellStyle name="Calculation 2 2 20" xfId="2591"/>
    <cellStyle name="Calculation 2 2 20 2" xfId="6092"/>
    <cellStyle name="Calculation 2 2 21" xfId="2592"/>
    <cellStyle name="Calculation 2 2 21 2" xfId="6091"/>
    <cellStyle name="Calculation 2 2 22" xfId="2593"/>
    <cellStyle name="Calculation 2 2 22 2" xfId="6090"/>
    <cellStyle name="Calculation 2 2 23" xfId="2594"/>
    <cellStyle name="Calculation 2 2 23 2" xfId="6089"/>
    <cellStyle name="Calculation 2 2 24" xfId="2595"/>
    <cellStyle name="Calculation 2 2 24 2" xfId="6088"/>
    <cellStyle name="Calculation 2 2 25" xfId="2596"/>
    <cellStyle name="Calculation 2 2 25 2" xfId="6087"/>
    <cellStyle name="Calculation 2 2 26" xfId="2597"/>
    <cellStyle name="Calculation 2 2 26 2" xfId="6086"/>
    <cellStyle name="Calculation 2 2 27" xfId="2598"/>
    <cellStyle name="Calculation 2 2 27 2" xfId="6085"/>
    <cellStyle name="Calculation 2 2 28" xfId="2599"/>
    <cellStyle name="Calculation 2 2 28 2" xfId="6084"/>
    <cellStyle name="Calculation 2 2 29" xfId="2600"/>
    <cellStyle name="Calculation 2 2 29 2" xfId="6083"/>
    <cellStyle name="Calculation 2 2 3" xfId="2601"/>
    <cellStyle name="Calculation 2 2 3 2" xfId="6082"/>
    <cellStyle name="Calculation 2 2 30" xfId="2602"/>
    <cellStyle name="Calculation 2 2 30 2" xfId="6081"/>
    <cellStyle name="Calculation 2 2 31" xfId="2603"/>
    <cellStyle name="Calculation 2 2 31 2" xfId="6080"/>
    <cellStyle name="Calculation 2 2 32" xfId="2604"/>
    <cellStyle name="Calculation 2 2 32 2" xfId="6079"/>
    <cellStyle name="Calculation 2 2 33" xfId="6104"/>
    <cellStyle name="Calculation 2 2 4" xfId="2605"/>
    <cellStyle name="Calculation 2 2 4 2" xfId="6078"/>
    <cellStyle name="Calculation 2 2 5" xfId="2606"/>
    <cellStyle name="Calculation 2 2 5 2" xfId="6077"/>
    <cellStyle name="Calculation 2 2 6" xfId="2607"/>
    <cellStyle name="Calculation 2 2 6 2" xfId="6076"/>
    <cellStyle name="Calculation 2 2 7" xfId="2608"/>
    <cellStyle name="Calculation 2 2 7 2" xfId="6075"/>
    <cellStyle name="Calculation 2 2 8" xfId="2609"/>
    <cellStyle name="Calculation 2 2 8 2" xfId="6074"/>
    <cellStyle name="Calculation 2 2 9" xfId="2610"/>
    <cellStyle name="Calculation 2 2 9 2" xfId="6073"/>
    <cellStyle name="Calculation 2 20" xfId="2611"/>
    <cellStyle name="Calculation 2 20 2" xfId="6072"/>
    <cellStyle name="Calculation 2 21" xfId="2612"/>
    <cellStyle name="Calculation 2 21 2" xfId="6071"/>
    <cellStyle name="Calculation 2 22" xfId="2613"/>
    <cellStyle name="Calculation 2 22 2" xfId="6070"/>
    <cellStyle name="Calculation 2 23" xfId="2614"/>
    <cellStyle name="Calculation 2 23 2" xfId="6069"/>
    <cellStyle name="Calculation 2 24" xfId="2615"/>
    <cellStyle name="Calculation 2 24 2" xfId="6068"/>
    <cellStyle name="Calculation 2 25" xfId="2616"/>
    <cellStyle name="Calculation 2 25 2" xfId="6067"/>
    <cellStyle name="Calculation 2 26" xfId="2617"/>
    <cellStyle name="Calculation 2 26 2" xfId="6066"/>
    <cellStyle name="Calculation 2 27" xfId="2618"/>
    <cellStyle name="Calculation 2 27 2" xfId="6065"/>
    <cellStyle name="Calculation 2 28" xfId="2619"/>
    <cellStyle name="Calculation 2 28 2" xfId="6064"/>
    <cellStyle name="Calculation 2 29" xfId="2620"/>
    <cellStyle name="Calculation 2 29 2" xfId="6063"/>
    <cellStyle name="Calculation 2 3" xfId="2621"/>
    <cellStyle name="Calculation 2 3 10" xfId="2622"/>
    <cellStyle name="Calculation 2 3 10 2" xfId="6061"/>
    <cellStyle name="Calculation 2 3 11" xfId="2623"/>
    <cellStyle name="Calculation 2 3 11 2" xfId="6060"/>
    <cellStyle name="Calculation 2 3 12" xfId="2624"/>
    <cellStyle name="Calculation 2 3 12 2" xfId="6059"/>
    <cellStyle name="Calculation 2 3 13" xfId="2625"/>
    <cellStyle name="Calculation 2 3 13 2" xfId="6058"/>
    <cellStyle name="Calculation 2 3 14" xfId="2626"/>
    <cellStyle name="Calculation 2 3 14 2" xfId="6057"/>
    <cellStyle name="Calculation 2 3 15" xfId="2627"/>
    <cellStyle name="Calculation 2 3 15 2" xfId="6056"/>
    <cellStyle name="Calculation 2 3 16" xfId="2628"/>
    <cellStyle name="Calculation 2 3 16 2" xfId="6055"/>
    <cellStyle name="Calculation 2 3 17" xfId="2629"/>
    <cellStyle name="Calculation 2 3 17 2" xfId="6054"/>
    <cellStyle name="Calculation 2 3 18" xfId="2630"/>
    <cellStyle name="Calculation 2 3 18 2" xfId="6053"/>
    <cellStyle name="Calculation 2 3 19" xfId="2631"/>
    <cellStyle name="Calculation 2 3 19 2" xfId="6052"/>
    <cellStyle name="Calculation 2 3 2" xfId="2632"/>
    <cellStyle name="Calculation 2 3 2 2" xfId="6051"/>
    <cellStyle name="Calculation 2 3 20" xfId="2633"/>
    <cellStyle name="Calculation 2 3 20 2" xfId="6050"/>
    <cellStyle name="Calculation 2 3 21" xfId="2634"/>
    <cellStyle name="Calculation 2 3 21 2" xfId="6049"/>
    <cellStyle name="Calculation 2 3 22" xfId="2635"/>
    <cellStyle name="Calculation 2 3 22 2" xfId="6048"/>
    <cellStyle name="Calculation 2 3 23" xfId="2636"/>
    <cellStyle name="Calculation 2 3 23 2" xfId="6047"/>
    <cellStyle name="Calculation 2 3 24" xfId="2637"/>
    <cellStyle name="Calculation 2 3 24 2" xfId="6046"/>
    <cellStyle name="Calculation 2 3 25" xfId="2638"/>
    <cellStyle name="Calculation 2 3 25 2" xfId="6045"/>
    <cellStyle name="Calculation 2 3 26" xfId="2639"/>
    <cellStyle name="Calculation 2 3 26 2" xfId="6044"/>
    <cellStyle name="Calculation 2 3 27" xfId="2640"/>
    <cellStyle name="Calculation 2 3 27 2" xfId="6043"/>
    <cellStyle name="Calculation 2 3 28" xfId="2641"/>
    <cellStyle name="Calculation 2 3 28 2" xfId="6042"/>
    <cellStyle name="Calculation 2 3 29" xfId="2642"/>
    <cellStyle name="Calculation 2 3 29 2" xfId="6041"/>
    <cellStyle name="Calculation 2 3 3" xfId="2643"/>
    <cellStyle name="Calculation 2 3 3 2" xfId="6040"/>
    <cellStyle name="Calculation 2 3 30" xfId="2644"/>
    <cellStyle name="Calculation 2 3 30 2" xfId="6039"/>
    <cellStyle name="Calculation 2 3 31" xfId="2645"/>
    <cellStyle name="Calculation 2 3 31 2" xfId="6038"/>
    <cellStyle name="Calculation 2 3 32" xfId="2646"/>
    <cellStyle name="Calculation 2 3 32 2" xfId="6037"/>
    <cellStyle name="Calculation 2 3 33" xfId="6062"/>
    <cellStyle name="Calculation 2 3 4" xfId="2647"/>
    <cellStyle name="Calculation 2 3 4 2" xfId="6036"/>
    <cellStyle name="Calculation 2 3 5" xfId="2648"/>
    <cellStyle name="Calculation 2 3 5 2" xfId="6035"/>
    <cellStyle name="Calculation 2 3 6" xfId="2649"/>
    <cellStyle name="Calculation 2 3 6 2" xfId="6034"/>
    <cellStyle name="Calculation 2 3 7" xfId="2650"/>
    <cellStyle name="Calculation 2 3 7 2" xfId="6033"/>
    <cellStyle name="Calculation 2 3 8" xfId="2651"/>
    <cellStyle name="Calculation 2 3 8 2" xfId="6032"/>
    <cellStyle name="Calculation 2 3 9" xfId="2652"/>
    <cellStyle name="Calculation 2 3 9 2" xfId="6031"/>
    <cellStyle name="Calculation 2 30" xfId="2653"/>
    <cellStyle name="Calculation 2 30 2" xfId="6030"/>
    <cellStyle name="Calculation 2 31" xfId="2654"/>
    <cellStyle name="Calculation 2 31 2" xfId="6029"/>
    <cellStyle name="Calculation 2 32" xfId="2655"/>
    <cellStyle name="Calculation 2 32 2" xfId="6028"/>
    <cellStyle name="Calculation 2 33" xfId="2656"/>
    <cellStyle name="Calculation 2 33 2" xfId="6027"/>
    <cellStyle name="Calculation 2 34" xfId="2657"/>
    <cellStyle name="Calculation 2 34 2" xfId="6026"/>
    <cellStyle name="Calculation 2 35" xfId="2658"/>
    <cellStyle name="Calculation 2 35 2" xfId="6025"/>
    <cellStyle name="Calculation 2 36" xfId="2659"/>
    <cellStyle name="Calculation 2 36 2" xfId="6024"/>
    <cellStyle name="Calculation 2 37" xfId="6115"/>
    <cellStyle name="Calculation 2 4" xfId="2660"/>
    <cellStyle name="Calculation 2 4 10" xfId="2661"/>
    <cellStyle name="Calculation 2 4 10 2" xfId="6022"/>
    <cellStyle name="Calculation 2 4 11" xfId="2662"/>
    <cellStyle name="Calculation 2 4 11 2" xfId="6021"/>
    <cellStyle name="Calculation 2 4 12" xfId="2663"/>
    <cellStyle name="Calculation 2 4 12 2" xfId="6020"/>
    <cellStyle name="Calculation 2 4 13" xfId="2664"/>
    <cellStyle name="Calculation 2 4 13 2" xfId="6019"/>
    <cellStyle name="Calculation 2 4 14" xfId="2665"/>
    <cellStyle name="Calculation 2 4 14 2" xfId="6018"/>
    <cellStyle name="Calculation 2 4 15" xfId="2666"/>
    <cellStyle name="Calculation 2 4 15 2" xfId="6017"/>
    <cellStyle name="Calculation 2 4 16" xfId="2667"/>
    <cellStyle name="Calculation 2 4 16 2" xfId="6016"/>
    <cellStyle name="Calculation 2 4 17" xfId="2668"/>
    <cellStyle name="Calculation 2 4 17 2" xfId="6015"/>
    <cellStyle name="Calculation 2 4 18" xfId="2669"/>
    <cellStyle name="Calculation 2 4 18 2" xfId="6014"/>
    <cellStyle name="Calculation 2 4 19" xfId="2670"/>
    <cellStyle name="Calculation 2 4 19 2" xfId="6013"/>
    <cellStyle name="Calculation 2 4 2" xfId="2671"/>
    <cellStyle name="Calculation 2 4 2 2" xfId="6012"/>
    <cellStyle name="Calculation 2 4 20" xfId="2672"/>
    <cellStyle name="Calculation 2 4 20 2" xfId="6011"/>
    <cellStyle name="Calculation 2 4 21" xfId="2673"/>
    <cellStyle name="Calculation 2 4 21 2" xfId="6010"/>
    <cellStyle name="Calculation 2 4 22" xfId="2674"/>
    <cellStyle name="Calculation 2 4 22 2" xfId="6009"/>
    <cellStyle name="Calculation 2 4 23" xfId="2675"/>
    <cellStyle name="Calculation 2 4 23 2" xfId="6008"/>
    <cellStyle name="Calculation 2 4 24" xfId="2676"/>
    <cellStyle name="Calculation 2 4 24 2" xfId="6007"/>
    <cellStyle name="Calculation 2 4 25" xfId="2677"/>
    <cellStyle name="Calculation 2 4 25 2" xfId="6006"/>
    <cellStyle name="Calculation 2 4 26" xfId="2678"/>
    <cellStyle name="Calculation 2 4 26 2" xfId="6005"/>
    <cellStyle name="Calculation 2 4 27" xfId="2679"/>
    <cellStyle name="Calculation 2 4 27 2" xfId="6004"/>
    <cellStyle name="Calculation 2 4 28" xfId="2680"/>
    <cellStyle name="Calculation 2 4 28 2" xfId="6003"/>
    <cellStyle name="Calculation 2 4 29" xfId="2681"/>
    <cellStyle name="Calculation 2 4 29 2" xfId="6002"/>
    <cellStyle name="Calculation 2 4 3" xfId="2682"/>
    <cellStyle name="Calculation 2 4 3 2" xfId="6001"/>
    <cellStyle name="Calculation 2 4 30" xfId="2683"/>
    <cellStyle name="Calculation 2 4 30 2" xfId="6000"/>
    <cellStyle name="Calculation 2 4 31" xfId="2684"/>
    <cellStyle name="Calculation 2 4 31 2" xfId="5999"/>
    <cellStyle name="Calculation 2 4 32" xfId="2685"/>
    <cellStyle name="Calculation 2 4 32 2" xfId="5998"/>
    <cellStyle name="Calculation 2 4 33" xfId="6023"/>
    <cellStyle name="Calculation 2 4 4" xfId="2686"/>
    <cellStyle name="Calculation 2 4 4 2" xfId="5997"/>
    <cellStyle name="Calculation 2 4 5" xfId="2687"/>
    <cellStyle name="Calculation 2 4 5 2" xfId="5996"/>
    <cellStyle name="Calculation 2 4 6" xfId="2688"/>
    <cellStyle name="Calculation 2 4 6 2" xfId="5995"/>
    <cellStyle name="Calculation 2 4 7" xfId="2689"/>
    <cellStyle name="Calculation 2 4 7 2" xfId="5994"/>
    <cellStyle name="Calculation 2 4 8" xfId="2690"/>
    <cellStyle name="Calculation 2 4 8 2" xfId="5993"/>
    <cellStyle name="Calculation 2 4 9" xfId="2691"/>
    <cellStyle name="Calculation 2 4 9 2" xfId="5992"/>
    <cellStyle name="Calculation 2 5" xfId="2692"/>
    <cellStyle name="Calculation 2 5 10" xfId="2693"/>
    <cellStyle name="Calculation 2 5 10 2" xfId="5990"/>
    <cellStyle name="Calculation 2 5 11" xfId="2694"/>
    <cellStyle name="Calculation 2 5 11 2" xfId="5989"/>
    <cellStyle name="Calculation 2 5 12" xfId="2695"/>
    <cellStyle name="Calculation 2 5 12 2" xfId="5988"/>
    <cellStyle name="Calculation 2 5 13" xfId="2696"/>
    <cellStyle name="Calculation 2 5 13 2" xfId="5987"/>
    <cellStyle name="Calculation 2 5 14" xfId="2697"/>
    <cellStyle name="Calculation 2 5 14 2" xfId="5986"/>
    <cellStyle name="Calculation 2 5 15" xfId="2698"/>
    <cellStyle name="Calculation 2 5 15 2" xfId="5985"/>
    <cellStyle name="Calculation 2 5 16" xfId="2699"/>
    <cellStyle name="Calculation 2 5 16 2" xfId="5984"/>
    <cellStyle name="Calculation 2 5 17" xfId="2700"/>
    <cellStyle name="Calculation 2 5 17 2" xfId="5983"/>
    <cellStyle name="Calculation 2 5 18" xfId="2701"/>
    <cellStyle name="Calculation 2 5 18 2" xfId="5982"/>
    <cellStyle name="Calculation 2 5 19" xfId="2702"/>
    <cellStyle name="Calculation 2 5 19 2" xfId="5981"/>
    <cellStyle name="Calculation 2 5 2" xfId="2703"/>
    <cellStyle name="Calculation 2 5 2 2" xfId="5980"/>
    <cellStyle name="Calculation 2 5 20" xfId="2704"/>
    <cellStyle name="Calculation 2 5 20 2" xfId="5979"/>
    <cellStyle name="Calculation 2 5 21" xfId="2705"/>
    <cellStyle name="Calculation 2 5 21 2" xfId="5978"/>
    <cellStyle name="Calculation 2 5 22" xfId="2706"/>
    <cellStyle name="Calculation 2 5 22 2" xfId="5977"/>
    <cellStyle name="Calculation 2 5 23" xfId="2707"/>
    <cellStyle name="Calculation 2 5 23 2" xfId="5976"/>
    <cellStyle name="Calculation 2 5 24" xfId="2708"/>
    <cellStyle name="Calculation 2 5 24 2" xfId="5975"/>
    <cellStyle name="Calculation 2 5 25" xfId="2709"/>
    <cellStyle name="Calculation 2 5 25 2" xfId="5974"/>
    <cellStyle name="Calculation 2 5 26" xfId="2710"/>
    <cellStyle name="Calculation 2 5 26 2" xfId="5973"/>
    <cellStyle name="Calculation 2 5 27" xfId="2711"/>
    <cellStyle name="Calculation 2 5 27 2" xfId="5972"/>
    <cellStyle name="Calculation 2 5 28" xfId="2712"/>
    <cellStyle name="Calculation 2 5 28 2" xfId="5971"/>
    <cellStyle name="Calculation 2 5 29" xfId="2713"/>
    <cellStyle name="Calculation 2 5 29 2" xfId="5970"/>
    <cellStyle name="Calculation 2 5 3" xfId="2714"/>
    <cellStyle name="Calculation 2 5 3 2" xfId="5969"/>
    <cellStyle name="Calculation 2 5 30" xfId="2715"/>
    <cellStyle name="Calculation 2 5 30 2" xfId="5968"/>
    <cellStyle name="Calculation 2 5 31" xfId="2716"/>
    <cellStyle name="Calculation 2 5 31 2" xfId="5967"/>
    <cellStyle name="Calculation 2 5 32" xfId="2717"/>
    <cellStyle name="Calculation 2 5 32 2" xfId="5966"/>
    <cellStyle name="Calculation 2 5 33" xfId="5991"/>
    <cellStyle name="Calculation 2 5 4" xfId="2718"/>
    <cellStyle name="Calculation 2 5 4 2" xfId="5965"/>
    <cellStyle name="Calculation 2 5 5" xfId="2719"/>
    <cellStyle name="Calculation 2 5 5 2" xfId="5964"/>
    <cellStyle name="Calculation 2 5 6" xfId="2720"/>
    <cellStyle name="Calculation 2 5 6 2" xfId="5963"/>
    <cellStyle name="Calculation 2 5 7" xfId="2721"/>
    <cellStyle name="Calculation 2 5 7 2" xfId="5962"/>
    <cellStyle name="Calculation 2 5 8" xfId="2722"/>
    <cellStyle name="Calculation 2 5 8 2" xfId="5961"/>
    <cellStyle name="Calculation 2 5 9" xfId="2723"/>
    <cellStyle name="Calculation 2 5 9 2" xfId="5960"/>
    <cellStyle name="Calculation 2 6" xfId="2724"/>
    <cellStyle name="Calculation 2 6 2" xfId="5959"/>
    <cellStyle name="Calculation 2 7" xfId="2725"/>
    <cellStyle name="Calculation 2 7 2" xfId="5958"/>
    <cellStyle name="Calculation 2 8" xfId="2726"/>
    <cellStyle name="Calculation 2 8 2" xfId="5957"/>
    <cellStyle name="Calculation 2 9" xfId="2727"/>
    <cellStyle name="Calculation 2 9 2" xfId="5956"/>
    <cellStyle name="Calculation 3" xfId="2728"/>
    <cellStyle name="Calculation 3 2" xfId="5955"/>
    <cellStyle name="CalculationDate" xfId="2729"/>
    <cellStyle name="CalculationDate 2" xfId="5954"/>
    <cellStyle name="Cash (0dp)" xfId="2730"/>
    <cellStyle name="Cash (0dp+NZ)" xfId="2731"/>
    <cellStyle name="Cash (2dp)" xfId="2732"/>
    <cellStyle name="Cash (2dp+NZ)" xfId="2733"/>
    <cellStyle name="Check" xfId="2734"/>
    <cellStyle name="Check Cell 2" xfId="2735"/>
    <cellStyle name="Check Cell 3" xfId="2736"/>
    <cellStyle name="ColBlue" xfId="2737"/>
    <cellStyle name="ColGreen" xfId="2738"/>
    <cellStyle name="ColRed" xfId="2739"/>
    <cellStyle name="column Head Underlined" xfId="2740"/>
    <cellStyle name="Column Heading" xfId="2741"/>
    <cellStyle name="ColumnHeading" xfId="2742"/>
    <cellStyle name="ColumnHeadings" xfId="2743"/>
    <cellStyle name="ColumnHeadings2" xfId="2744"/>
    <cellStyle name="Comma" xfId="1" builtinId="3"/>
    <cellStyle name="Comma  - Style1" xfId="2745"/>
    <cellStyle name="Comma  - Style2" xfId="2746"/>
    <cellStyle name="Comma  - Style3" xfId="2747"/>
    <cellStyle name="Comma  - Style4" xfId="2748"/>
    <cellStyle name="Comma  - Style5" xfId="2749"/>
    <cellStyle name="Comma  - Style6" xfId="2750"/>
    <cellStyle name="Comma  - Style7" xfId="2751"/>
    <cellStyle name="Comma  - Style8" xfId="2752"/>
    <cellStyle name="Comma (0)" xfId="2753"/>
    <cellStyle name="Comma (0dp)" xfId="2754"/>
    <cellStyle name="Comma (0dp+NZ)" xfId="2755"/>
    <cellStyle name="Comma (1)" xfId="2756"/>
    <cellStyle name="Comma (2)" xfId="2757"/>
    <cellStyle name="Comma (2dp)" xfId="2758"/>
    <cellStyle name="Comma (2dp) Dashed" xfId="2759"/>
    <cellStyle name="Comma (2dp) Nil" xfId="2760"/>
    <cellStyle name="Comma (2dp)_Budget Est Oct 03" xfId="2761"/>
    <cellStyle name="Comma (2dp+NZ)" xfId="2762"/>
    <cellStyle name="Comma (nz)" xfId="2763"/>
    <cellStyle name="Comma [1]" xfId="2764"/>
    <cellStyle name="Comma [2]" xfId="2765"/>
    <cellStyle name="Comma [3]" xfId="2766"/>
    <cellStyle name="Comma 0" xfId="2767"/>
    <cellStyle name="Comma 0*" xfId="2768"/>
    <cellStyle name="Comma 0_Model_Sep_2_02" xfId="2769"/>
    <cellStyle name="Comma 10" xfId="2770"/>
    <cellStyle name="Comma 10 2" xfId="10278"/>
    <cellStyle name="Comma 11" xfId="2771"/>
    <cellStyle name="Comma 11 2" xfId="10279"/>
    <cellStyle name="Comma 12" xfId="2772"/>
    <cellStyle name="Comma 12 2" xfId="10280"/>
    <cellStyle name="Comma 13" xfId="2773"/>
    <cellStyle name="Comma 13 2" xfId="10281"/>
    <cellStyle name="Comma 14" xfId="2774"/>
    <cellStyle name="Comma 14 2" xfId="10282"/>
    <cellStyle name="Comma 15" xfId="2775"/>
    <cellStyle name="Comma 15 2" xfId="10283"/>
    <cellStyle name="Comma 16" xfId="2776"/>
    <cellStyle name="Comma 16 2" xfId="10284"/>
    <cellStyle name="Comma 17" xfId="2777"/>
    <cellStyle name="Comma 17 2" xfId="10285"/>
    <cellStyle name="Comma 18" xfId="2778"/>
    <cellStyle name="Comma 18 2" xfId="10286"/>
    <cellStyle name="Comma 19" xfId="2779"/>
    <cellStyle name="Comma 19 10" xfId="6213"/>
    <cellStyle name="Comma 19 10 2" xfId="12938"/>
    <cellStyle name="Comma 19 11" xfId="10287"/>
    <cellStyle name="Comma 19 2" xfId="2780"/>
    <cellStyle name="Comma 19 2 10" xfId="10288"/>
    <cellStyle name="Comma 19 2 2" xfId="2781"/>
    <cellStyle name="Comma 19 2 2 2" xfId="4481"/>
    <cellStyle name="Comma 19 2 2 2 2" xfId="4852"/>
    <cellStyle name="Comma 19 2 2 2 2 2" xfId="8595"/>
    <cellStyle name="Comma 19 2 2 2 2 2 2" xfId="15143"/>
    <cellStyle name="Comma 19 2 2 2 2 3" xfId="6876"/>
    <cellStyle name="Comma 19 2 2 2 2 3 2" xfId="13562"/>
    <cellStyle name="Comma 19 2 2 2 2 4" xfId="11777"/>
    <cellStyle name="Comma 19 2 2 2 3" xfId="5308"/>
    <cellStyle name="Comma 19 2 2 2 3 2" xfId="9051"/>
    <cellStyle name="Comma 19 2 2 2 3 2 2" xfId="15595"/>
    <cellStyle name="Comma 19 2 2 2 3 3" xfId="7332"/>
    <cellStyle name="Comma 19 2 2 2 3 3 2" xfId="14014"/>
    <cellStyle name="Comma 19 2 2 2 3 4" xfId="12229"/>
    <cellStyle name="Comma 19 2 2 2 4" xfId="5746"/>
    <cellStyle name="Comma 19 2 2 2 4 2" xfId="9487"/>
    <cellStyle name="Comma 19 2 2 2 4 2 2" xfId="15989"/>
    <cellStyle name="Comma 19 2 2 2 4 3" xfId="7768"/>
    <cellStyle name="Comma 19 2 2 2 4 3 2" xfId="14408"/>
    <cellStyle name="Comma 19 2 2 2 4 4" xfId="12639"/>
    <cellStyle name="Comma 19 2 2 2 5" xfId="9848"/>
    <cellStyle name="Comma 19 2 2 2 5 2" xfId="16329"/>
    <cellStyle name="Comma 19 2 2 2 6" xfId="8245"/>
    <cellStyle name="Comma 19 2 2 2 6 2" xfId="14802"/>
    <cellStyle name="Comma 19 2 2 2 7" xfId="6526"/>
    <cellStyle name="Comma 19 2 2 2 7 2" xfId="13216"/>
    <cellStyle name="Comma 19 2 2 2 8" xfId="11426"/>
    <cellStyle name="Comma 19 2 2 3" xfId="4756"/>
    <cellStyle name="Comma 19 2 2 3 2" xfId="8499"/>
    <cellStyle name="Comma 19 2 2 3 2 2" xfId="15051"/>
    <cellStyle name="Comma 19 2 2 3 3" xfId="6780"/>
    <cellStyle name="Comma 19 2 2 3 3 2" xfId="13470"/>
    <cellStyle name="Comma 19 2 2 3 4" xfId="11685"/>
    <cellStyle name="Comma 19 2 2 4" xfId="5111"/>
    <cellStyle name="Comma 19 2 2 4 2" xfId="8854"/>
    <cellStyle name="Comma 19 2 2 4 2 2" xfId="15398"/>
    <cellStyle name="Comma 19 2 2 4 3" xfId="7135"/>
    <cellStyle name="Comma 19 2 2 4 3 2" xfId="13817"/>
    <cellStyle name="Comma 19 2 2 4 4" xfId="12032"/>
    <cellStyle name="Comma 19 2 2 5" xfId="5544"/>
    <cellStyle name="Comma 19 2 2 5 2" xfId="9285"/>
    <cellStyle name="Comma 19 2 2 5 2 2" xfId="15792"/>
    <cellStyle name="Comma 19 2 2 5 3" xfId="7566"/>
    <cellStyle name="Comma 19 2 2 5 3 2" xfId="14211"/>
    <cellStyle name="Comma 19 2 2 5 4" xfId="12437"/>
    <cellStyle name="Comma 19 2 2 6" xfId="9746"/>
    <cellStyle name="Comma 19 2 2 6 2" xfId="16237"/>
    <cellStyle name="Comma 19 2 2 7" xfId="7988"/>
    <cellStyle name="Comma 19 2 2 7 2" xfId="14605"/>
    <cellStyle name="Comma 19 2 2 8" xfId="6215"/>
    <cellStyle name="Comma 19 2 2 8 2" xfId="12940"/>
    <cellStyle name="Comma 19 2 2 9" xfId="10289"/>
    <cellStyle name="Comma 19 2 3" xfId="4480"/>
    <cellStyle name="Comma 19 2 3 2" xfId="4853"/>
    <cellStyle name="Comma 19 2 3 2 2" xfId="8596"/>
    <cellStyle name="Comma 19 2 3 2 2 2" xfId="15144"/>
    <cellStyle name="Comma 19 2 3 2 3" xfId="6877"/>
    <cellStyle name="Comma 19 2 3 2 3 2" xfId="13563"/>
    <cellStyle name="Comma 19 2 3 2 4" xfId="11778"/>
    <cellStyle name="Comma 19 2 3 3" xfId="5307"/>
    <cellStyle name="Comma 19 2 3 3 2" xfId="9050"/>
    <cellStyle name="Comma 19 2 3 3 2 2" xfId="15594"/>
    <cellStyle name="Comma 19 2 3 3 3" xfId="7331"/>
    <cellStyle name="Comma 19 2 3 3 3 2" xfId="14013"/>
    <cellStyle name="Comma 19 2 3 3 4" xfId="12228"/>
    <cellStyle name="Comma 19 2 3 4" xfId="5745"/>
    <cellStyle name="Comma 19 2 3 4 2" xfId="9486"/>
    <cellStyle name="Comma 19 2 3 4 2 2" xfId="15988"/>
    <cellStyle name="Comma 19 2 3 4 3" xfId="7767"/>
    <cellStyle name="Comma 19 2 3 4 3 2" xfId="14407"/>
    <cellStyle name="Comma 19 2 3 4 4" xfId="12638"/>
    <cellStyle name="Comma 19 2 3 5" xfId="9849"/>
    <cellStyle name="Comma 19 2 3 5 2" xfId="16330"/>
    <cellStyle name="Comma 19 2 3 6" xfId="8244"/>
    <cellStyle name="Comma 19 2 3 6 2" xfId="14801"/>
    <cellStyle name="Comma 19 2 3 7" xfId="6525"/>
    <cellStyle name="Comma 19 2 3 7 2" xfId="13215"/>
    <cellStyle name="Comma 19 2 3 8" xfId="11425"/>
    <cellStyle name="Comma 19 2 4" xfId="4692"/>
    <cellStyle name="Comma 19 2 4 2" xfId="8438"/>
    <cellStyle name="Comma 19 2 4 2 2" xfId="14990"/>
    <cellStyle name="Comma 19 2 4 3" xfId="6719"/>
    <cellStyle name="Comma 19 2 4 3 2" xfId="13409"/>
    <cellStyle name="Comma 19 2 4 4" xfId="11623"/>
    <cellStyle name="Comma 19 2 5" xfId="5110"/>
    <cellStyle name="Comma 19 2 5 2" xfId="8853"/>
    <cellStyle name="Comma 19 2 5 2 2" xfId="15397"/>
    <cellStyle name="Comma 19 2 5 3" xfId="7134"/>
    <cellStyle name="Comma 19 2 5 3 2" xfId="13816"/>
    <cellStyle name="Comma 19 2 5 4" xfId="12031"/>
    <cellStyle name="Comma 19 2 6" xfId="5543"/>
    <cellStyle name="Comma 19 2 6 2" xfId="9284"/>
    <cellStyle name="Comma 19 2 6 2 2" xfId="15791"/>
    <cellStyle name="Comma 19 2 6 3" xfId="7565"/>
    <cellStyle name="Comma 19 2 6 3 2" xfId="14210"/>
    <cellStyle name="Comma 19 2 6 4" xfId="12436"/>
    <cellStyle name="Comma 19 2 7" xfId="9675"/>
    <cellStyle name="Comma 19 2 7 2" xfId="16175"/>
    <cellStyle name="Comma 19 2 8" xfId="7987"/>
    <cellStyle name="Comma 19 2 8 2" xfId="14604"/>
    <cellStyle name="Comma 19 2 9" xfId="6214"/>
    <cellStyle name="Comma 19 2 9 2" xfId="12939"/>
    <cellStyle name="Comma 19 3" xfId="2782"/>
    <cellStyle name="Comma 19 3 2" xfId="4482"/>
    <cellStyle name="Comma 19 3 2 2" xfId="4854"/>
    <cellStyle name="Comma 19 3 2 2 2" xfId="8597"/>
    <cellStyle name="Comma 19 3 2 2 2 2" xfId="15145"/>
    <cellStyle name="Comma 19 3 2 2 3" xfId="6878"/>
    <cellStyle name="Comma 19 3 2 2 3 2" xfId="13564"/>
    <cellStyle name="Comma 19 3 2 2 4" xfId="11779"/>
    <cellStyle name="Comma 19 3 2 3" xfId="5309"/>
    <cellStyle name="Comma 19 3 2 3 2" xfId="9052"/>
    <cellStyle name="Comma 19 3 2 3 2 2" xfId="15596"/>
    <cellStyle name="Comma 19 3 2 3 3" xfId="7333"/>
    <cellStyle name="Comma 19 3 2 3 3 2" xfId="14015"/>
    <cellStyle name="Comma 19 3 2 3 4" xfId="12230"/>
    <cellStyle name="Comma 19 3 2 4" xfId="5747"/>
    <cellStyle name="Comma 19 3 2 4 2" xfId="9488"/>
    <cellStyle name="Comma 19 3 2 4 2 2" xfId="15990"/>
    <cellStyle name="Comma 19 3 2 4 3" xfId="7769"/>
    <cellStyle name="Comma 19 3 2 4 3 2" xfId="14409"/>
    <cellStyle name="Comma 19 3 2 4 4" xfId="12640"/>
    <cellStyle name="Comma 19 3 2 5" xfId="9850"/>
    <cellStyle name="Comma 19 3 2 5 2" xfId="16331"/>
    <cellStyle name="Comma 19 3 2 6" xfId="8246"/>
    <cellStyle name="Comma 19 3 2 6 2" xfId="14803"/>
    <cellStyle name="Comma 19 3 2 7" xfId="6527"/>
    <cellStyle name="Comma 19 3 2 7 2" xfId="13217"/>
    <cellStyle name="Comma 19 3 2 8" xfId="11427"/>
    <cellStyle name="Comma 19 3 3" xfId="4755"/>
    <cellStyle name="Comma 19 3 3 2" xfId="8498"/>
    <cellStyle name="Comma 19 3 3 2 2" xfId="15050"/>
    <cellStyle name="Comma 19 3 3 3" xfId="6779"/>
    <cellStyle name="Comma 19 3 3 3 2" xfId="13469"/>
    <cellStyle name="Comma 19 3 3 4" xfId="11684"/>
    <cellStyle name="Comma 19 3 4" xfId="5112"/>
    <cellStyle name="Comma 19 3 4 2" xfId="8855"/>
    <cellStyle name="Comma 19 3 4 2 2" xfId="15399"/>
    <cellStyle name="Comma 19 3 4 3" xfId="7136"/>
    <cellStyle name="Comma 19 3 4 3 2" xfId="13818"/>
    <cellStyle name="Comma 19 3 4 4" xfId="12033"/>
    <cellStyle name="Comma 19 3 5" xfId="5545"/>
    <cellStyle name="Comma 19 3 5 2" xfId="9286"/>
    <cellStyle name="Comma 19 3 5 2 2" xfId="15793"/>
    <cellStyle name="Comma 19 3 5 3" xfId="7567"/>
    <cellStyle name="Comma 19 3 5 3 2" xfId="14212"/>
    <cellStyle name="Comma 19 3 5 4" xfId="12438"/>
    <cellStyle name="Comma 19 3 6" xfId="9745"/>
    <cellStyle name="Comma 19 3 6 2" xfId="16236"/>
    <cellStyle name="Comma 19 3 7" xfId="7989"/>
    <cellStyle name="Comma 19 3 7 2" xfId="14606"/>
    <cellStyle name="Comma 19 3 8" xfId="6216"/>
    <cellStyle name="Comma 19 3 8 2" xfId="12941"/>
    <cellStyle name="Comma 19 3 9" xfId="10290"/>
    <cellStyle name="Comma 19 4" xfId="4479"/>
    <cellStyle name="Comma 19 4 2" xfId="4855"/>
    <cellStyle name="Comma 19 4 2 2" xfId="8598"/>
    <cellStyle name="Comma 19 4 2 2 2" xfId="15146"/>
    <cellStyle name="Comma 19 4 2 3" xfId="6879"/>
    <cellStyle name="Comma 19 4 2 3 2" xfId="13565"/>
    <cellStyle name="Comma 19 4 2 4" xfId="11780"/>
    <cellStyle name="Comma 19 4 3" xfId="5306"/>
    <cellStyle name="Comma 19 4 3 2" xfId="9049"/>
    <cellStyle name="Comma 19 4 3 2 2" xfId="15593"/>
    <cellStyle name="Comma 19 4 3 3" xfId="7330"/>
    <cellStyle name="Comma 19 4 3 3 2" xfId="14012"/>
    <cellStyle name="Comma 19 4 3 4" xfId="12227"/>
    <cellStyle name="Comma 19 4 4" xfId="5744"/>
    <cellStyle name="Comma 19 4 4 2" xfId="9485"/>
    <cellStyle name="Comma 19 4 4 2 2" xfId="15987"/>
    <cellStyle name="Comma 19 4 4 3" xfId="7766"/>
    <cellStyle name="Comma 19 4 4 3 2" xfId="14406"/>
    <cellStyle name="Comma 19 4 4 4" xfId="12637"/>
    <cellStyle name="Comma 19 4 5" xfId="9851"/>
    <cellStyle name="Comma 19 4 5 2" xfId="16332"/>
    <cellStyle name="Comma 19 4 6" xfId="8243"/>
    <cellStyle name="Comma 19 4 6 2" xfId="14800"/>
    <cellStyle name="Comma 19 4 7" xfId="6524"/>
    <cellStyle name="Comma 19 4 7 2" xfId="13214"/>
    <cellStyle name="Comma 19 4 8" xfId="11424"/>
    <cellStyle name="Comma 19 5" xfId="4691"/>
    <cellStyle name="Comma 19 5 2" xfId="8437"/>
    <cellStyle name="Comma 19 5 2 2" xfId="14989"/>
    <cellStyle name="Comma 19 5 3" xfId="6718"/>
    <cellStyle name="Comma 19 5 3 2" xfId="13408"/>
    <cellStyle name="Comma 19 5 4" xfId="11622"/>
    <cellStyle name="Comma 19 6" xfId="5109"/>
    <cellStyle name="Comma 19 6 2" xfId="8852"/>
    <cellStyle name="Comma 19 6 2 2" xfId="15396"/>
    <cellStyle name="Comma 19 6 3" xfId="7133"/>
    <cellStyle name="Comma 19 6 3 2" xfId="13815"/>
    <cellStyle name="Comma 19 6 4" xfId="12030"/>
    <cellStyle name="Comma 19 7" xfId="5542"/>
    <cellStyle name="Comma 19 7 2" xfId="9283"/>
    <cellStyle name="Comma 19 7 2 2" xfId="15790"/>
    <cellStyle name="Comma 19 7 3" xfId="7564"/>
    <cellStyle name="Comma 19 7 3 2" xfId="14209"/>
    <cellStyle name="Comma 19 7 4" xfId="12435"/>
    <cellStyle name="Comma 19 8" xfId="9674"/>
    <cellStyle name="Comma 19 8 2" xfId="16174"/>
    <cellStyle name="Comma 19 9" xfId="7986"/>
    <cellStyle name="Comma 19 9 2" xfId="14603"/>
    <cellStyle name="Comma 2" xfId="10"/>
    <cellStyle name="Comma 2 10" xfId="2783"/>
    <cellStyle name="Comma 2 10 10" xfId="2784"/>
    <cellStyle name="Comma 2 10 11" xfId="2785"/>
    <cellStyle name="Comma 2 10 12" xfId="2786"/>
    <cellStyle name="Comma 2 10 13" xfId="10291"/>
    <cellStyle name="Comma 2 10 2" xfId="2787"/>
    <cellStyle name="Comma 2 10 2 2" xfId="2788"/>
    <cellStyle name="Comma 2 10 2 3" xfId="2789"/>
    <cellStyle name="Comma 2 10 3" xfId="2790"/>
    <cellStyle name="Comma 2 10 4" xfId="2791"/>
    <cellStyle name="Comma 2 10 5" xfId="2792"/>
    <cellStyle name="Comma 2 10 6" xfId="2793"/>
    <cellStyle name="Comma 2 10 6 2" xfId="2794"/>
    <cellStyle name="Comma 2 10 7" xfId="2795"/>
    <cellStyle name="Comma 2 10 7 2" xfId="2796"/>
    <cellStyle name="Comma 2 10 7 3" xfId="2797"/>
    <cellStyle name="Comma 2 10 8" xfId="2798"/>
    <cellStyle name="Comma 2 10 9" xfId="2799"/>
    <cellStyle name="Comma 2 100" xfId="2800"/>
    <cellStyle name="Comma 2 101" xfId="2801"/>
    <cellStyle name="Comma 2 102" xfId="2802"/>
    <cellStyle name="Comma 2 103" xfId="2803"/>
    <cellStyle name="Comma 2 104" xfId="2804"/>
    <cellStyle name="Comma 2 105" xfId="2805"/>
    <cellStyle name="Comma 2 106" xfId="2806"/>
    <cellStyle name="Comma 2 107" xfId="2807"/>
    <cellStyle name="Comma 2 108" xfId="2808"/>
    <cellStyle name="Comma 2 109" xfId="2809"/>
    <cellStyle name="Comma 2 11" xfId="2810"/>
    <cellStyle name="Comma 2 11 2" xfId="10292"/>
    <cellStyle name="Comma 2 110" xfId="2811"/>
    <cellStyle name="Comma 2 111" xfId="2812"/>
    <cellStyle name="Comma 2 112" xfId="2813"/>
    <cellStyle name="Comma 2 112 2" xfId="10293"/>
    <cellStyle name="Comma 2 113" xfId="2814"/>
    <cellStyle name="Comma 2 113 2" xfId="10294"/>
    <cellStyle name="Comma 2 114" xfId="2815"/>
    <cellStyle name="Comma 2 114 2" xfId="10295"/>
    <cellStyle name="Comma 2 115" xfId="2816"/>
    <cellStyle name="Comma 2 115 2" xfId="10296"/>
    <cellStyle name="Comma 2 116" xfId="2817"/>
    <cellStyle name="Comma 2 116 2" xfId="10297"/>
    <cellStyle name="Comma 2 117" xfId="2818"/>
    <cellStyle name="Comma 2 117 2" xfId="10298"/>
    <cellStyle name="Comma 2 118" xfId="2819"/>
    <cellStyle name="Comma 2 118 2" xfId="10299"/>
    <cellStyle name="Comma 2 119" xfId="2820"/>
    <cellStyle name="Comma 2 119 2" xfId="10300"/>
    <cellStyle name="Comma 2 12" xfId="2821"/>
    <cellStyle name="Comma 2 12 2" xfId="10301"/>
    <cellStyle name="Comma 2 120" xfId="2822"/>
    <cellStyle name="Comma 2 120 2" xfId="10302"/>
    <cellStyle name="Comma 2 121" xfId="2823"/>
    <cellStyle name="Comma 2 121 2" xfId="10303"/>
    <cellStyle name="Comma 2 122" xfId="2824"/>
    <cellStyle name="Comma 2 122 2" xfId="10304"/>
    <cellStyle name="Comma 2 123" xfId="2825"/>
    <cellStyle name="Comma 2 123 2" xfId="10305"/>
    <cellStyle name="Comma 2 124" xfId="2826"/>
    <cellStyle name="Comma 2 124 2" xfId="10306"/>
    <cellStyle name="Comma 2 125" xfId="2827"/>
    <cellStyle name="Comma 2 125 2" xfId="10307"/>
    <cellStyle name="Comma 2 126" xfId="2828"/>
    <cellStyle name="Comma 2 126 2" xfId="10308"/>
    <cellStyle name="Comma 2 127" xfId="2829"/>
    <cellStyle name="Comma 2 127 2" xfId="10309"/>
    <cellStyle name="Comma 2 128" xfId="2830"/>
    <cellStyle name="Comma 2 128 2" xfId="10310"/>
    <cellStyle name="Comma 2 129" xfId="2831"/>
    <cellStyle name="Comma 2 129 2" xfId="10311"/>
    <cellStyle name="Comma 2 129 3" xfId="16644"/>
    <cellStyle name="Comma 2 13" xfId="2832"/>
    <cellStyle name="Comma 2 13 2" xfId="10312"/>
    <cellStyle name="Comma 2 130" xfId="10249"/>
    <cellStyle name="Comma 2 131" xfId="16630"/>
    <cellStyle name="Comma 2 14" xfId="2833"/>
    <cellStyle name="Comma 2 14 2" xfId="10313"/>
    <cellStyle name="Comma 2 15" xfId="2834"/>
    <cellStyle name="Comma 2 15 2" xfId="10314"/>
    <cellStyle name="Comma 2 16" xfId="2835"/>
    <cellStyle name="Comma 2 16 2" xfId="10315"/>
    <cellStyle name="Comma 2 17" xfId="2836"/>
    <cellStyle name="Comma 2 17 2" xfId="10316"/>
    <cellStyle name="Comma 2 18" xfId="2837"/>
    <cellStyle name="Comma 2 18 2" xfId="10317"/>
    <cellStyle name="Comma 2 19" xfId="2838"/>
    <cellStyle name="Comma 2 19 2" xfId="10318"/>
    <cellStyle name="Comma 2 2" xfId="11"/>
    <cellStyle name="Comma 2 2 10" xfId="2839"/>
    <cellStyle name="Comma 2 2 11" xfId="2840"/>
    <cellStyle name="Comma 2 2 12" xfId="2841"/>
    <cellStyle name="Comma 2 2 13" xfId="2842"/>
    <cellStyle name="Comma 2 2 14" xfId="2843"/>
    <cellStyle name="Comma 2 2 15" xfId="2844"/>
    <cellStyle name="Comma 2 2 16" xfId="2845"/>
    <cellStyle name="Comma 2 2 17" xfId="2846"/>
    <cellStyle name="Comma 2 2 18" xfId="2847"/>
    <cellStyle name="Comma 2 2 19" xfId="2848"/>
    <cellStyle name="Comma 2 2 2" xfId="2849"/>
    <cellStyle name="Comma 2 2 2 10" xfId="2850"/>
    <cellStyle name="Comma 2 2 2 10 2" xfId="10320"/>
    <cellStyle name="Comma 2 2 2 11" xfId="2851"/>
    <cellStyle name="Comma 2 2 2 11 2" xfId="10321"/>
    <cellStyle name="Comma 2 2 2 12" xfId="2852"/>
    <cellStyle name="Comma 2 2 2 12 2" xfId="10322"/>
    <cellStyle name="Comma 2 2 2 13" xfId="2853"/>
    <cellStyle name="Comma 2 2 2 13 2" xfId="10323"/>
    <cellStyle name="Comma 2 2 2 14" xfId="2854"/>
    <cellStyle name="Comma 2 2 2 14 2" xfId="10324"/>
    <cellStyle name="Comma 2 2 2 15" xfId="2855"/>
    <cellStyle name="Comma 2 2 2 15 2" xfId="10325"/>
    <cellStyle name="Comma 2 2 2 16" xfId="4411"/>
    <cellStyle name="Comma 2 2 2 16 2" xfId="11367"/>
    <cellStyle name="Comma 2 2 2 16 3" xfId="16668"/>
    <cellStyle name="Comma 2 2 2 17" xfId="10319"/>
    <cellStyle name="Comma 2 2 2 2" xfId="2856"/>
    <cellStyle name="Comma 2 2 2 2 2" xfId="2857"/>
    <cellStyle name="Comma 2 2 2 2 2 10" xfId="2858"/>
    <cellStyle name="Comma 2 2 2 2 2 10 2" xfId="10327"/>
    <cellStyle name="Comma 2 2 2 2 2 11" xfId="2859"/>
    <cellStyle name="Comma 2 2 2 2 2 11 2" xfId="10328"/>
    <cellStyle name="Comma 2 2 2 2 2 12" xfId="2860"/>
    <cellStyle name="Comma 2 2 2 2 2 12 2" xfId="10329"/>
    <cellStyle name="Comma 2 2 2 2 2 13" xfId="2861"/>
    <cellStyle name="Comma 2 2 2 2 2 13 2" xfId="10330"/>
    <cellStyle name="Comma 2 2 2 2 2 14" xfId="2862"/>
    <cellStyle name="Comma 2 2 2 2 2 14 2" xfId="10331"/>
    <cellStyle name="Comma 2 2 2 2 2 15" xfId="10326"/>
    <cellStyle name="Comma 2 2 2 2 2 2" xfId="2863"/>
    <cellStyle name="Comma 2 2 2 2 2 3" xfId="2864"/>
    <cellStyle name="Comma 2 2 2 2 2 3 2" xfId="10332"/>
    <cellStyle name="Comma 2 2 2 2 2 4" xfId="2865"/>
    <cellStyle name="Comma 2 2 2 2 2 4 2" xfId="10333"/>
    <cellStyle name="Comma 2 2 2 2 2 5" xfId="2866"/>
    <cellStyle name="Comma 2 2 2 2 2 5 2" xfId="10334"/>
    <cellStyle name="Comma 2 2 2 2 2 6" xfId="2867"/>
    <cellStyle name="Comma 2 2 2 2 2 6 2" xfId="10335"/>
    <cellStyle name="Comma 2 2 2 2 2 7" xfId="2868"/>
    <cellStyle name="Comma 2 2 2 2 2 7 2" xfId="10336"/>
    <cellStyle name="Comma 2 2 2 2 2 8" xfId="2869"/>
    <cellStyle name="Comma 2 2 2 2 2 8 2" xfId="10337"/>
    <cellStyle name="Comma 2 2 2 2 2 9" xfId="2870"/>
    <cellStyle name="Comma 2 2 2 2 2 9 2" xfId="10338"/>
    <cellStyle name="Comma 2 2 2 3" xfId="2871"/>
    <cellStyle name="Comma 2 2 2 4" xfId="2872"/>
    <cellStyle name="Comma 2 2 2 4 2" xfId="10339"/>
    <cellStyle name="Comma 2 2 2 5" xfId="2873"/>
    <cellStyle name="Comma 2 2 2 5 2" xfId="10340"/>
    <cellStyle name="Comma 2 2 2 6" xfId="2874"/>
    <cellStyle name="Comma 2 2 2 6 2" xfId="10341"/>
    <cellStyle name="Comma 2 2 2 7" xfId="2875"/>
    <cellStyle name="Comma 2 2 2 7 2" xfId="10342"/>
    <cellStyle name="Comma 2 2 2 8" xfId="2876"/>
    <cellStyle name="Comma 2 2 2 8 2" xfId="10343"/>
    <cellStyle name="Comma 2 2 2 9" xfId="2877"/>
    <cellStyle name="Comma 2 2 2 9 2" xfId="10344"/>
    <cellStyle name="Comma 2 2 20" xfId="2878"/>
    <cellStyle name="Comma 2 2 21" xfId="2879"/>
    <cellStyle name="Comma 2 2 22" xfId="2880"/>
    <cellStyle name="Comma 2 2 23" xfId="2881"/>
    <cellStyle name="Comma 2 2 24" xfId="2882"/>
    <cellStyle name="Comma 2 2 25" xfId="2883"/>
    <cellStyle name="Comma 2 2 26" xfId="2884"/>
    <cellStyle name="Comma 2 2 27" xfId="2885"/>
    <cellStyle name="Comma 2 2 28" xfId="2886"/>
    <cellStyle name="Comma 2 2 29" xfId="2887"/>
    <cellStyle name="Comma 2 2 3" xfId="2888"/>
    <cellStyle name="Comma 2 2 3 10" xfId="2889"/>
    <cellStyle name="Comma 2 2 3 10 2" xfId="10346"/>
    <cellStyle name="Comma 2 2 3 11" xfId="2890"/>
    <cellStyle name="Comma 2 2 3 11 2" xfId="10347"/>
    <cellStyle name="Comma 2 2 3 12" xfId="2891"/>
    <cellStyle name="Comma 2 2 3 12 2" xfId="10348"/>
    <cellStyle name="Comma 2 2 3 13" xfId="2892"/>
    <cellStyle name="Comma 2 2 3 13 2" xfId="10349"/>
    <cellStyle name="Comma 2 2 3 14" xfId="10345"/>
    <cellStyle name="Comma 2 2 3 2" xfId="2893"/>
    <cellStyle name="Comma 2 2 3 2 2" xfId="10350"/>
    <cellStyle name="Comma 2 2 3 3" xfId="2894"/>
    <cellStyle name="Comma 2 2 3 3 2" xfId="10351"/>
    <cellStyle name="Comma 2 2 3 4" xfId="2895"/>
    <cellStyle name="Comma 2 2 3 4 2" xfId="10352"/>
    <cellStyle name="Comma 2 2 3 5" xfId="2896"/>
    <cellStyle name="Comma 2 2 3 5 2" xfId="10353"/>
    <cellStyle name="Comma 2 2 3 6" xfId="2897"/>
    <cellStyle name="Comma 2 2 3 6 2" xfId="10354"/>
    <cellStyle name="Comma 2 2 3 7" xfId="2898"/>
    <cellStyle name="Comma 2 2 3 7 2" xfId="10355"/>
    <cellStyle name="Comma 2 2 3 8" xfId="2899"/>
    <cellStyle name="Comma 2 2 3 8 2" xfId="10356"/>
    <cellStyle name="Comma 2 2 3 9" xfId="2900"/>
    <cellStyle name="Comma 2 2 3 9 2" xfId="10357"/>
    <cellStyle name="Comma 2 2 30" xfId="2901"/>
    <cellStyle name="Comma 2 2 31" xfId="2902"/>
    <cellStyle name="Comma 2 2 32" xfId="2903"/>
    <cellStyle name="Comma 2 2 33" xfId="2904"/>
    <cellStyle name="Comma 2 2 34" xfId="2905"/>
    <cellStyle name="Comma 2 2 35" xfId="2906"/>
    <cellStyle name="Comma 2 2 36" xfId="2907"/>
    <cellStyle name="Comma 2 2 37" xfId="2908"/>
    <cellStyle name="Comma 2 2 38" xfId="2909"/>
    <cellStyle name="Comma 2 2 39" xfId="2910"/>
    <cellStyle name="Comma 2 2 4" xfId="2911"/>
    <cellStyle name="Comma 2 2 40" xfId="2912"/>
    <cellStyle name="Comma 2 2 41" xfId="2913"/>
    <cellStyle name="Comma 2 2 42" xfId="2914"/>
    <cellStyle name="Comma 2 2 43" xfId="2915"/>
    <cellStyle name="Comma 2 2 44" xfId="2916"/>
    <cellStyle name="Comma 2 2 45" xfId="2917"/>
    <cellStyle name="Comma 2 2 46" xfId="2918"/>
    <cellStyle name="Comma 2 2 47" xfId="2919"/>
    <cellStyle name="Comma 2 2 48" xfId="2920"/>
    <cellStyle name="Comma 2 2 49" xfId="2921"/>
    <cellStyle name="Comma 2 2 49 2" xfId="10358"/>
    <cellStyle name="Comma 2 2 5" xfId="2922"/>
    <cellStyle name="Comma 2 2 6" xfId="2923"/>
    <cellStyle name="Comma 2 2 7" xfId="2924"/>
    <cellStyle name="Comma 2 2 8" xfId="2925"/>
    <cellStyle name="Comma 2 2 9" xfId="2926"/>
    <cellStyle name="Comma 2 2_3.1.2 DB Pension Detail" xfId="2927"/>
    <cellStyle name="Comma 2 20" xfId="2928"/>
    <cellStyle name="Comma 2 20 2" xfId="10359"/>
    <cellStyle name="Comma 2 21" xfId="2929"/>
    <cellStyle name="Comma 2 21 2" xfId="10360"/>
    <cellStyle name="Comma 2 22" xfId="2930"/>
    <cellStyle name="Comma 2 22 2" xfId="10361"/>
    <cellStyle name="Comma 2 23" xfId="2931"/>
    <cellStyle name="Comma 2 23 2" xfId="10362"/>
    <cellStyle name="Comma 2 24" xfId="2932"/>
    <cellStyle name="Comma 2 24 2" xfId="10363"/>
    <cellStyle name="Comma 2 25" xfId="2933"/>
    <cellStyle name="Comma 2 25 2" xfId="10364"/>
    <cellStyle name="Comma 2 26" xfId="2934"/>
    <cellStyle name="Comma 2 26 2" xfId="10365"/>
    <cellStyle name="Comma 2 27" xfId="2935"/>
    <cellStyle name="Comma 2 27 2" xfId="10366"/>
    <cellStyle name="Comma 2 28" xfId="2936"/>
    <cellStyle name="Comma 2 28 2" xfId="10367"/>
    <cellStyle name="Comma 2 29" xfId="2937"/>
    <cellStyle name="Comma 2 29 2" xfId="10368"/>
    <cellStyle name="Comma 2 3" xfId="2938"/>
    <cellStyle name="Comma 2 3 10" xfId="2939"/>
    <cellStyle name="Comma 2 3 10 2" xfId="10369"/>
    <cellStyle name="Comma 2 3 11" xfId="2940"/>
    <cellStyle name="Comma 2 3 11 2" xfId="10370"/>
    <cellStyle name="Comma 2 3 12" xfId="2941"/>
    <cellStyle name="Comma 2 3 12 2" xfId="10371"/>
    <cellStyle name="Comma 2 3 13" xfId="2942"/>
    <cellStyle name="Comma 2 3 13 2" xfId="10372"/>
    <cellStyle name="Comma 2 3 14" xfId="2943"/>
    <cellStyle name="Comma 2 3 14 2" xfId="10373"/>
    <cellStyle name="Comma 2 3 15" xfId="2944"/>
    <cellStyle name="Comma 2 3 15 2" xfId="10374"/>
    <cellStyle name="Comma 2 3 16" xfId="2945"/>
    <cellStyle name="Comma 2 3 16 2" xfId="10375"/>
    <cellStyle name="Comma 2 3 17" xfId="2946"/>
    <cellStyle name="Comma 2 3 17 2" xfId="10376"/>
    <cellStyle name="Comma 2 3 18" xfId="2947"/>
    <cellStyle name="Comma 2 3 18 2" xfId="10377"/>
    <cellStyle name="Comma 2 3 19" xfId="2948"/>
    <cellStyle name="Comma 2 3 19 2" xfId="10378"/>
    <cellStyle name="Comma 2 3 2" xfId="2949"/>
    <cellStyle name="Comma 2 3 2 2" xfId="2950"/>
    <cellStyle name="Comma 2 3 2 2 10" xfId="2951"/>
    <cellStyle name="Comma 2 3 2 2 10 2" xfId="10381"/>
    <cellStyle name="Comma 2 3 2 2 11" xfId="2952"/>
    <cellStyle name="Comma 2 3 2 2 11 2" xfId="10382"/>
    <cellStyle name="Comma 2 3 2 2 12" xfId="2953"/>
    <cellStyle name="Comma 2 3 2 2 12 2" xfId="10383"/>
    <cellStyle name="Comma 2 3 2 2 13" xfId="2954"/>
    <cellStyle name="Comma 2 3 2 2 13 2" xfId="10384"/>
    <cellStyle name="Comma 2 3 2 2 14" xfId="2955"/>
    <cellStyle name="Comma 2 3 2 2 14 2" xfId="10385"/>
    <cellStyle name="Comma 2 3 2 2 15" xfId="2956"/>
    <cellStyle name="Comma 2 3 2 2 15 2" xfId="10386"/>
    <cellStyle name="Comma 2 3 2 2 16" xfId="10380"/>
    <cellStyle name="Comma 2 3 2 2 2" xfId="2957"/>
    <cellStyle name="Comma 2 3 2 2 2 2" xfId="10387"/>
    <cellStyle name="Comma 2 3 2 2 3" xfId="2958"/>
    <cellStyle name="Comma 2 3 2 2 3 2" xfId="10388"/>
    <cellStyle name="Comma 2 3 2 2 4" xfId="2959"/>
    <cellStyle name="Comma 2 3 2 2 4 2" xfId="10389"/>
    <cellStyle name="Comma 2 3 2 2 5" xfId="2960"/>
    <cellStyle name="Comma 2 3 2 2 5 2" xfId="10390"/>
    <cellStyle name="Comma 2 3 2 2 6" xfId="2961"/>
    <cellStyle name="Comma 2 3 2 2 6 2" xfId="10391"/>
    <cellStyle name="Comma 2 3 2 2 7" xfId="2962"/>
    <cellStyle name="Comma 2 3 2 2 7 2" xfId="10392"/>
    <cellStyle name="Comma 2 3 2 2 8" xfId="2963"/>
    <cellStyle name="Comma 2 3 2 2 8 2" xfId="10393"/>
    <cellStyle name="Comma 2 3 2 2 9" xfId="2964"/>
    <cellStyle name="Comma 2 3 2 2 9 2" xfId="10394"/>
    <cellStyle name="Comma 2 3 2 3" xfId="10379"/>
    <cellStyle name="Comma 2 3 2_3.1.2 DB Pension Detail" xfId="2965"/>
    <cellStyle name="Comma 2 3 20" xfId="2966"/>
    <cellStyle name="Comma 2 3 20 2" xfId="10395"/>
    <cellStyle name="Comma 2 3 21" xfId="2967"/>
    <cellStyle name="Comma 2 3 21 2" xfId="10396"/>
    <cellStyle name="Comma 2 3 22" xfId="2968"/>
    <cellStyle name="Comma 2 3 22 2" xfId="10397"/>
    <cellStyle name="Comma 2 3 23" xfId="2969"/>
    <cellStyle name="Comma 2 3 23 2" xfId="10398"/>
    <cellStyle name="Comma 2 3 24" xfId="2970"/>
    <cellStyle name="Comma 2 3 24 2" xfId="10399"/>
    <cellStyle name="Comma 2 3 25" xfId="2971"/>
    <cellStyle name="Comma 2 3 25 2" xfId="10400"/>
    <cellStyle name="Comma 2 3 26" xfId="2972"/>
    <cellStyle name="Comma 2 3 26 2" xfId="10401"/>
    <cellStyle name="Comma 2 3 27" xfId="2973"/>
    <cellStyle name="Comma 2 3 27 2" xfId="10402"/>
    <cellStyle name="Comma 2 3 28" xfId="2974"/>
    <cellStyle name="Comma 2 3 28 2" xfId="10403"/>
    <cellStyle name="Comma 2 3 29" xfId="2975"/>
    <cellStyle name="Comma 2 3 29 2" xfId="10404"/>
    <cellStyle name="Comma 2 3 3" xfId="2976"/>
    <cellStyle name="Comma 2 3 3 10" xfId="2977"/>
    <cellStyle name="Comma 2 3 3 10 2" xfId="10406"/>
    <cellStyle name="Comma 2 3 3 11" xfId="2978"/>
    <cellStyle name="Comma 2 3 3 11 2" xfId="10407"/>
    <cellStyle name="Comma 2 3 3 12" xfId="2979"/>
    <cellStyle name="Comma 2 3 3 12 2" xfId="10408"/>
    <cellStyle name="Comma 2 3 3 13" xfId="2980"/>
    <cellStyle name="Comma 2 3 3 13 2" xfId="10409"/>
    <cellStyle name="Comma 2 3 3 14" xfId="10405"/>
    <cellStyle name="Comma 2 3 3 2" xfId="2981"/>
    <cellStyle name="Comma 2 3 3 2 2" xfId="10410"/>
    <cellStyle name="Comma 2 3 3 3" xfId="2982"/>
    <cellStyle name="Comma 2 3 3 3 2" xfId="10411"/>
    <cellStyle name="Comma 2 3 3 4" xfId="2983"/>
    <cellStyle name="Comma 2 3 3 4 2" xfId="10412"/>
    <cellStyle name="Comma 2 3 3 5" xfId="2984"/>
    <cellStyle name="Comma 2 3 3 5 2" xfId="10413"/>
    <cellStyle name="Comma 2 3 3 6" xfId="2985"/>
    <cellStyle name="Comma 2 3 3 6 2" xfId="10414"/>
    <cellStyle name="Comma 2 3 3 7" xfId="2986"/>
    <cellStyle name="Comma 2 3 3 7 2" xfId="10415"/>
    <cellStyle name="Comma 2 3 3 8" xfId="2987"/>
    <cellStyle name="Comma 2 3 3 8 2" xfId="10416"/>
    <cellStyle name="Comma 2 3 3 9" xfId="2988"/>
    <cellStyle name="Comma 2 3 3 9 2" xfId="10417"/>
    <cellStyle name="Comma 2 3 30" xfId="2989"/>
    <cellStyle name="Comma 2 3 30 2" xfId="10418"/>
    <cellStyle name="Comma 2 3 31" xfId="2990"/>
    <cellStyle name="Comma 2 3 31 2" xfId="10419"/>
    <cellStyle name="Comma 2 3 32" xfId="2991"/>
    <cellStyle name="Comma 2 3 32 2" xfId="10420"/>
    <cellStyle name="Comma 2 3 33" xfId="2992"/>
    <cellStyle name="Comma 2 3 33 2" xfId="10421"/>
    <cellStyle name="Comma 2 3 34" xfId="2993"/>
    <cellStyle name="Comma 2 3 34 2" xfId="10422"/>
    <cellStyle name="Comma 2 3 35" xfId="2994"/>
    <cellStyle name="Comma 2 3 35 2" xfId="10423"/>
    <cellStyle name="Comma 2 3 36" xfId="2995"/>
    <cellStyle name="Comma 2 3 36 2" xfId="10424"/>
    <cellStyle name="Comma 2 3 37" xfId="2996"/>
    <cellStyle name="Comma 2 3 37 2" xfId="10425"/>
    <cellStyle name="Comma 2 3 38" xfId="2997"/>
    <cellStyle name="Comma 2 3 38 2" xfId="10426"/>
    <cellStyle name="Comma 2 3 39" xfId="2998"/>
    <cellStyle name="Comma 2 3 39 2" xfId="10427"/>
    <cellStyle name="Comma 2 3 4" xfId="2999"/>
    <cellStyle name="Comma 2 3 4 2" xfId="10428"/>
    <cellStyle name="Comma 2 3 40" xfId="3000"/>
    <cellStyle name="Comma 2 3 40 2" xfId="10429"/>
    <cellStyle name="Comma 2 3 41" xfId="3001"/>
    <cellStyle name="Comma 2 3 41 2" xfId="10430"/>
    <cellStyle name="Comma 2 3 42" xfId="3002"/>
    <cellStyle name="Comma 2 3 42 2" xfId="10431"/>
    <cellStyle name="Comma 2 3 43" xfId="3003"/>
    <cellStyle name="Comma 2 3 43 2" xfId="10432"/>
    <cellStyle name="Comma 2 3 44" xfId="3004"/>
    <cellStyle name="Comma 2 3 44 2" xfId="10433"/>
    <cellStyle name="Comma 2 3 45" xfId="3005"/>
    <cellStyle name="Comma 2 3 45 2" xfId="10434"/>
    <cellStyle name="Comma 2 3 46" xfId="3006"/>
    <cellStyle name="Comma 2 3 46 2" xfId="10435"/>
    <cellStyle name="Comma 2 3 47" xfId="3007"/>
    <cellStyle name="Comma 2 3 47 2" xfId="10436"/>
    <cellStyle name="Comma 2 3 48" xfId="3008"/>
    <cellStyle name="Comma 2 3 48 2" xfId="10437"/>
    <cellStyle name="Comma 2 3 5" xfId="3009"/>
    <cellStyle name="Comma 2 3 5 2" xfId="10438"/>
    <cellStyle name="Comma 2 3 6" xfId="3010"/>
    <cellStyle name="Comma 2 3 6 2" xfId="10439"/>
    <cellStyle name="Comma 2 3 7" xfId="3011"/>
    <cellStyle name="Comma 2 3 7 2" xfId="10440"/>
    <cellStyle name="Comma 2 3 8" xfId="3012"/>
    <cellStyle name="Comma 2 3 8 2" xfId="10441"/>
    <cellStyle name="Comma 2 3 9" xfId="3013"/>
    <cellStyle name="Comma 2 3 9 2" xfId="10442"/>
    <cellStyle name="Comma 2 3_3.1.2 DB Pension Detail" xfId="3014"/>
    <cellStyle name="Comma 2 30" xfId="3015"/>
    <cellStyle name="Comma 2 30 2" xfId="10443"/>
    <cellStyle name="Comma 2 31" xfId="3016"/>
    <cellStyle name="Comma 2 31 2" xfId="10444"/>
    <cellStyle name="Comma 2 32" xfId="3017"/>
    <cellStyle name="Comma 2 32 2" xfId="10445"/>
    <cellStyle name="Comma 2 33" xfId="3018"/>
    <cellStyle name="Comma 2 33 2" xfId="10446"/>
    <cellStyle name="Comma 2 34" xfId="3019"/>
    <cellStyle name="Comma 2 34 2" xfId="10447"/>
    <cellStyle name="Comma 2 35" xfId="3020"/>
    <cellStyle name="Comma 2 35 2" xfId="10448"/>
    <cellStyle name="Comma 2 36" xfId="3021"/>
    <cellStyle name="Comma 2 36 2" xfId="10449"/>
    <cellStyle name="Comma 2 37" xfId="3022"/>
    <cellStyle name="Comma 2 37 2" xfId="10450"/>
    <cellStyle name="Comma 2 38" xfId="3023"/>
    <cellStyle name="Comma 2 38 2" xfId="10451"/>
    <cellStyle name="Comma 2 39" xfId="3024"/>
    <cellStyle name="Comma 2 39 2" xfId="10452"/>
    <cellStyle name="Comma 2 4" xfId="3025"/>
    <cellStyle name="Comma 2 4 10" xfId="3026"/>
    <cellStyle name="Comma 2 4 10 2" xfId="10454"/>
    <cellStyle name="Comma 2 4 11" xfId="3027"/>
    <cellStyle name="Comma 2 4 11 2" xfId="10455"/>
    <cellStyle name="Comma 2 4 12" xfId="3028"/>
    <cellStyle name="Comma 2 4 12 2" xfId="10456"/>
    <cellStyle name="Comma 2 4 13" xfId="3029"/>
    <cellStyle name="Comma 2 4 13 2" xfId="10457"/>
    <cellStyle name="Comma 2 4 14" xfId="3030"/>
    <cellStyle name="Comma 2 4 14 2" xfId="10458"/>
    <cellStyle name="Comma 2 4 15" xfId="3031"/>
    <cellStyle name="Comma 2 4 15 2" xfId="10459"/>
    <cellStyle name="Comma 2 4 16" xfId="3032"/>
    <cellStyle name="Comma 2 4 16 2" xfId="10460"/>
    <cellStyle name="Comma 2 4 17" xfId="3033"/>
    <cellStyle name="Comma 2 4 17 2" xfId="10461"/>
    <cellStyle name="Comma 2 4 18" xfId="3034"/>
    <cellStyle name="Comma 2 4 18 2" xfId="10462"/>
    <cellStyle name="Comma 2 4 19" xfId="3035"/>
    <cellStyle name="Comma 2 4 19 2" xfId="10463"/>
    <cellStyle name="Comma 2 4 2" xfId="3036"/>
    <cellStyle name="Comma 2 4 2 10" xfId="3037"/>
    <cellStyle name="Comma 2 4 2 10 2" xfId="10465"/>
    <cellStyle name="Comma 2 4 2 11" xfId="3038"/>
    <cellStyle name="Comma 2 4 2 11 2" xfId="10466"/>
    <cellStyle name="Comma 2 4 2 12" xfId="3039"/>
    <cellStyle name="Comma 2 4 2 12 2" xfId="10467"/>
    <cellStyle name="Comma 2 4 2 13" xfId="3040"/>
    <cellStyle name="Comma 2 4 2 13 2" xfId="10468"/>
    <cellStyle name="Comma 2 4 2 14" xfId="3041"/>
    <cellStyle name="Comma 2 4 2 14 2" xfId="10469"/>
    <cellStyle name="Comma 2 4 2 15" xfId="3042"/>
    <cellStyle name="Comma 2 4 2 15 2" xfId="10470"/>
    <cellStyle name="Comma 2 4 2 16" xfId="3043"/>
    <cellStyle name="Comma 2 4 2 16 2" xfId="10471"/>
    <cellStyle name="Comma 2 4 2 17" xfId="3044"/>
    <cellStyle name="Comma 2 4 2 17 2" xfId="10472"/>
    <cellStyle name="Comma 2 4 2 18" xfId="10464"/>
    <cellStyle name="Comma 2 4 2 2" xfId="3045"/>
    <cellStyle name="Comma 2 4 2 2 2" xfId="10473"/>
    <cellStyle name="Comma 2 4 2 3" xfId="3046"/>
    <cellStyle name="Comma 2 4 2 3 2" xfId="10474"/>
    <cellStyle name="Comma 2 4 2 4" xfId="3047"/>
    <cellStyle name="Comma 2 4 2 4 2" xfId="10475"/>
    <cellStyle name="Comma 2 4 2 5" xfId="3048"/>
    <cellStyle name="Comma 2 4 2 5 2" xfId="10476"/>
    <cellStyle name="Comma 2 4 2 6" xfId="3049"/>
    <cellStyle name="Comma 2 4 2 6 2" xfId="10477"/>
    <cellStyle name="Comma 2 4 2 7" xfId="3050"/>
    <cellStyle name="Comma 2 4 2 7 2" xfId="10478"/>
    <cellStyle name="Comma 2 4 2 8" xfId="3051"/>
    <cellStyle name="Comma 2 4 2 8 2" xfId="10479"/>
    <cellStyle name="Comma 2 4 2 9" xfId="3052"/>
    <cellStyle name="Comma 2 4 2 9 2" xfId="10480"/>
    <cellStyle name="Comma 2 4 20" xfId="3053"/>
    <cellStyle name="Comma 2 4 20 2" xfId="10481"/>
    <cellStyle name="Comma 2 4 21" xfId="3054"/>
    <cellStyle name="Comma 2 4 21 2" xfId="10482"/>
    <cellStyle name="Comma 2 4 22" xfId="3055"/>
    <cellStyle name="Comma 2 4 22 2" xfId="10483"/>
    <cellStyle name="Comma 2 4 23" xfId="3056"/>
    <cellStyle name="Comma 2 4 23 2" xfId="10484"/>
    <cellStyle name="Comma 2 4 24" xfId="3057"/>
    <cellStyle name="Comma 2 4 24 2" xfId="10485"/>
    <cellStyle name="Comma 2 4 25" xfId="3058"/>
    <cellStyle name="Comma 2 4 25 2" xfId="10486"/>
    <cellStyle name="Comma 2 4 26" xfId="3059"/>
    <cellStyle name="Comma 2 4 26 2" xfId="10487"/>
    <cellStyle name="Comma 2 4 27" xfId="3060"/>
    <cellStyle name="Comma 2 4 27 2" xfId="10488"/>
    <cellStyle name="Comma 2 4 28" xfId="3061"/>
    <cellStyle name="Comma 2 4 28 2" xfId="10489"/>
    <cellStyle name="Comma 2 4 29" xfId="3062"/>
    <cellStyle name="Comma 2 4 29 2" xfId="10490"/>
    <cellStyle name="Comma 2 4 3" xfId="3063"/>
    <cellStyle name="Comma 2 4 3 2" xfId="10491"/>
    <cellStyle name="Comma 2 4 30" xfId="3064"/>
    <cellStyle name="Comma 2 4 30 2" xfId="10492"/>
    <cellStyle name="Comma 2 4 31" xfId="3065"/>
    <cellStyle name="Comma 2 4 31 2" xfId="10493"/>
    <cellStyle name="Comma 2 4 32" xfId="3066"/>
    <cellStyle name="Comma 2 4 32 2" xfId="10494"/>
    <cellStyle name="Comma 2 4 33" xfId="3067"/>
    <cellStyle name="Comma 2 4 33 2" xfId="10495"/>
    <cellStyle name="Comma 2 4 34" xfId="3068"/>
    <cellStyle name="Comma 2 4 34 2" xfId="10496"/>
    <cellStyle name="Comma 2 4 35" xfId="3069"/>
    <cellStyle name="Comma 2 4 35 2" xfId="10497"/>
    <cellStyle name="Comma 2 4 36" xfId="3070"/>
    <cellStyle name="Comma 2 4 36 2" xfId="10498"/>
    <cellStyle name="Comma 2 4 37" xfId="3071"/>
    <cellStyle name="Comma 2 4 37 2" xfId="10499"/>
    <cellStyle name="Comma 2 4 38" xfId="3072"/>
    <cellStyle name="Comma 2 4 38 2" xfId="10500"/>
    <cellStyle name="Comma 2 4 39" xfId="3073"/>
    <cellStyle name="Comma 2 4 39 2" xfId="10501"/>
    <cellStyle name="Comma 2 4 4" xfId="3074"/>
    <cellStyle name="Comma 2 4 4 2" xfId="10502"/>
    <cellStyle name="Comma 2 4 40" xfId="3075"/>
    <cellStyle name="Comma 2 4 40 2" xfId="10503"/>
    <cellStyle name="Comma 2 4 41" xfId="3076"/>
    <cellStyle name="Comma 2 4 41 2" xfId="10504"/>
    <cellStyle name="Comma 2 4 42" xfId="3077"/>
    <cellStyle name="Comma 2 4 42 2" xfId="10505"/>
    <cellStyle name="Comma 2 4 43" xfId="3078"/>
    <cellStyle name="Comma 2 4 43 2" xfId="10506"/>
    <cellStyle name="Comma 2 4 44" xfId="3079"/>
    <cellStyle name="Comma 2 4 44 2" xfId="10507"/>
    <cellStyle name="Comma 2 4 45" xfId="3080"/>
    <cellStyle name="Comma 2 4 45 2" xfId="10508"/>
    <cellStyle name="Comma 2 4 46" xfId="3081"/>
    <cellStyle name="Comma 2 4 46 2" xfId="10509"/>
    <cellStyle name="Comma 2 4 47" xfId="3082"/>
    <cellStyle name="Comma 2 4 47 2" xfId="10510"/>
    <cellStyle name="Comma 2 4 48" xfId="3083"/>
    <cellStyle name="Comma 2 4 48 2" xfId="10511"/>
    <cellStyle name="Comma 2 4 49" xfId="3084"/>
    <cellStyle name="Comma 2 4 49 2" xfId="10512"/>
    <cellStyle name="Comma 2 4 5" xfId="3085"/>
    <cellStyle name="Comma 2 4 5 2" xfId="10513"/>
    <cellStyle name="Comma 2 4 50" xfId="3086"/>
    <cellStyle name="Comma 2 4 50 2" xfId="10514"/>
    <cellStyle name="Comma 2 4 51" xfId="3087"/>
    <cellStyle name="Comma 2 4 51 2" xfId="10515"/>
    <cellStyle name="Comma 2 4 52" xfId="3088"/>
    <cellStyle name="Comma 2 4 52 2" xfId="10516"/>
    <cellStyle name="Comma 2 4 53" xfId="3089"/>
    <cellStyle name="Comma 2 4 53 2" xfId="10517"/>
    <cellStyle name="Comma 2 4 54" xfId="3090"/>
    <cellStyle name="Comma 2 4 54 2" xfId="10518"/>
    <cellStyle name="Comma 2 4 55" xfId="3091"/>
    <cellStyle name="Comma 2 4 55 2" xfId="10519"/>
    <cellStyle name="Comma 2 4 56" xfId="3092"/>
    <cellStyle name="Comma 2 4 56 2" xfId="10520"/>
    <cellStyle name="Comma 2 4 57" xfId="3093"/>
    <cellStyle name="Comma 2 4 57 2" xfId="10521"/>
    <cellStyle name="Comma 2 4 58" xfId="3094"/>
    <cellStyle name="Comma 2 4 58 2" xfId="10522"/>
    <cellStyle name="Comma 2 4 59" xfId="3095"/>
    <cellStyle name="Comma 2 4 59 2" xfId="10523"/>
    <cellStyle name="Comma 2 4 6" xfId="3096"/>
    <cellStyle name="Comma 2 4 6 2" xfId="10524"/>
    <cellStyle name="Comma 2 4 60" xfId="3097"/>
    <cellStyle name="Comma 2 4 60 2" xfId="10525"/>
    <cellStyle name="Comma 2 4 61" xfId="3098"/>
    <cellStyle name="Comma 2 4 61 2" xfId="10526"/>
    <cellStyle name="Comma 2 4 62" xfId="3099"/>
    <cellStyle name="Comma 2 4 62 2" xfId="10527"/>
    <cellStyle name="Comma 2 4 63" xfId="3100"/>
    <cellStyle name="Comma 2 4 63 2" xfId="10528"/>
    <cellStyle name="Comma 2 4 64" xfId="3101"/>
    <cellStyle name="Comma 2 4 65" xfId="3102"/>
    <cellStyle name="Comma 2 4 66" xfId="3103"/>
    <cellStyle name="Comma 2 4 67" xfId="3104"/>
    <cellStyle name="Comma 2 4 68" xfId="3105"/>
    <cellStyle name="Comma 2 4 69" xfId="3106"/>
    <cellStyle name="Comma 2 4 7" xfId="3107"/>
    <cellStyle name="Comma 2 4 7 2" xfId="10529"/>
    <cellStyle name="Comma 2 4 70" xfId="3108"/>
    <cellStyle name="Comma 2 4 71" xfId="3109"/>
    <cellStyle name="Comma 2 4 72" xfId="3110"/>
    <cellStyle name="Comma 2 4 73" xfId="3111"/>
    <cellStyle name="Comma 2 4 74" xfId="3112"/>
    <cellStyle name="Comma 2 4 75" xfId="3113"/>
    <cellStyle name="Comma 2 4 76" xfId="3114"/>
    <cellStyle name="Comma 2 4 77" xfId="3115"/>
    <cellStyle name="Comma 2 4 78" xfId="3116"/>
    <cellStyle name="Comma 2 4 79" xfId="10453"/>
    <cellStyle name="Comma 2 4 8" xfId="3117"/>
    <cellStyle name="Comma 2 4 8 2" xfId="10530"/>
    <cellStyle name="Comma 2 4 9" xfId="3118"/>
    <cellStyle name="Comma 2 4 9 2" xfId="10531"/>
    <cellStyle name="Comma 2 40" xfId="3119"/>
    <cellStyle name="Comma 2 40 2" xfId="10532"/>
    <cellStyle name="Comma 2 41" xfId="3120"/>
    <cellStyle name="Comma 2 41 2" xfId="10533"/>
    <cellStyle name="Comma 2 42" xfId="3121"/>
    <cellStyle name="Comma 2 42 2" xfId="10534"/>
    <cellStyle name="Comma 2 43" xfId="3122"/>
    <cellStyle name="Comma 2 43 2" xfId="10535"/>
    <cellStyle name="Comma 2 44" xfId="3123"/>
    <cellStyle name="Comma 2 44 2" xfId="10536"/>
    <cellStyle name="Comma 2 45" xfId="3124"/>
    <cellStyle name="Comma 2 45 2" xfId="10537"/>
    <cellStyle name="Comma 2 46" xfId="3125"/>
    <cellStyle name="Comma 2 46 2" xfId="10538"/>
    <cellStyle name="Comma 2 47" xfId="3126"/>
    <cellStyle name="Comma 2 47 2" xfId="10539"/>
    <cellStyle name="Comma 2 48" xfId="3127"/>
    <cellStyle name="Comma 2 48 2" xfId="10540"/>
    <cellStyle name="Comma 2 49" xfId="3128"/>
    <cellStyle name="Comma 2 49 2" xfId="10541"/>
    <cellStyle name="Comma 2 5" xfId="3129"/>
    <cellStyle name="Comma 2 5 2" xfId="10542"/>
    <cellStyle name="Comma 2 50" xfId="3130"/>
    <cellStyle name="Comma 2 50 2" xfId="10543"/>
    <cellStyle name="Comma 2 51" xfId="3131"/>
    <cellStyle name="Comma 2 51 10" xfId="3132"/>
    <cellStyle name="Comma 2 51 11" xfId="3133"/>
    <cellStyle name="Comma 2 51 12" xfId="3134"/>
    <cellStyle name="Comma 2 51 13" xfId="3135"/>
    <cellStyle name="Comma 2 51 14" xfId="3136"/>
    <cellStyle name="Comma 2 51 15" xfId="3137"/>
    <cellStyle name="Comma 2 51 16" xfId="3138"/>
    <cellStyle name="Comma 2 51 17" xfId="3139"/>
    <cellStyle name="Comma 2 51 18" xfId="10544"/>
    <cellStyle name="Comma 2 51 2" xfId="3140"/>
    <cellStyle name="Comma 2 51 3" xfId="3141"/>
    <cellStyle name="Comma 2 51 4" xfId="3142"/>
    <cellStyle name="Comma 2 51 5" xfId="3143"/>
    <cellStyle name="Comma 2 51 6" xfId="3144"/>
    <cellStyle name="Comma 2 51 7" xfId="3145"/>
    <cellStyle name="Comma 2 51 8" xfId="3146"/>
    <cellStyle name="Comma 2 51 9" xfId="3147"/>
    <cellStyle name="Comma 2 52" xfId="3148"/>
    <cellStyle name="Comma 2 52 10" xfId="3149"/>
    <cellStyle name="Comma 2 52 11" xfId="3150"/>
    <cellStyle name="Comma 2 52 12" xfId="3151"/>
    <cellStyle name="Comma 2 52 13" xfId="3152"/>
    <cellStyle name="Comma 2 52 14" xfId="3153"/>
    <cellStyle name="Comma 2 52 15" xfId="3154"/>
    <cellStyle name="Comma 2 52 16" xfId="3155"/>
    <cellStyle name="Comma 2 52 17" xfId="3156"/>
    <cellStyle name="Comma 2 52 18" xfId="10545"/>
    <cellStyle name="Comma 2 52 2" xfId="3157"/>
    <cellStyle name="Comma 2 52 3" xfId="3158"/>
    <cellStyle name="Comma 2 52 4" xfId="3159"/>
    <cellStyle name="Comma 2 52 5" xfId="3160"/>
    <cellStyle name="Comma 2 52 6" xfId="3161"/>
    <cellStyle name="Comma 2 52 7" xfId="3162"/>
    <cellStyle name="Comma 2 52 8" xfId="3163"/>
    <cellStyle name="Comma 2 52 9" xfId="3164"/>
    <cellStyle name="Comma 2 53" xfId="3165"/>
    <cellStyle name="Comma 2 53 2" xfId="10546"/>
    <cellStyle name="Comma 2 54" xfId="3166"/>
    <cellStyle name="Comma 2 54 2" xfId="10547"/>
    <cellStyle name="Comma 2 55" xfId="3167"/>
    <cellStyle name="Comma 2 55 2" xfId="10548"/>
    <cellStyle name="Comma 2 56" xfId="3168"/>
    <cellStyle name="Comma 2 56 2" xfId="10549"/>
    <cellStyle name="Comma 2 57" xfId="3169"/>
    <cellStyle name="Comma 2 57 2" xfId="10550"/>
    <cellStyle name="Comma 2 58" xfId="3170"/>
    <cellStyle name="Comma 2 58 2" xfId="10551"/>
    <cellStyle name="Comma 2 59" xfId="3171"/>
    <cellStyle name="Comma 2 59 2" xfId="10552"/>
    <cellStyle name="Comma 2 6" xfId="3172"/>
    <cellStyle name="Comma 2 6 2" xfId="10553"/>
    <cellStyle name="Comma 2 60" xfId="3173"/>
    <cellStyle name="Comma 2 60 2" xfId="10554"/>
    <cellStyle name="Comma 2 61" xfId="3174"/>
    <cellStyle name="Comma 2 61 2" xfId="10555"/>
    <cellStyle name="Comma 2 62" xfId="3175"/>
    <cellStyle name="Comma 2 62 2" xfId="10556"/>
    <cellStyle name="Comma 2 63" xfId="3176"/>
    <cellStyle name="Comma 2 63 2" xfId="10557"/>
    <cellStyle name="Comma 2 64" xfId="3177"/>
    <cellStyle name="Comma 2 65" xfId="3178"/>
    <cellStyle name="Comma 2 66" xfId="3179"/>
    <cellStyle name="Comma 2 67" xfId="3180"/>
    <cellStyle name="Comma 2 68" xfId="3181"/>
    <cellStyle name="Comma 2 69" xfId="3182"/>
    <cellStyle name="Comma 2 7" xfId="3183"/>
    <cellStyle name="Comma 2 7 2" xfId="10558"/>
    <cellStyle name="Comma 2 70" xfId="3184"/>
    <cellStyle name="Comma 2 71" xfId="3185"/>
    <cellStyle name="Comma 2 72" xfId="3186"/>
    <cellStyle name="Comma 2 73" xfId="3187"/>
    <cellStyle name="Comma 2 74" xfId="3188"/>
    <cellStyle name="Comma 2 75" xfId="3189"/>
    <cellStyle name="Comma 2 76" xfId="3190"/>
    <cellStyle name="Comma 2 77" xfId="3191"/>
    <cellStyle name="Comma 2 78" xfId="3192"/>
    <cellStyle name="Comma 2 79" xfId="3193"/>
    <cellStyle name="Comma 2 8" xfId="3194"/>
    <cellStyle name="Comma 2 8 2" xfId="10559"/>
    <cellStyle name="Comma 2 80" xfId="3195"/>
    <cellStyle name="Comma 2 81" xfId="3196"/>
    <cellStyle name="Comma 2 82" xfId="3197"/>
    <cellStyle name="Comma 2 83" xfId="3198"/>
    <cellStyle name="Comma 2 84" xfId="3199"/>
    <cellStyle name="Comma 2 85" xfId="3200"/>
    <cellStyle name="Comma 2 86" xfId="3201"/>
    <cellStyle name="Comma 2 87" xfId="3202"/>
    <cellStyle name="Comma 2 88" xfId="3203"/>
    <cellStyle name="Comma 2 89" xfId="3204"/>
    <cellStyle name="Comma 2 9" xfId="3205"/>
    <cellStyle name="Comma 2 9 2" xfId="10560"/>
    <cellStyle name="Comma 2 90" xfId="3206"/>
    <cellStyle name="Comma 2 91" xfId="3207"/>
    <cellStyle name="Comma 2 92" xfId="3208"/>
    <cellStyle name="Comma 2 93" xfId="3209"/>
    <cellStyle name="Comma 2 94" xfId="3210"/>
    <cellStyle name="Comma 2 95" xfId="3211"/>
    <cellStyle name="Comma 2 96" xfId="3212"/>
    <cellStyle name="Comma 2 97" xfId="3213"/>
    <cellStyle name="Comma 2 98" xfId="3214"/>
    <cellStyle name="Comma 2 99" xfId="3215"/>
    <cellStyle name="Comma 2*" xfId="3216"/>
    <cellStyle name="Comma 2_2.11 Staff NG BS" xfId="3217"/>
    <cellStyle name="Comma 20" xfId="3218"/>
    <cellStyle name="Comma 20 2" xfId="3219"/>
    <cellStyle name="Comma 20 2 2" xfId="10562"/>
    <cellStyle name="Comma 20 3" xfId="3220"/>
    <cellStyle name="Comma 20 3 2" xfId="10563"/>
    <cellStyle name="Comma 20 4" xfId="10561"/>
    <cellStyle name="Comma 21" xfId="3221"/>
    <cellStyle name="Comma 21 2" xfId="3222"/>
    <cellStyle name="Comma 21 2 2" xfId="10565"/>
    <cellStyle name="Comma 21 3" xfId="3223"/>
    <cellStyle name="Comma 21 3 2" xfId="10566"/>
    <cellStyle name="Comma 21 4" xfId="3224"/>
    <cellStyle name="Comma 21 4 2" xfId="10567"/>
    <cellStyle name="Comma 21 5" xfId="10564"/>
    <cellStyle name="Comma 22" xfId="3225"/>
    <cellStyle name="Comma 22 10" xfId="10568"/>
    <cellStyle name="Comma 22 11" xfId="16636"/>
    <cellStyle name="Comma 22 2" xfId="3226"/>
    <cellStyle name="Comma 22 2 10" xfId="16643"/>
    <cellStyle name="Comma 22 2 2" xfId="4484"/>
    <cellStyle name="Comma 22 2 2 2" xfId="4856"/>
    <cellStyle name="Comma 22 2 2 2 2" xfId="8599"/>
    <cellStyle name="Comma 22 2 2 2 2 2" xfId="15147"/>
    <cellStyle name="Comma 22 2 2 2 3" xfId="6880"/>
    <cellStyle name="Comma 22 2 2 2 3 2" xfId="13566"/>
    <cellStyle name="Comma 22 2 2 2 4" xfId="11781"/>
    <cellStyle name="Comma 22 2 2 3" xfId="5311"/>
    <cellStyle name="Comma 22 2 2 3 2" xfId="9054"/>
    <cellStyle name="Comma 22 2 2 3 2 2" xfId="15598"/>
    <cellStyle name="Comma 22 2 2 3 3" xfId="7335"/>
    <cellStyle name="Comma 22 2 2 3 3 2" xfId="14017"/>
    <cellStyle name="Comma 22 2 2 3 4" xfId="12232"/>
    <cellStyle name="Comma 22 2 2 4" xfId="5749"/>
    <cellStyle name="Comma 22 2 2 4 2" xfId="9490"/>
    <cellStyle name="Comma 22 2 2 4 2 2" xfId="15992"/>
    <cellStyle name="Comma 22 2 2 4 3" xfId="7771"/>
    <cellStyle name="Comma 22 2 2 4 3 2" xfId="14411"/>
    <cellStyle name="Comma 22 2 2 4 4" xfId="12642"/>
    <cellStyle name="Comma 22 2 2 5" xfId="9852"/>
    <cellStyle name="Comma 22 2 2 5 2" xfId="16333"/>
    <cellStyle name="Comma 22 2 2 6" xfId="8248"/>
    <cellStyle name="Comma 22 2 2 6 2" xfId="14805"/>
    <cellStyle name="Comma 22 2 2 7" xfId="6529"/>
    <cellStyle name="Comma 22 2 2 7 2" xfId="13219"/>
    <cellStyle name="Comma 22 2 2 8" xfId="11429"/>
    <cellStyle name="Comma 22 2 2 9" xfId="16669"/>
    <cellStyle name="Comma 22 2 3" xfId="4757"/>
    <cellStyle name="Comma 22 2 3 2" xfId="8500"/>
    <cellStyle name="Comma 22 2 3 2 2" xfId="15052"/>
    <cellStyle name="Comma 22 2 3 3" xfId="6781"/>
    <cellStyle name="Comma 22 2 3 3 2" xfId="13471"/>
    <cellStyle name="Comma 22 2 3 4" xfId="11686"/>
    <cellStyle name="Comma 22 2 4" xfId="5114"/>
    <cellStyle name="Comma 22 2 4 2" xfId="8857"/>
    <cellStyle name="Comma 22 2 4 2 2" xfId="15401"/>
    <cellStyle name="Comma 22 2 4 3" xfId="7138"/>
    <cellStyle name="Comma 22 2 4 3 2" xfId="13820"/>
    <cellStyle name="Comma 22 2 4 4" xfId="12035"/>
    <cellStyle name="Comma 22 2 5" xfId="5547"/>
    <cellStyle name="Comma 22 2 5 2" xfId="9288"/>
    <cellStyle name="Comma 22 2 5 2 2" xfId="15795"/>
    <cellStyle name="Comma 22 2 5 3" xfId="7569"/>
    <cellStyle name="Comma 22 2 5 3 2" xfId="14214"/>
    <cellStyle name="Comma 22 2 5 4" xfId="12440"/>
    <cellStyle name="Comma 22 2 6" xfId="9747"/>
    <cellStyle name="Comma 22 2 6 2" xfId="16238"/>
    <cellStyle name="Comma 22 2 7" xfId="7994"/>
    <cellStyle name="Comma 22 2 7 2" xfId="14608"/>
    <cellStyle name="Comma 22 2 8" xfId="6226"/>
    <cellStyle name="Comma 22 2 8 2" xfId="12951"/>
    <cellStyle name="Comma 22 2 9" xfId="10569"/>
    <cellStyle name="Comma 22 3" xfId="4483"/>
    <cellStyle name="Comma 22 3 2" xfId="4857"/>
    <cellStyle name="Comma 22 3 2 2" xfId="8600"/>
    <cellStyle name="Comma 22 3 2 2 2" xfId="15148"/>
    <cellStyle name="Comma 22 3 2 3" xfId="6881"/>
    <cellStyle name="Comma 22 3 2 3 2" xfId="13567"/>
    <cellStyle name="Comma 22 3 2 4" xfId="11782"/>
    <cellStyle name="Comma 22 3 3" xfId="5310"/>
    <cellStyle name="Comma 22 3 3 2" xfId="9053"/>
    <cellStyle name="Comma 22 3 3 2 2" xfId="15597"/>
    <cellStyle name="Comma 22 3 3 3" xfId="7334"/>
    <cellStyle name="Comma 22 3 3 3 2" xfId="14016"/>
    <cellStyle name="Comma 22 3 3 4" xfId="12231"/>
    <cellStyle name="Comma 22 3 4" xfId="5748"/>
    <cellStyle name="Comma 22 3 4 2" xfId="9489"/>
    <cellStyle name="Comma 22 3 4 2 2" xfId="15991"/>
    <cellStyle name="Comma 22 3 4 3" xfId="7770"/>
    <cellStyle name="Comma 22 3 4 3 2" xfId="14410"/>
    <cellStyle name="Comma 22 3 4 4" xfId="12641"/>
    <cellStyle name="Comma 22 3 5" xfId="9853"/>
    <cellStyle name="Comma 22 3 5 2" xfId="16334"/>
    <cellStyle name="Comma 22 3 6" xfId="8247"/>
    <cellStyle name="Comma 22 3 6 2" xfId="14804"/>
    <cellStyle name="Comma 22 3 7" xfId="6528"/>
    <cellStyle name="Comma 22 3 7 2" xfId="13218"/>
    <cellStyle name="Comma 22 3 8" xfId="11428"/>
    <cellStyle name="Comma 22 3 9" xfId="16670"/>
    <cellStyle name="Comma 22 4" xfId="4693"/>
    <cellStyle name="Comma 22 4 2" xfId="8439"/>
    <cellStyle name="Comma 22 4 2 2" xfId="14991"/>
    <cellStyle name="Comma 22 4 3" xfId="6720"/>
    <cellStyle name="Comma 22 4 3 2" xfId="13410"/>
    <cellStyle name="Comma 22 4 4" xfId="11624"/>
    <cellStyle name="Comma 22 5" xfId="5113"/>
    <cellStyle name="Comma 22 5 2" xfId="8856"/>
    <cellStyle name="Comma 22 5 2 2" xfId="15400"/>
    <cellStyle name="Comma 22 5 3" xfId="7137"/>
    <cellStyle name="Comma 22 5 3 2" xfId="13819"/>
    <cellStyle name="Comma 22 5 4" xfId="12034"/>
    <cellStyle name="Comma 22 6" xfId="5546"/>
    <cellStyle name="Comma 22 6 2" xfId="9287"/>
    <cellStyle name="Comma 22 6 2 2" xfId="15794"/>
    <cellStyle name="Comma 22 6 3" xfId="7568"/>
    <cellStyle name="Comma 22 6 3 2" xfId="14213"/>
    <cellStyle name="Comma 22 6 4" xfId="12439"/>
    <cellStyle name="Comma 22 7" xfId="9676"/>
    <cellStyle name="Comma 22 7 2" xfId="16176"/>
    <cellStyle name="Comma 22 8" xfId="7993"/>
    <cellStyle name="Comma 22 8 2" xfId="14607"/>
    <cellStyle name="Comma 22 9" xfId="6225"/>
    <cellStyle name="Comma 22 9 2" xfId="12950"/>
    <cellStyle name="Comma 23" xfId="3227"/>
    <cellStyle name="Comma 23 2" xfId="10570"/>
    <cellStyle name="Comma 24" xfId="3228"/>
    <cellStyle name="Comma 24 2" xfId="10571"/>
    <cellStyle name="Comma 25" xfId="3229"/>
    <cellStyle name="Comma 25 2" xfId="10572"/>
    <cellStyle name="Comma 25 3" xfId="16656"/>
    <cellStyle name="Comma 26" xfId="3230"/>
    <cellStyle name="Comma 26 2" xfId="10573"/>
    <cellStyle name="Comma 26 3" xfId="16657"/>
    <cellStyle name="Comma 27" xfId="4646"/>
    <cellStyle name="Comma 27 2" xfId="11591"/>
    <cellStyle name="Comma 27 3" xfId="16659"/>
    <cellStyle name="Comma 28" xfId="4647"/>
    <cellStyle name="Comma 28 2" xfId="11592"/>
    <cellStyle name="Comma 28 3" xfId="16660"/>
    <cellStyle name="Comma 29" xfId="4648"/>
    <cellStyle name="Comma 29 2" xfId="11593"/>
    <cellStyle name="Comma 29 3" xfId="16661"/>
    <cellStyle name="Comma 3" xfId="12"/>
    <cellStyle name="Comma 3 10" xfId="3231"/>
    <cellStyle name="Comma 3 10 2" xfId="10574"/>
    <cellStyle name="Comma 3 100" xfId="3232"/>
    <cellStyle name="Comma 3 100 2" xfId="10575"/>
    <cellStyle name="Comma 3 101" xfId="3233"/>
    <cellStyle name="Comma 3 101 2" xfId="10576"/>
    <cellStyle name="Comma 3 102" xfId="3234"/>
    <cellStyle name="Comma 3 102 2" xfId="10577"/>
    <cellStyle name="Comma 3 103" xfId="3235"/>
    <cellStyle name="Comma 3 103 2" xfId="10578"/>
    <cellStyle name="Comma 3 104" xfId="3236"/>
    <cellStyle name="Comma 3 104 2" xfId="10579"/>
    <cellStyle name="Comma 3 105" xfId="3237"/>
    <cellStyle name="Comma 3 105 2" xfId="10580"/>
    <cellStyle name="Comma 3 106" xfId="3238"/>
    <cellStyle name="Comma 3 106 2" xfId="10581"/>
    <cellStyle name="Comma 3 107" xfId="3239"/>
    <cellStyle name="Comma 3 107 2" xfId="10582"/>
    <cellStyle name="Comma 3 108" xfId="3240"/>
    <cellStyle name="Comma 3 108 2" xfId="10583"/>
    <cellStyle name="Comma 3 109" xfId="3241"/>
    <cellStyle name="Comma 3 109 2" xfId="10584"/>
    <cellStyle name="Comma 3 11" xfId="3242"/>
    <cellStyle name="Comma 3 11 2" xfId="10585"/>
    <cellStyle name="Comma 3 110" xfId="3243"/>
    <cellStyle name="Comma 3 110 2" xfId="10586"/>
    <cellStyle name="Comma 3 111" xfId="3244"/>
    <cellStyle name="Comma 3 111 2" xfId="10587"/>
    <cellStyle name="Comma 3 112" xfId="3245"/>
    <cellStyle name="Comma 3 112 2" xfId="10588"/>
    <cellStyle name="Comma 3 113" xfId="3246"/>
    <cellStyle name="Comma 3 113 2" xfId="10589"/>
    <cellStyle name="Comma 3 114" xfId="3247"/>
    <cellStyle name="Comma 3 114 2" xfId="10590"/>
    <cellStyle name="Comma 3 115" xfId="3248"/>
    <cellStyle name="Comma 3 115 2" xfId="10591"/>
    <cellStyle name="Comma 3 116" xfId="3249"/>
    <cellStyle name="Comma 3 116 2" xfId="10592"/>
    <cellStyle name="Comma 3 117" xfId="3250"/>
    <cellStyle name="Comma 3 117 2" xfId="10593"/>
    <cellStyle name="Comma 3 118" xfId="3251"/>
    <cellStyle name="Comma 3 118 2" xfId="10594"/>
    <cellStyle name="Comma 3 119" xfId="3252"/>
    <cellStyle name="Comma 3 119 2" xfId="10595"/>
    <cellStyle name="Comma 3 12" xfId="3253"/>
    <cellStyle name="Comma 3 12 2" xfId="10596"/>
    <cellStyle name="Comma 3 120" xfId="3254"/>
    <cellStyle name="Comma 3 120 2" xfId="10597"/>
    <cellStyle name="Comma 3 121" xfId="3255"/>
    <cellStyle name="Comma 3 121 2" xfId="10598"/>
    <cellStyle name="Comma 3 122" xfId="3256"/>
    <cellStyle name="Comma 3 122 2" xfId="10599"/>
    <cellStyle name="Comma 3 123" xfId="3257"/>
    <cellStyle name="Comma 3 123 2" xfId="10600"/>
    <cellStyle name="Comma 3 124" xfId="3258"/>
    <cellStyle name="Comma 3 124 2" xfId="10601"/>
    <cellStyle name="Comma 3 125" xfId="3259"/>
    <cellStyle name="Comma 3 125 2" xfId="10602"/>
    <cellStyle name="Comma 3 126" xfId="3260"/>
    <cellStyle name="Comma 3 126 2" xfId="10603"/>
    <cellStyle name="Comma 3 127" xfId="10250"/>
    <cellStyle name="Comma 3 128" xfId="16631"/>
    <cellStyle name="Comma 3 13" xfId="3261"/>
    <cellStyle name="Comma 3 13 2" xfId="10604"/>
    <cellStyle name="Comma 3 14" xfId="3262"/>
    <cellStyle name="Comma 3 14 2" xfId="10605"/>
    <cellStyle name="Comma 3 15" xfId="3263"/>
    <cellStyle name="Comma 3 15 2" xfId="10606"/>
    <cellStyle name="Comma 3 16" xfId="3264"/>
    <cellStyle name="Comma 3 16 2" xfId="10607"/>
    <cellStyle name="Comma 3 17" xfId="3265"/>
    <cellStyle name="Comma 3 17 2" xfId="10608"/>
    <cellStyle name="Comma 3 18" xfId="3266"/>
    <cellStyle name="Comma 3 18 2" xfId="10609"/>
    <cellStyle name="Comma 3 19" xfId="3267"/>
    <cellStyle name="Comma 3 19 2" xfId="10610"/>
    <cellStyle name="Comma 3 2" xfId="3268"/>
    <cellStyle name="Comma 3 2 2" xfId="3269"/>
    <cellStyle name="Comma 3 2 2 10" xfId="3270"/>
    <cellStyle name="Comma 3 2 2 10 2" xfId="10613"/>
    <cellStyle name="Comma 3 2 2 11" xfId="3271"/>
    <cellStyle name="Comma 3 2 2 11 2" xfId="10614"/>
    <cellStyle name="Comma 3 2 2 12" xfId="3272"/>
    <cellStyle name="Comma 3 2 2 12 2" xfId="10615"/>
    <cellStyle name="Comma 3 2 2 13" xfId="3273"/>
    <cellStyle name="Comma 3 2 2 13 2" xfId="10616"/>
    <cellStyle name="Comma 3 2 2 14" xfId="3274"/>
    <cellStyle name="Comma 3 2 2 14 2" xfId="10617"/>
    <cellStyle name="Comma 3 2 2 15" xfId="10612"/>
    <cellStyle name="Comma 3 2 2 2" xfId="3275"/>
    <cellStyle name="Comma 3 2 2 2 2" xfId="10618"/>
    <cellStyle name="Comma 3 2 2 3" xfId="3276"/>
    <cellStyle name="Comma 3 2 2 3 2" xfId="10619"/>
    <cellStyle name="Comma 3 2 2 4" xfId="3277"/>
    <cellStyle name="Comma 3 2 2 4 2" xfId="10620"/>
    <cellStyle name="Comma 3 2 2 5" xfId="3278"/>
    <cellStyle name="Comma 3 2 2 5 2" xfId="10621"/>
    <cellStyle name="Comma 3 2 2 6" xfId="3279"/>
    <cellStyle name="Comma 3 2 2 6 2" xfId="10622"/>
    <cellStyle name="Comma 3 2 2 7" xfId="3280"/>
    <cellStyle name="Comma 3 2 2 7 2" xfId="10623"/>
    <cellStyle name="Comma 3 2 2 8" xfId="3281"/>
    <cellStyle name="Comma 3 2 2 8 2" xfId="10624"/>
    <cellStyle name="Comma 3 2 2 9" xfId="3282"/>
    <cellStyle name="Comma 3 2 2 9 2" xfId="10625"/>
    <cellStyle name="Comma 3 2 3" xfId="3283"/>
    <cellStyle name="Comma 3 2 3 2" xfId="3284"/>
    <cellStyle name="Comma 3 2 3 2 2" xfId="10627"/>
    <cellStyle name="Comma 3 2 3 3" xfId="10626"/>
    <cellStyle name="Comma 3 2 4" xfId="3285"/>
    <cellStyle name="Comma 3 2 4 2" xfId="10628"/>
    <cellStyle name="Comma 3 2 5" xfId="3286"/>
    <cellStyle name="Comma 3 2 5 2" xfId="10629"/>
    <cellStyle name="Comma 3 2 6" xfId="10611"/>
    <cellStyle name="Comma 3 2_3.1.2 DB Pension Detail" xfId="3287"/>
    <cellStyle name="Comma 3 20" xfId="3288"/>
    <cellStyle name="Comma 3 20 2" xfId="10630"/>
    <cellStyle name="Comma 3 21" xfId="3289"/>
    <cellStyle name="Comma 3 21 2" xfId="10631"/>
    <cellStyle name="Comma 3 22" xfId="3290"/>
    <cellStyle name="Comma 3 22 2" xfId="10632"/>
    <cellStyle name="Comma 3 23" xfId="3291"/>
    <cellStyle name="Comma 3 23 2" xfId="10633"/>
    <cellStyle name="Comma 3 24" xfId="3292"/>
    <cellStyle name="Comma 3 24 2" xfId="10634"/>
    <cellStyle name="Comma 3 25" xfId="3293"/>
    <cellStyle name="Comma 3 25 2" xfId="10635"/>
    <cellStyle name="Comma 3 26" xfId="3294"/>
    <cellStyle name="Comma 3 26 2" xfId="10636"/>
    <cellStyle name="Comma 3 27" xfId="3295"/>
    <cellStyle name="Comma 3 27 2" xfId="10637"/>
    <cellStyle name="Comma 3 28" xfId="3296"/>
    <cellStyle name="Comma 3 28 2" xfId="10638"/>
    <cellStyle name="Comma 3 29" xfId="3297"/>
    <cellStyle name="Comma 3 29 2" xfId="10639"/>
    <cellStyle name="Comma 3 3" xfId="3298"/>
    <cellStyle name="Comma 3 3 2" xfId="3299"/>
    <cellStyle name="Comma 3 3 2 2" xfId="3300"/>
    <cellStyle name="Comma 3 3 2 2 2" xfId="10642"/>
    <cellStyle name="Comma 3 3 2 3" xfId="10641"/>
    <cellStyle name="Comma 3 3 3" xfId="3301"/>
    <cellStyle name="Comma 3 3 3 2" xfId="10643"/>
    <cellStyle name="Comma 3 3 4" xfId="3302"/>
    <cellStyle name="Comma 3 3 4 2" xfId="10644"/>
    <cellStyle name="Comma 3 3 5" xfId="10640"/>
    <cellStyle name="Comma 3 30" xfId="3303"/>
    <cellStyle name="Comma 3 30 2" xfId="10645"/>
    <cellStyle name="Comma 3 31" xfId="3304"/>
    <cellStyle name="Comma 3 31 2" xfId="10646"/>
    <cellStyle name="Comma 3 32" xfId="3305"/>
    <cellStyle name="Comma 3 32 2" xfId="10647"/>
    <cellStyle name="Comma 3 33" xfId="3306"/>
    <cellStyle name="Comma 3 33 2" xfId="10648"/>
    <cellStyle name="Comma 3 34" xfId="3307"/>
    <cellStyle name="Comma 3 34 2" xfId="10649"/>
    <cellStyle name="Comma 3 35" xfId="3308"/>
    <cellStyle name="Comma 3 35 2" xfId="10650"/>
    <cellStyle name="Comma 3 36" xfId="3309"/>
    <cellStyle name="Comma 3 36 2" xfId="10651"/>
    <cellStyle name="Comma 3 37" xfId="3310"/>
    <cellStyle name="Comma 3 37 2" xfId="10652"/>
    <cellStyle name="Comma 3 38" xfId="3311"/>
    <cellStyle name="Comma 3 38 2" xfId="10653"/>
    <cellStyle name="Comma 3 39" xfId="3312"/>
    <cellStyle name="Comma 3 39 2" xfId="10654"/>
    <cellStyle name="Comma 3 4" xfId="3313"/>
    <cellStyle name="Comma 3 4 2" xfId="10655"/>
    <cellStyle name="Comma 3 40" xfId="3314"/>
    <cellStyle name="Comma 3 40 2" xfId="10656"/>
    <cellStyle name="Comma 3 41" xfId="3315"/>
    <cellStyle name="Comma 3 41 2" xfId="10657"/>
    <cellStyle name="Comma 3 42" xfId="3316"/>
    <cellStyle name="Comma 3 42 2" xfId="10658"/>
    <cellStyle name="Comma 3 43" xfId="3317"/>
    <cellStyle name="Comma 3 43 2" xfId="10659"/>
    <cellStyle name="Comma 3 44" xfId="3318"/>
    <cellStyle name="Comma 3 44 2" xfId="10660"/>
    <cellStyle name="Comma 3 45" xfId="3319"/>
    <cellStyle name="Comma 3 45 2" xfId="10661"/>
    <cellStyle name="Comma 3 46" xfId="3320"/>
    <cellStyle name="Comma 3 46 2" xfId="10662"/>
    <cellStyle name="Comma 3 47" xfId="3321"/>
    <cellStyle name="Comma 3 47 2" xfId="10663"/>
    <cellStyle name="Comma 3 48" xfId="3322"/>
    <cellStyle name="Comma 3 48 2" xfId="10664"/>
    <cellStyle name="Comma 3 49" xfId="3323"/>
    <cellStyle name="Comma 3 49 2" xfId="10665"/>
    <cellStyle name="Comma 3 5" xfId="3324"/>
    <cellStyle name="Comma 3 5 2" xfId="10666"/>
    <cellStyle name="Comma 3 50" xfId="3325"/>
    <cellStyle name="Comma 3 50 2" xfId="10667"/>
    <cellStyle name="Comma 3 51" xfId="3326"/>
    <cellStyle name="Comma 3 51 10" xfId="3327"/>
    <cellStyle name="Comma 3 51 10 2" xfId="10669"/>
    <cellStyle name="Comma 3 51 11" xfId="3328"/>
    <cellStyle name="Comma 3 51 11 2" xfId="10670"/>
    <cellStyle name="Comma 3 51 12" xfId="3329"/>
    <cellStyle name="Comma 3 51 12 2" xfId="10671"/>
    <cellStyle name="Comma 3 51 13" xfId="3330"/>
    <cellStyle name="Comma 3 51 13 2" xfId="10672"/>
    <cellStyle name="Comma 3 51 14" xfId="3331"/>
    <cellStyle name="Comma 3 51 14 2" xfId="10673"/>
    <cellStyle name="Comma 3 51 15" xfId="3332"/>
    <cellStyle name="Comma 3 51 15 2" xfId="10674"/>
    <cellStyle name="Comma 3 51 16" xfId="3333"/>
    <cellStyle name="Comma 3 51 16 2" xfId="10675"/>
    <cellStyle name="Comma 3 51 17" xfId="3334"/>
    <cellStyle name="Comma 3 51 17 2" xfId="10676"/>
    <cellStyle name="Comma 3 51 18" xfId="10668"/>
    <cellStyle name="Comma 3 51 2" xfId="3335"/>
    <cellStyle name="Comma 3 51 2 2" xfId="10677"/>
    <cellStyle name="Comma 3 51 3" xfId="3336"/>
    <cellStyle name="Comma 3 51 3 2" xfId="10678"/>
    <cellStyle name="Comma 3 51 4" xfId="3337"/>
    <cellStyle name="Comma 3 51 4 2" xfId="10679"/>
    <cellStyle name="Comma 3 51 5" xfId="3338"/>
    <cellStyle name="Comma 3 51 5 2" xfId="10680"/>
    <cellStyle name="Comma 3 51 6" xfId="3339"/>
    <cellStyle name="Comma 3 51 6 2" xfId="10681"/>
    <cellStyle name="Comma 3 51 7" xfId="3340"/>
    <cellStyle name="Comma 3 51 7 2" xfId="10682"/>
    <cellStyle name="Comma 3 51 8" xfId="3341"/>
    <cellStyle name="Comma 3 51 8 2" xfId="10683"/>
    <cellStyle name="Comma 3 51 9" xfId="3342"/>
    <cellStyle name="Comma 3 51 9 2" xfId="10684"/>
    <cellStyle name="Comma 3 52" xfId="3343"/>
    <cellStyle name="Comma 3 52 10" xfId="3344"/>
    <cellStyle name="Comma 3 52 10 2" xfId="10686"/>
    <cellStyle name="Comma 3 52 11" xfId="3345"/>
    <cellStyle name="Comma 3 52 11 2" xfId="10687"/>
    <cellStyle name="Comma 3 52 12" xfId="3346"/>
    <cellStyle name="Comma 3 52 12 2" xfId="10688"/>
    <cellStyle name="Comma 3 52 13" xfId="3347"/>
    <cellStyle name="Comma 3 52 13 2" xfId="10689"/>
    <cellStyle name="Comma 3 52 14" xfId="3348"/>
    <cellStyle name="Comma 3 52 14 2" xfId="10690"/>
    <cellStyle name="Comma 3 52 15" xfId="3349"/>
    <cellStyle name="Comma 3 52 15 2" xfId="10691"/>
    <cellStyle name="Comma 3 52 16" xfId="3350"/>
    <cellStyle name="Comma 3 52 16 2" xfId="10692"/>
    <cellStyle name="Comma 3 52 17" xfId="3351"/>
    <cellStyle name="Comma 3 52 17 2" xfId="10693"/>
    <cellStyle name="Comma 3 52 18" xfId="10685"/>
    <cellStyle name="Comma 3 52 2" xfId="3352"/>
    <cellStyle name="Comma 3 52 2 2" xfId="10694"/>
    <cellStyle name="Comma 3 52 3" xfId="3353"/>
    <cellStyle name="Comma 3 52 3 2" xfId="10695"/>
    <cellStyle name="Comma 3 52 4" xfId="3354"/>
    <cellStyle name="Comma 3 52 4 2" xfId="10696"/>
    <cellStyle name="Comma 3 52 5" xfId="3355"/>
    <cellStyle name="Comma 3 52 5 2" xfId="10697"/>
    <cellStyle name="Comma 3 52 6" xfId="3356"/>
    <cellStyle name="Comma 3 52 6 2" xfId="10698"/>
    <cellStyle name="Comma 3 52 7" xfId="3357"/>
    <cellStyle name="Comma 3 52 7 2" xfId="10699"/>
    <cellStyle name="Comma 3 52 8" xfId="3358"/>
    <cellStyle name="Comma 3 52 8 2" xfId="10700"/>
    <cellStyle name="Comma 3 52 9" xfId="3359"/>
    <cellStyle name="Comma 3 52 9 2" xfId="10701"/>
    <cellStyle name="Comma 3 53" xfId="3360"/>
    <cellStyle name="Comma 3 53 2" xfId="10702"/>
    <cellStyle name="Comma 3 54" xfId="3361"/>
    <cellStyle name="Comma 3 54 2" xfId="10703"/>
    <cellStyle name="Comma 3 55" xfId="3362"/>
    <cellStyle name="Comma 3 55 2" xfId="10704"/>
    <cellStyle name="Comma 3 56" xfId="3363"/>
    <cellStyle name="Comma 3 56 2" xfId="10705"/>
    <cellStyle name="Comma 3 57" xfId="3364"/>
    <cellStyle name="Comma 3 57 2" xfId="10706"/>
    <cellStyle name="Comma 3 58" xfId="3365"/>
    <cellStyle name="Comma 3 58 2" xfId="10707"/>
    <cellStyle name="Comma 3 59" xfId="3366"/>
    <cellStyle name="Comma 3 59 2" xfId="10708"/>
    <cellStyle name="Comma 3 6" xfId="3367"/>
    <cellStyle name="Comma 3 6 2" xfId="10709"/>
    <cellStyle name="Comma 3 60" xfId="3368"/>
    <cellStyle name="Comma 3 60 2" xfId="10710"/>
    <cellStyle name="Comma 3 61" xfId="3369"/>
    <cellStyle name="Comma 3 61 2" xfId="10711"/>
    <cellStyle name="Comma 3 62" xfId="3370"/>
    <cellStyle name="Comma 3 62 2" xfId="10712"/>
    <cellStyle name="Comma 3 63" xfId="3371"/>
    <cellStyle name="Comma 3 63 2" xfId="10713"/>
    <cellStyle name="Comma 3 64" xfId="3372"/>
    <cellStyle name="Comma 3 64 2" xfId="10714"/>
    <cellStyle name="Comma 3 65" xfId="3373"/>
    <cellStyle name="Comma 3 65 2" xfId="10715"/>
    <cellStyle name="Comma 3 66" xfId="3374"/>
    <cellStyle name="Comma 3 66 2" xfId="10716"/>
    <cellStyle name="Comma 3 67" xfId="3375"/>
    <cellStyle name="Comma 3 67 2" xfId="10717"/>
    <cellStyle name="Comma 3 68" xfId="3376"/>
    <cellStyle name="Comma 3 68 2" xfId="10718"/>
    <cellStyle name="Comma 3 69" xfId="3377"/>
    <cellStyle name="Comma 3 69 2" xfId="10719"/>
    <cellStyle name="Comma 3 7" xfId="3378"/>
    <cellStyle name="Comma 3 7 2" xfId="10720"/>
    <cellStyle name="Comma 3 70" xfId="3379"/>
    <cellStyle name="Comma 3 70 2" xfId="10721"/>
    <cellStyle name="Comma 3 71" xfId="3380"/>
    <cellStyle name="Comma 3 71 2" xfId="10722"/>
    <cellStyle name="Comma 3 72" xfId="3381"/>
    <cellStyle name="Comma 3 72 2" xfId="10723"/>
    <cellStyle name="Comma 3 73" xfId="3382"/>
    <cellStyle name="Comma 3 73 2" xfId="10724"/>
    <cellStyle name="Comma 3 74" xfId="3383"/>
    <cellStyle name="Comma 3 74 2" xfId="10725"/>
    <cellStyle name="Comma 3 75" xfId="3384"/>
    <cellStyle name="Comma 3 75 2" xfId="10726"/>
    <cellStyle name="Comma 3 76" xfId="3385"/>
    <cellStyle name="Comma 3 76 2" xfId="10727"/>
    <cellStyle name="Comma 3 77" xfId="3386"/>
    <cellStyle name="Comma 3 77 2" xfId="10728"/>
    <cellStyle name="Comma 3 78" xfId="3387"/>
    <cellStyle name="Comma 3 78 2" xfId="10729"/>
    <cellStyle name="Comma 3 79" xfId="3388"/>
    <cellStyle name="Comma 3 79 2" xfId="10730"/>
    <cellStyle name="Comma 3 8" xfId="3389"/>
    <cellStyle name="Comma 3 8 2" xfId="10731"/>
    <cellStyle name="Comma 3 80" xfId="3390"/>
    <cellStyle name="Comma 3 80 2" xfId="10732"/>
    <cellStyle name="Comma 3 81" xfId="3391"/>
    <cellStyle name="Comma 3 81 2" xfId="10733"/>
    <cellStyle name="Comma 3 82" xfId="3392"/>
    <cellStyle name="Comma 3 82 2" xfId="10734"/>
    <cellStyle name="Comma 3 83" xfId="3393"/>
    <cellStyle name="Comma 3 83 2" xfId="10735"/>
    <cellStyle name="Comma 3 84" xfId="3394"/>
    <cellStyle name="Comma 3 84 2" xfId="10736"/>
    <cellStyle name="Comma 3 85" xfId="3395"/>
    <cellStyle name="Comma 3 85 2" xfId="10737"/>
    <cellStyle name="Comma 3 86" xfId="3396"/>
    <cellStyle name="Comma 3 86 2" xfId="10738"/>
    <cellStyle name="Comma 3 87" xfId="3397"/>
    <cellStyle name="Comma 3 87 2" xfId="10739"/>
    <cellStyle name="Comma 3 88" xfId="3398"/>
    <cellStyle name="Comma 3 88 2" xfId="10740"/>
    <cellStyle name="Comma 3 89" xfId="3399"/>
    <cellStyle name="Comma 3 89 2" xfId="10741"/>
    <cellStyle name="Comma 3 9" xfId="3400"/>
    <cellStyle name="Comma 3 9 2" xfId="10742"/>
    <cellStyle name="Comma 3 90" xfId="3401"/>
    <cellStyle name="Comma 3 90 2" xfId="10743"/>
    <cellStyle name="Comma 3 91" xfId="3402"/>
    <cellStyle name="Comma 3 91 2" xfId="10744"/>
    <cellStyle name="Comma 3 92" xfId="3403"/>
    <cellStyle name="Comma 3 92 2" xfId="10745"/>
    <cellStyle name="Comma 3 93" xfId="3404"/>
    <cellStyle name="Comma 3 93 2" xfId="10746"/>
    <cellStyle name="Comma 3 94" xfId="3405"/>
    <cellStyle name="Comma 3 94 2" xfId="10747"/>
    <cellStyle name="Comma 3 95" xfId="3406"/>
    <cellStyle name="Comma 3 95 2" xfId="10748"/>
    <cellStyle name="Comma 3 96" xfId="3407"/>
    <cellStyle name="Comma 3 96 2" xfId="10749"/>
    <cellStyle name="Comma 3 97" xfId="3408"/>
    <cellStyle name="Comma 3 97 2" xfId="10750"/>
    <cellStyle name="Comma 3 98" xfId="3409"/>
    <cellStyle name="Comma 3 98 2" xfId="10751"/>
    <cellStyle name="Comma 3 99" xfId="3410"/>
    <cellStyle name="Comma 3 99 2" xfId="10752"/>
    <cellStyle name="Comma 3*" xfId="3411"/>
    <cellStyle name="Comma 3_3.1.2 DB Pension Detail" xfId="3412"/>
    <cellStyle name="Comma 30" xfId="4649"/>
    <cellStyle name="Comma 30 2" xfId="11594"/>
    <cellStyle name="Comma 30 3" xfId="16662"/>
    <cellStyle name="Comma 31" xfId="4650"/>
    <cellStyle name="Comma 31 2" xfId="11595"/>
    <cellStyle name="Comma 31 3" xfId="16663"/>
    <cellStyle name="Comma 32" xfId="4651"/>
    <cellStyle name="Comma 32 2" xfId="11596"/>
    <cellStyle name="Comma 32 3" xfId="16664"/>
    <cellStyle name="Comma 33" xfId="4652"/>
    <cellStyle name="Comma 33 2" xfId="11597"/>
    <cellStyle name="Comma 33 3" xfId="16665"/>
    <cellStyle name="Comma 34" xfId="4653"/>
    <cellStyle name="Comma 34 2" xfId="11598"/>
    <cellStyle name="Comma 34 3" xfId="16666"/>
    <cellStyle name="Comma 35" xfId="4654"/>
    <cellStyle name="Comma 35 2" xfId="11599"/>
    <cellStyle name="Comma 35 3" xfId="16667"/>
    <cellStyle name="Comma 36" xfId="4670"/>
    <cellStyle name="Comma 36 2" xfId="5074"/>
    <cellStyle name="Comma 36 2 2" xfId="8817"/>
    <cellStyle name="Comma 36 2 2 2" xfId="15365"/>
    <cellStyle name="Comma 36 2 3" xfId="7098"/>
    <cellStyle name="Comma 36 2 3 2" xfId="13784"/>
    <cellStyle name="Comma 36 2 4" xfId="11999"/>
    <cellStyle name="Comma 36 3" xfId="10070"/>
    <cellStyle name="Comma 36 3 2" xfId="16551"/>
    <cellStyle name="Comma 36 4" xfId="8417"/>
    <cellStyle name="Comma 36 4 2" xfId="14969"/>
    <cellStyle name="Comma 36 5" xfId="6698"/>
    <cellStyle name="Comma 36 5 2" xfId="13388"/>
    <cellStyle name="Comma 36 6" xfId="11602"/>
    <cellStyle name="Comma 36 7" xfId="16709"/>
    <cellStyle name="Comma 37" xfId="4733"/>
    <cellStyle name="Comma 37 2" xfId="11662"/>
    <cellStyle name="Comma 38" xfId="9721"/>
    <cellStyle name="Comma 38 2" xfId="16214"/>
    <cellStyle name="Comma 39" xfId="9671"/>
    <cellStyle name="Comma 39 2" xfId="16173"/>
    <cellStyle name="Comma 4" xfId="43"/>
    <cellStyle name="Comma 4 10" xfId="3413"/>
    <cellStyle name="Comma 4 10 2" xfId="10753"/>
    <cellStyle name="Comma 4 11" xfId="3414"/>
    <cellStyle name="Comma 4 11 2" xfId="10754"/>
    <cellStyle name="Comma 4 12" xfId="3415"/>
    <cellStyle name="Comma 4 12 2" xfId="10755"/>
    <cellStyle name="Comma 4 13" xfId="3416"/>
    <cellStyle name="Comma 4 13 2" xfId="10756"/>
    <cellStyle name="Comma 4 14" xfId="3417"/>
    <cellStyle name="Comma 4 14 2" xfId="10757"/>
    <cellStyle name="Comma 4 15" xfId="3418"/>
    <cellStyle name="Comma 4 15 2" xfId="10758"/>
    <cellStyle name="Comma 4 16" xfId="3419"/>
    <cellStyle name="Comma 4 16 2" xfId="10759"/>
    <cellStyle name="Comma 4 17" xfId="3420"/>
    <cellStyle name="Comma 4 17 2" xfId="10760"/>
    <cellStyle name="Comma 4 18" xfId="3421"/>
    <cellStyle name="Comma 4 18 2" xfId="10761"/>
    <cellStyle name="Comma 4 19" xfId="3422"/>
    <cellStyle name="Comma 4 19 2" xfId="10762"/>
    <cellStyle name="Comma 4 2" xfId="3423"/>
    <cellStyle name="Comma 4 2 10" xfId="3424"/>
    <cellStyle name="Comma 4 2 10 2" xfId="10764"/>
    <cellStyle name="Comma 4 2 100" xfId="3425"/>
    <cellStyle name="Comma 4 2 100 2" xfId="10765"/>
    <cellStyle name="Comma 4 2 101" xfId="3426"/>
    <cellStyle name="Comma 4 2 101 2" xfId="10766"/>
    <cellStyle name="Comma 4 2 102" xfId="3427"/>
    <cellStyle name="Comma 4 2 102 2" xfId="10767"/>
    <cellStyle name="Comma 4 2 103" xfId="3428"/>
    <cellStyle name="Comma 4 2 103 2" xfId="10768"/>
    <cellStyle name="Comma 4 2 104" xfId="3429"/>
    <cellStyle name="Comma 4 2 104 2" xfId="10769"/>
    <cellStyle name="Comma 4 2 105" xfId="3430"/>
    <cellStyle name="Comma 4 2 105 2" xfId="10770"/>
    <cellStyle name="Comma 4 2 106" xfId="3431"/>
    <cellStyle name="Comma 4 2 106 2" xfId="10771"/>
    <cellStyle name="Comma 4 2 107" xfId="3432"/>
    <cellStyle name="Comma 4 2 107 2" xfId="10772"/>
    <cellStyle name="Comma 4 2 108" xfId="3433"/>
    <cellStyle name="Comma 4 2 108 2" xfId="10773"/>
    <cellStyle name="Comma 4 2 109" xfId="3434"/>
    <cellStyle name="Comma 4 2 109 2" xfId="10774"/>
    <cellStyle name="Comma 4 2 11" xfId="3435"/>
    <cellStyle name="Comma 4 2 11 2" xfId="10775"/>
    <cellStyle name="Comma 4 2 110" xfId="10763"/>
    <cellStyle name="Comma 4 2 12" xfId="3436"/>
    <cellStyle name="Comma 4 2 12 2" xfId="10776"/>
    <cellStyle name="Comma 4 2 13" xfId="3437"/>
    <cellStyle name="Comma 4 2 13 2" xfId="10777"/>
    <cellStyle name="Comma 4 2 14" xfId="3438"/>
    <cellStyle name="Comma 4 2 14 2" xfId="10778"/>
    <cellStyle name="Comma 4 2 15" xfId="3439"/>
    <cellStyle name="Comma 4 2 15 2" xfId="10779"/>
    <cellStyle name="Comma 4 2 16" xfId="3440"/>
    <cellStyle name="Comma 4 2 16 2" xfId="10780"/>
    <cellStyle name="Comma 4 2 17" xfId="3441"/>
    <cellStyle name="Comma 4 2 17 2" xfId="10781"/>
    <cellStyle name="Comma 4 2 18" xfId="3442"/>
    <cellStyle name="Comma 4 2 18 2" xfId="10782"/>
    <cellStyle name="Comma 4 2 19" xfId="3443"/>
    <cellStyle name="Comma 4 2 19 2" xfId="10783"/>
    <cellStyle name="Comma 4 2 2" xfId="3444"/>
    <cellStyle name="Comma 4 2 2 10" xfId="3445"/>
    <cellStyle name="Comma 4 2 2 10 2" xfId="10785"/>
    <cellStyle name="Comma 4 2 2 11" xfId="3446"/>
    <cellStyle name="Comma 4 2 2 11 2" xfId="10786"/>
    <cellStyle name="Comma 4 2 2 12" xfId="3447"/>
    <cellStyle name="Comma 4 2 2 12 2" xfId="10787"/>
    <cellStyle name="Comma 4 2 2 13" xfId="3448"/>
    <cellStyle name="Comma 4 2 2 13 2" xfId="10788"/>
    <cellStyle name="Comma 4 2 2 14" xfId="10784"/>
    <cellStyle name="Comma 4 2 2 2" xfId="3449"/>
    <cellStyle name="Comma 4 2 2 2 2" xfId="10789"/>
    <cellStyle name="Comma 4 2 2 3" xfId="3450"/>
    <cellStyle name="Comma 4 2 2 3 2" xfId="10790"/>
    <cellStyle name="Comma 4 2 2 4" xfId="3451"/>
    <cellStyle name="Comma 4 2 2 4 2" xfId="10791"/>
    <cellStyle name="Comma 4 2 2 5" xfId="3452"/>
    <cellStyle name="Comma 4 2 2 5 2" xfId="10792"/>
    <cellStyle name="Comma 4 2 2 6" xfId="3453"/>
    <cellStyle name="Comma 4 2 2 6 2" xfId="10793"/>
    <cellStyle name="Comma 4 2 2 7" xfId="3454"/>
    <cellStyle name="Comma 4 2 2 7 2" xfId="10794"/>
    <cellStyle name="Comma 4 2 2 8" xfId="3455"/>
    <cellStyle name="Comma 4 2 2 8 2" xfId="10795"/>
    <cellStyle name="Comma 4 2 2 9" xfId="3456"/>
    <cellStyle name="Comma 4 2 2 9 2" xfId="10796"/>
    <cellStyle name="Comma 4 2 20" xfId="3457"/>
    <cellStyle name="Comma 4 2 20 2" xfId="10797"/>
    <cellStyle name="Comma 4 2 21" xfId="3458"/>
    <cellStyle name="Comma 4 2 21 2" xfId="10798"/>
    <cellStyle name="Comma 4 2 22" xfId="3459"/>
    <cellStyle name="Comma 4 2 22 2" xfId="10799"/>
    <cellStyle name="Comma 4 2 23" xfId="3460"/>
    <cellStyle name="Comma 4 2 23 10" xfId="3461"/>
    <cellStyle name="Comma 4 2 23 10 2" xfId="10801"/>
    <cellStyle name="Comma 4 2 23 11" xfId="3462"/>
    <cellStyle name="Comma 4 2 23 11 2" xfId="10802"/>
    <cellStyle name="Comma 4 2 23 12" xfId="3463"/>
    <cellStyle name="Comma 4 2 23 12 2" xfId="10803"/>
    <cellStyle name="Comma 4 2 23 13" xfId="3464"/>
    <cellStyle name="Comma 4 2 23 13 2" xfId="10804"/>
    <cellStyle name="Comma 4 2 23 14" xfId="3465"/>
    <cellStyle name="Comma 4 2 23 14 2" xfId="10805"/>
    <cellStyle name="Comma 4 2 23 15" xfId="3466"/>
    <cellStyle name="Comma 4 2 23 15 2" xfId="10806"/>
    <cellStyle name="Comma 4 2 23 16" xfId="3467"/>
    <cellStyle name="Comma 4 2 23 16 2" xfId="10807"/>
    <cellStyle name="Comma 4 2 23 17" xfId="3468"/>
    <cellStyle name="Comma 4 2 23 17 2" xfId="10808"/>
    <cellStyle name="Comma 4 2 23 18" xfId="10800"/>
    <cellStyle name="Comma 4 2 23 2" xfId="3469"/>
    <cellStyle name="Comma 4 2 23 2 2" xfId="10809"/>
    <cellStyle name="Comma 4 2 23 3" xfId="3470"/>
    <cellStyle name="Comma 4 2 23 3 2" xfId="10810"/>
    <cellStyle name="Comma 4 2 23 4" xfId="3471"/>
    <cellStyle name="Comma 4 2 23 4 2" xfId="10811"/>
    <cellStyle name="Comma 4 2 23 5" xfId="3472"/>
    <cellStyle name="Comma 4 2 23 5 2" xfId="10812"/>
    <cellStyle name="Comma 4 2 23 6" xfId="3473"/>
    <cellStyle name="Comma 4 2 23 6 2" xfId="10813"/>
    <cellStyle name="Comma 4 2 23 7" xfId="3474"/>
    <cellStyle name="Comma 4 2 23 7 2" xfId="10814"/>
    <cellStyle name="Comma 4 2 23 8" xfId="3475"/>
    <cellStyle name="Comma 4 2 23 8 2" xfId="10815"/>
    <cellStyle name="Comma 4 2 23 9" xfId="3476"/>
    <cellStyle name="Comma 4 2 23 9 2" xfId="10816"/>
    <cellStyle name="Comma 4 2 24" xfId="3477"/>
    <cellStyle name="Comma 4 2 24 2" xfId="10817"/>
    <cellStyle name="Comma 4 2 25" xfId="3478"/>
    <cellStyle name="Comma 4 2 25 2" xfId="10818"/>
    <cellStyle name="Comma 4 2 26" xfId="3479"/>
    <cellStyle name="Comma 4 2 26 2" xfId="10819"/>
    <cellStyle name="Comma 4 2 27" xfId="3480"/>
    <cellStyle name="Comma 4 2 27 2" xfId="10820"/>
    <cellStyle name="Comma 4 2 28" xfId="3481"/>
    <cellStyle name="Comma 4 2 28 2" xfId="10821"/>
    <cellStyle name="Comma 4 2 29" xfId="3482"/>
    <cellStyle name="Comma 4 2 29 2" xfId="10822"/>
    <cellStyle name="Comma 4 2 3" xfId="3483"/>
    <cellStyle name="Comma 4 2 3 2" xfId="10823"/>
    <cellStyle name="Comma 4 2 30" xfId="3484"/>
    <cellStyle name="Comma 4 2 30 2" xfId="10824"/>
    <cellStyle name="Comma 4 2 31" xfId="3485"/>
    <cellStyle name="Comma 4 2 31 2" xfId="10825"/>
    <cellStyle name="Comma 4 2 32" xfId="3486"/>
    <cellStyle name="Comma 4 2 32 2" xfId="10826"/>
    <cellStyle name="Comma 4 2 33" xfId="3487"/>
    <cellStyle name="Comma 4 2 33 2" xfId="10827"/>
    <cellStyle name="Comma 4 2 34" xfId="3488"/>
    <cellStyle name="Comma 4 2 34 2" xfId="10828"/>
    <cellStyle name="Comma 4 2 35" xfId="3489"/>
    <cellStyle name="Comma 4 2 35 2" xfId="10829"/>
    <cellStyle name="Comma 4 2 36" xfId="3490"/>
    <cellStyle name="Comma 4 2 36 2" xfId="10830"/>
    <cellStyle name="Comma 4 2 37" xfId="3491"/>
    <cellStyle name="Comma 4 2 37 2" xfId="10831"/>
    <cellStyle name="Comma 4 2 38" xfId="3492"/>
    <cellStyle name="Comma 4 2 38 2" xfId="10832"/>
    <cellStyle name="Comma 4 2 39" xfId="3493"/>
    <cellStyle name="Comma 4 2 39 2" xfId="10833"/>
    <cellStyle name="Comma 4 2 4" xfId="3494"/>
    <cellStyle name="Comma 4 2 4 2" xfId="10834"/>
    <cellStyle name="Comma 4 2 40" xfId="3495"/>
    <cellStyle name="Comma 4 2 40 2" xfId="10835"/>
    <cellStyle name="Comma 4 2 41" xfId="3496"/>
    <cellStyle name="Comma 4 2 41 2" xfId="10836"/>
    <cellStyle name="Comma 4 2 42" xfId="3497"/>
    <cellStyle name="Comma 4 2 42 2" xfId="10837"/>
    <cellStyle name="Comma 4 2 43" xfId="3498"/>
    <cellStyle name="Comma 4 2 43 2" xfId="10838"/>
    <cellStyle name="Comma 4 2 44" xfId="3499"/>
    <cellStyle name="Comma 4 2 44 2" xfId="10839"/>
    <cellStyle name="Comma 4 2 45" xfId="3500"/>
    <cellStyle name="Comma 4 2 45 2" xfId="10840"/>
    <cellStyle name="Comma 4 2 46" xfId="3501"/>
    <cellStyle name="Comma 4 2 46 2" xfId="10841"/>
    <cellStyle name="Comma 4 2 47" xfId="3502"/>
    <cellStyle name="Comma 4 2 47 2" xfId="10842"/>
    <cellStyle name="Comma 4 2 48" xfId="3503"/>
    <cellStyle name="Comma 4 2 48 2" xfId="10843"/>
    <cellStyle name="Comma 4 2 49" xfId="3504"/>
    <cellStyle name="Comma 4 2 49 2" xfId="10844"/>
    <cellStyle name="Comma 4 2 5" xfId="3505"/>
    <cellStyle name="Comma 4 2 5 2" xfId="10845"/>
    <cellStyle name="Comma 4 2 50" xfId="3506"/>
    <cellStyle name="Comma 4 2 50 2" xfId="10846"/>
    <cellStyle name="Comma 4 2 51" xfId="3507"/>
    <cellStyle name="Comma 4 2 51 2" xfId="10847"/>
    <cellStyle name="Comma 4 2 52" xfId="3508"/>
    <cellStyle name="Comma 4 2 52 2" xfId="10848"/>
    <cellStyle name="Comma 4 2 53" xfId="3509"/>
    <cellStyle name="Comma 4 2 53 2" xfId="10849"/>
    <cellStyle name="Comma 4 2 54" xfId="3510"/>
    <cellStyle name="Comma 4 2 54 2" xfId="10850"/>
    <cellStyle name="Comma 4 2 55" xfId="3511"/>
    <cellStyle name="Comma 4 2 55 2" xfId="10851"/>
    <cellStyle name="Comma 4 2 56" xfId="3512"/>
    <cellStyle name="Comma 4 2 56 2" xfId="10852"/>
    <cellStyle name="Comma 4 2 57" xfId="3513"/>
    <cellStyle name="Comma 4 2 57 2" xfId="10853"/>
    <cellStyle name="Comma 4 2 58" xfId="3514"/>
    <cellStyle name="Comma 4 2 58 2" xfId="10854"/>
    <cellStyle name="Comma 4 2 59" xfId="3515"/>
    <cellStyle name="Comma 4 2 59 2" xfId="10855"/>
    <cellStyle name="Comma 4 2 6" xfId="3516"/>
    <cellStyle name="Comma 4 2 6 2" xfId="10856"/>
    <cellStyle name="Comma 4 2 60" xfId="3517"/>
    <cellStyle name="Comma 4 2 60 2" xfId="10857"/>
    <cellStyle name="Comma 4 2 61" xfId="3518"/>
    <cellStyle name="Comma 4 2 61 2" xfId="10858"/>
    <cellStyle name="Comma 4 2 62" xfId="3519"/>
    <cellStyle name="Comma 4 2 62 2" xfId="10859"/>
    <cellStyle name="Comma 4 2 63" xfId="3520"/>
    <cellStyle name="Comma 4 2 63 2" xfId="10860"/>
    <cellStyle name="Comma 4 2 64" xfId="3521"/>
    <cellStyle name="Comma 4 2 64 2" xfId="10861"/>
    <cellStyle name="Comma 4 2 65" xfId="3522"/>
    <cellStyle name="Comma 4 2 65 2" xfId="10862"/>
    <cellStyle name="Comma 4 2 66" xfId="3523"/>
    <cellStyle name="Comma 4 2 66 2" xfId="10863"/>
    <cellStyle name="Comma 4 2 67" xfId="3524"/>
    <cellStyle name="Comma 4 2 67 2" xfId="10864"/>
    <cellStyle name="Comma 4 2 68" xfId="3525"/>
    <cellStyle name="Comma 4 2 68 2" xfId="10865"/>
    <cellStyle name="Comma 4 2 69" xfId="3526"/>
    <cellStyle name="Comma 4 2 69 2" xfId="10866"/>
    <cellStyle name="Comma 4 2 7" xfId="3527"/>
    <cellStyle name="Comma 4 2 7 2" xfId="10867"/>
    <cellStyle name="Comma 4 2 70" xfId="3528"/>
    <cellStyle name="Comma 4 2 70 2" xfId="10868"/>
    <cellStyle name="Comma 4 2 71" xfId="3529"/>
    <cellStyle name="Comma 4 2 71 2" xfId="10869"/>
    <cellStyle name="Comma 4 2 72" xfId="3530"/>
    <cellStyle name="Comma 4 2 72 2" xfId="10870"/>
    <cellStyle name="Comma 4 2 73" xfId="3531"/>
    <cellStyle name="Comma 4 2 73 2" xfId="10871"/>
    <cellStyle name="Comma 4 2 74" xfId="3532"/>
    <cellStyle name="Comma 4 2 74 2" xfId="10872"/>
    <cellStyle name="Comma 4 2 75" xfId="3533"/>
    <cellStyle name="Comma 4 2 75 2" xfId="10873"/>
    <cellStyle name="Comma 4 2 76" xfId="3534"/>
    <cellStyle name="Comma 4 2 76 2" xfId="10874"/>
    <cellStyle name="Comma 4 2 77" xfId="3535"/>
    <cellStyle name="Comma 4 2 77 2" xfId="10875"/>
    <cellStyle name="Comma 4 2 78" xfId="3536"/>
    <cellStyle name="Comma 4 2 78 2" xfId="10876"/>
    <cellStyle name="Comma 4 2 79" xfId="3537"/>
    <cellStyle name="Comma 4 2 79 2" xfId="10877"/>
    <cellStyle name="Comma 4 2 8" xfId="3538"/>
    <cellStyle name="Comma 4 2 8 2" xfId="10878"/>
    <cellStyle name="Comma 4 2 80" xfId="3539"/>
    <cellStyle name="Comma 4 2 80 2" xfId="10879"/>
    <cellStyle name="Comma 4 2 81" xfId="3540"/>
    <cellStyle name="Comma 4 2 81 2" xfId="10880"/>
    <cellStyle name="Comma 4 2 82" xfId="3541"/>
    <cellStyle name="Comma 4 2 82 2" xfId="10881"/>
    <cellStyle name="Comma 4 2 83" xfId="3542"/>
    <cellStyle name="Comma 4 2 83 2" xfId="10882"/>
    <cellStyle name="Comma 4 2 84" xfId="3543"/>
    <cellStyle name="Comma 4 2 84 2" xfId="10883"/>
    <cellStyle name="Comma 4 2 85" xfId="3544"/>
    <cellStyle name="Comma 4 2 85 2" xfId="10884"/>
    <cellStyle name="Comma 4 2 86" xfId="3545"/>
    <cellStyle name="Comma 4 2 86 2" xfId="10885"/>
    <cellStyle name="Comma 4 2 87" xfId="3546"/>
    <cellStyle name="Comma 4 2 87 2" xfId="10886"/>
    <cellStyle name="Comma 4 2 88" xfId="3547"/>
    <cellStyle name="Comma 4 2 88 2" xfId="10887"/>
    <cellStyle name="Comma 4 2 89" xfId="3548"/>
    <cellStyle name="Comma 4 2 89 2" xfId="10888"/>
    <cellStyle name="Comma 4 2 9" xfId="3549"/>
    <cellStyle name="Comma 4 2 9 2" xfId="10889"/>
    <cellStyle name="Comma 4 2 90" xfId="3550"/>
    <cellStyle name="Comma 4 2 90 2" xfId="10890"/>
    <cellStyle name="Comma 4 2 91" xfId="3551"/>
    <cellStyle name="Comma 4 2 91 2" xfId="10891"/>
    <cellStyle name="Comma 4 2 92" xfId="3552"/>
    <cellStyle name="Comma 4 2 92 2" xfId="10892"/>
    <cellStyle name="Comma 4 2 93" xfId="3553"/>
    <cellStyle name="Comma 4 2 93 2" xfId="10893"/>
    <cellStyle name="Comma 4 2 94" xfId="3554"/>
    <cellStyle name="Comma 4 2 94 2" xfId="10894"/>
    <cellStyle name="Comma 4 2 95" xfId="3555"/>
    <cellStyle name="Comma 4 2 95 2" xfId="10895"/>
    <cellStyle name="Comma 4 2 96" xfId="3556"/>
    <cellStyle name="Comma 4 2 96 2" xfId="10896"/>
    <cellStyle name="Comma 4 2 97" xfId="3557"/>
    <cellStyle name="Comma 4 2 97 2" xfId="10897"/>
    <cellStyle name="Comma 4 2 98" xfId="3558"/>
    <cellStyle name="Comma 4 2 98 2" xfId="10898"/>
    <cellStyle name="Comma 4 2 99" xfId="3559"/>
    <cellStyle name="Comma 4 2 99 2" xfId="10899"/>
    <cellStyle name="Comma 4 20" xfId="3560"/>
    <cellStyle name="Comma 4 20 2" xfId="10900"/>
    <cellStyle name="Comma 4 21" xfId="3561"/>
    <cellStyle name="Comma 4 21 2" xfId="10901"/>
    <cellStyle name="Comma 4 22" xfId="3562"/>
    <cellStyle name="Comma 4 22 2" xfId="10902"/>
    <cellStyle name="Comma 4 23" xfId="3563"/>
    <cellStyle name="Comma 4 23 2" xfId="10903"/>
    <cellStyle name="Comma 4 24" xfId="3564"/>
    <cellStyle name="Comma 4 24 2" xfId="10904"/>
    <cellStyle name="Comma 4 25" xfId="3565"/>
    <cellStyle name="Comma 4 25 2" xfId="10905"/>
    <cellStyle name="Comma 4 26" xfId="3566"/>
    <cellStyle name="Comma 4 26 2" xfId="10906"/>
    <cellStyle name="Comma 4 27" xfId="3567"/>
    <cellStyle name="Comma 4 27 2" xfId="10907"/>
    <cellStyle name="Comma 4 28" xfId="3568"/>
    <cellStyle name="Comma 4 28 2" xfId="10908"/>
    <cellStyle name="Comma 4 29" xfId="3569"/>
    <cellStyle name="Comma 4 29 2" xfId="10909"/>
    <cellStyle name="Comma 4 3" xfId="3570"/>
    <cellStyle name="Comma 4 3 10" xfId="3571"/>
    <cellStyle name="Comma 4 3 10 2" xfId="10911"/>
    <cellStyle name="Comma 4 3 11" xfId="3572"/>
    <cellStyle name="Comma 4 3 11 2" xfId="10912"/>
    <cellStyle name="Comma 4 3 12" xfId="3573"/>
    <cellStyle name="Comma 4 3 12 2" xfId="10913"/>
    <cellStyle name="Comma 4 3 13" xfId="3574"/>
    <cellStyle name="Comma 4 3 13 2" xfId="10914"/>
    <cellStyle name="Comma 4 3 14" xfId="3575"/>
    <cellStyle name="Comma 4 3 14 2" xfId="10915"/>
    <cellStyle name="Comma 4 3 15" xfId="3576"/>
    <cellStyle name="Comma 4 3 15 2" xfId="10916"/>
    <cellStyle name="Comma 4 3 16" xfId="3577"/>
    <cellStyle name="Comma 4 3 16 2" xfId="10917"/>
    <cellStyle name="Comma 4 3 17" xfId="3578"/>
    <cellStyle name="Comma 4 3 17 2" xfId="10918"/>
    <cellStyle name="Comma 4 3 18" xfId="10910"/>
    <cellStyle name="Comma 4 3 2" xfId="3579"/>
    <cellStyle name="Comma 4 3 2 2" xfId="10919"/>
    <cellStyle name="Comma 4 3 3" xfId="3580"/>
    <cellStyle name="Comma 4 3 3 2" xfId="10920"/>
    <cellStyle name="Comma 4 3 4" xfId="3581"/>
    <cellStyle name="Comma 4 3 4 2" xfId="10921"/>
    <cellStyle name="Comma 4 3 5" xfId="3582"/>
    <cellStyle name="Comma 4 3 5 2" xfId="10922"/>
    <cellStyle name="Comma 4 3 6" xfId="3583"/>
    <cellStyle name="Comma 4 3 6 2" xfId="10923"/>
    <cellStyle name="Comma 4 3 7" xfId="3584"/>
    <cellStyle name="Comma 4 3 7 2" xfId="10924"/>
    <cellStyle name="Comma 4 3 8" xfId="3585"/>
    <cellStyle name="Comma 4 3 8 2" xfId="10925"/>
    <cellStyle name="Comma 4 3 9" xfId="3586"/>
    <cellStyle name="Comma 4 3 9 2" xfId="10926"/>
    <cellStyle name="Comma 4 30" xfId="3587"/>
    <cellStyle name="Comma 4 30 2" xfId="10927"/>
    <cellStyle name="Comma 4 31" xfId="3588"/>
    <cellStyle name="Comma 4 31 2" xfId="10928"/>
    <cellStyle name="Comma 4 32" xfId="3589"/>
    <cellStyle name="Comma 4 32 2" xfId="10929"/>
    <cellStyle name="Comma 4 33" xfId="3590"/>
    <cellStyle name="Comma 4 33 2" xfId="10930"/>
    <cellStyle name="Comma 4 34" xfId="3591"/>
    <cellStyle name="Comma 4 34 2" xfId="10931"/>
    <cellStyle name="Comma 4 35" xfId="3592"/>
    <cellStyle name="Comma 4 35 2" xfId="10932"/>
    <cellStyle name="Comma 4 36" xfId="3593"/>
    <cellStyle name="Comma 4 36 2" xfId="10933"/>
    <cellStyle name="Comma 4 37" xfId="3594"/>
    <cellStyle name="Comma 4 37 2" xfId="10934"/>
    <cellStyle name="Comma 4 38" xfId="3595"/>
    <cellStyle name="Comma 4 38 2" xfId="10935"/>
    <cellStyle name="Comma 4 39" xfId="3596"/>
    <cellStyle name="Comma 4 39 2" xfId="10936"/>
    <cellStyle name="Comma 4 4" xfId="3597"/>
    <cellStyle name="Comma 4 4 10" xfId="3598"/>
    <cellStyle name="Comma 4 4 10 2" xfId="10938"/>
    <cellStyle name="Comma 4 4 11" xfId="3599"/>
    <cellStyle name="Comma 4 4 11 2" xfId="10939"/>
    <cellStyle name="Comma 4 4 12" xfId="3600"/>
    <cellStyle name="Comma 4 4 12 2" xfId="10940"/>
    <cellStyle name="Comma 4 4 13" xfId="3601"/>
    <cellStyle name="Comma 4 4 13 2" xfId="10941"/>
    <cellStyle name="Comma 4 4 14" xfId="3602"/>
    <cellStyle name="Comma 4 4 14 2" xfId="10942"/>
    <cellStyle name="Comma 4 4 15" xfId="3603"/>
    <cellStyle name="Comma 4 4 15 2" xfId="10943"/>
    <cellStyle name="Comma 4 4 16" xfId="3604"/>
    <cellStyle name="Comma 4 4 16 2" xfId="10944"/>
    <cellStyle name="Comma 4 4 17" xfId="3605"/>
    <cellStyle name="Comma 4 4 17 2" xfId="10945"/>
    <cellStyle name="Comma 4 4 18" xfId="10937"/>
    <cellStyle name="Comma 4 4 2" xfId="3606"/>
    <cellStyle name="Comma 4 4 2 2" xfId="10946"/>
    <cellStyle name="Comma 4 4 3" xfId="3607"/>
    <cellStyle name="Comma 4 4 3 2" xfId="10947"/>
    <cellStyle name="Comma 4 4 4" xfId="3608"/>
    <cellStyle name="Comma 4 4 4 2" xfId="10948"/>
    <cellStyle name="Comma 4 4 5" xfId="3609"/>
    <cellStyle name="Comma 4 4 5 2" xfId="10949"/>
    <cellStyle name="Comma 4 4 6" xfId="3610"/>
    <cellStyle name="Comma 4 4 6 2" xfId="10950"/>
    <cellStyle name="Comma 4 4 7" xfId="3611"/>
    <cellStyle name="Comma 4 4 7 2" xfId="10951"/>
    <cellStyle name="Comma 4 4 8" xfId="3612"/>
    <cellStyle name="Comma 4 4 8 2" xfId="10952"/>
    <cellStyle name="Comma 4 4 9" xfId="3613"/>
    <cellStyle name="Comma 4 4 9 2" xfId="10953"/>
    <cellStyle name="Comma 4 40" xfId="3614"/>
    <cellStyle name="Comma 4 40 2" xfId="10954"/>
    <cellStyle name="Comma 4 41" xfId="3615"/>
    <cellStyle name="Comma 4 41 2" xfId="10955"/>
    <cellStyle name="Comma 4 42" xfId="3616"/>
    <cellStyle name="Comma 4 42 2" xfId="10956"/>
    <cellStyle name="Comma 4 43" xfId="3617"/>
    <cellStyle name="Comma 4 43 2" xfId="10957"/>
    <cellStyle name="Comma 4 44" xfId="3618"/>
    <cellStyle name="Comma 4 44 2" xfId="10958"/>
    <cellStyle name="Comma 4 45" xfId="3619"/>
    <cellStyle name="Comma 4 45 2" xfId="10959"/>
    <cellStyle name="Comma 4 46" xfId="3620"/>
    <cellStyle name="Comma 4 46 2" xfId="10960"/>
    <cellStyle name="Comma 4 47" xfId="3621"/>
    <cellStyle name="Comma 4 47 2" xfId="10961"/>
    <cellStyle name="Comma 4 48" xfId="3622"/>
    <cellStyle name="Comma 4 48 2" xfId="10962"/>
    <cellStyle name="Comma 4 49" xfId="3623"/>
    <cellStyle name="Comma 4 49 2" xfId="10963"/>
    <cellStyle name="Comma 4 5" xfId="3624"/>
    <cellStyle name="Comma 4 5 2" xfId="10964"/>
    <cellStyle name="Comma 4 50" xfId="3625"/>
    <cellStyle name="Comma 4 50 2" xfId="10965"/>
    <cellStyle name="Comma 4 51" xfId="3626"/>
    <cellStyle name="Comma 4 51 2" xfId="10966"/>
    <cellStyle name="Comma 4 52" xfId="3627"/>
    <cellStyle name="Comma 4 52 2" xfId="10967"/>
    <cellStyle name="Comma 4 53" xfId="3628"/>
    <cellStyle name="Comma 4 53 2" xfId="10968"/>
    <cellStyle name="Comma 4 54" xfId="3629"/>
    <cellStyle name="Comma 4 54 2" xfId="10969"/>
    <cellStyle name="Comma 4 55" xfId="3630"/>
    <cellStyle name="Comma 4 55 2" xfId="10970"/>
    <cellStyle name="Comma 4 56" xfId="3631"/>
    <cellStyle name="Comma 4 56 2" xfId="10971"/>
    <cellStyle name="Comma 4 57" xfId="3632"/>
    <cellStyle name="Comma 4 57 2" xfId="10972"/>
    <cellStyle name="Comma 4 58" xfId="3633"/>
    <cellStyle name="Comma 4 58 2" xfId="10973"/>
    <cellStyle name="Comma 4 59" xfId="3634"/>
    <cellStyle name="Comma 4 59 2" xfId="10974"/>
    <cellStyle name="Comma 4 6" xfId="3635"/>
    <cellStyle name="Comma 4 6 2" xfId="10975"/>
    <cellStyle name="Comma 4 60" xfId="3636"/>
    <cellStyle name="Comma 4 60 2" xfId="10976"/>
    <cellStyle name="Comma 4 61" xfId="3637"/>
    <cellStyle name="Comma 4 61 2" xfId="10977"/>
    <cellStyle name="Comma 4 62" xfId="3638"/>
    <cellStyle name="Comma 4 62 2" xfId="10978"/>
    <cellStyle name="Comma 4 63" xfId="3639"/>
    <cellStyle name="Comma 4 63 2" xfId="10979"/>
    <cellStyle name="Comma 4 64" xfId="3640"/>
    <cellStyle name="Comma 4 64 2" xfId="10980"/>
    <cellStyle name="Comma 4 65" xfId="3641"/>
    <cellStyle name="Comma 4 65 2" xfId="10981"/>
    <cellStyle name="Comma 4 66" xfId="3642"/>
    <cellStyle name="Comma 4 66 2" xfId="10982"/>
    <cellStyle name="Comma 4 67" xfId="3643"/>
    <cellStyle name="Comma 4 67 2" xfId="10983"/>
    <cellStyle name="Comma 4 68" xfId="3644"/>
    <cellStyle name="Comma 4 68 2" xfId="10984"/>
    <cellStyle name="Comma 4 69" xfId="3645"/>
    <cellStyle name="Comma 4 69 2" xfId="10985"/>
    <cellStyle name="Comma 4 7" xfId="3646"/>
    <cellStyle name="Comma 4 7 2" xfId="10986"/>
    <cellStyle name="Comma 4 70" xfId="3647"/>
    <cellStyle name="Comma 4 70 2" xfId="10987"/>
    <cellStyle name="Comma 4 71" xfId="3648"/>
    <cellStyle name="Comma 4 71 2" xfId="10988"/>
    <cellStyle name="Comma 4 72" xfId="3649"/>
    <cellStyle name="Comma 4 72 2" xfId="10989"/>
    <cellStyle name="Comma 4 73" xfId="3650"/>
    <cellStyle name="Comma 4 73 2" xfId="10990"/>
    <cellStyle name="Comma 4 74" xfId="3651"/>
    <cellStyle name="Comma 4 74 2" xfId="10991"/>
    <cellStyle name="Comma 4 75" xfId="3652"/>
    <cellStyle name="Comma 4 75 2" xfId="10992"/>
    <cellStyle name="Comma 4 76" xfId="3653"/>
    <cellStyle name="Comma 4 76 2" xfId="10993"/>
    <cellStyle name="Comma 4 77" xfId="3654"/>
    <cellStyle name="Comma 4 77 2" xfId="10994"/>
    <cellStyle name="Comma 4 78" xfId="3655"/>
    <cellStyle name="Comma 4 78 2" xfId="10995"/>
    <cellStyle name="Comma 4 79" xfId="4412"/>
    <cellStyle name="Comma 4 79 10" xfId="16671"/>
    <cellStyle name="Comma 4 79 2" xfId="4623"/>
    <cellStyle name="Comma 4 79 2 2" xfId="4859"/>
    <cellStyle name="Comma 4 79 2 2 2" xfId="8602"/>
    <cellStyle name="Comma 4 79 2 2 2 2" xfId="15150"/>
    <cellStyle name="Comma 4 79 2 2 3" xfId="6883"/>
    <cellStyle name="Comma 4 79 2 2 3 2" xfId="13569"/>
    <cellStyle name="Comma 4 79 2 2 4" xfId="11784"/>
    <cellStyle name="Comma 4 79 2 3" xfId="5450"/>
    <cellStyle name="Comma 4 79 2 3 2" xfId="9193"/>
    <cellStyle name="Comma 4 79 2 3 2 2" xfId="15737"/>
    <cellStyle name="Comma 4 79 2 3 3" xfId="7474"/>
    <cellStyle name="Comma 4 79 2 3 3 2" xfId="14156"/>
    <cellStyle name="Comma 4 79 2 3 4" xfId="12371"/>
    <cellStyle name="Comma 4 79 2 4" xfId="5888"/>
    <cellStyle name="Comma 4 79 2 4 2" xfId="9629"/>
    <cellStyle name="Comma 4 79 2 4 2 2" xfId="16131"/>
    <cellStyle name="Comma 4 79 2 4 3" xfId="7910"/>
    <cellStyle name="Comma 4 79 2 4 3 2" xfId="14550"/>
    <cellStyle name="Comma 4 79 2 4 4" xfId="12781"/>
    <cellStyle name="Comma 4 79 2 5" xfId="9855"/>
    <cellStyle name="Comma 4 79 2 5 2" xfId="16336"/>
    <cellStyle name="Comma 4 79 2 6" xfId="8387"/>
    <cellStyle name="Comma 4 79 2 6 2" xfId="14944"/>
    <cellStyle name="Comma 4 79 2 7" xfId="6668"/>
    <cellStyle name="Comma 4 79 2 7 2" xfId="13358"/>
    <cellStyle name="Comma 4 79 2 8" xfId="11568"/>
    <cellStyle name="Comma 4 79 2 9" xfId="16672"/>
    <cellStyle name="Comma 4 79 3" xfId="4858"/>
    <cellStyle name="Comma 4 79 3 2" xfId="8601"/>
    <cellStyle name="Comma 4 79 3 2 2" xfId="15149"/>
    <cellStyle name="Comma 4 79 3 3" xfId="6882"/>
    <cellStyle name="Comma 4 79 3 3 2" xfId="13568"/>
    <cellStyle name="Comma 4 79 3 4" xfId="11783"/>
    <cellStyle name="Comma 4 79 4" xfId="5253"/>
    <cellStyle name="Comma 4 79 4 2" xfId="8996"/>
    <cellStyle name="Comma 4 79 4 2 2" xfId="15540"/>
    <cellStyle name="Comma 4 79 4 3" xfId="7277"/>
    <cellStyle name="Comma 4 79 4 3 2" xfId="13959"/>
    <cellStyle name="Comma 4 79 4 4" xfId="12174"/>
    <cellStyle name="Comma 4 79 5" xfId="5691"/>
    <cellStyle name="Comma 4 79 5 2" xfId="9432"/>
    <cellStyle name="Comma 4 79 5 2 2" xfId="15934"/>
    <cellStyle name="Comma 4 79 5 3" xfId="7713"/>
    <cellStyle name="Comma 4 79 5 3 2" xfId="14353"/>
    <cellStyle name="Comma 4 79 5 4" xfId="12584"/>
    <cellStyle name="Comma 4 79 6" xfId="9854"/>
    <cellStyle name="Comma 4 79 6 2" xfId="16335"/>
    <cellStyle name="Comma 4 79 7" xfId="8190"/>
    <cellStyle name="Comma 4 79 7 2" xfId="14747"/>
    <cellStyle name="Comma 4 79 8" xfId="6471"/>
    <cellStyle name="Comma 4 79 8 2" xfId="13161"/>
    <cellStyle name="Comma 4 79 9" xfId="11368"/>
    <cellStyle name="Comma 4 8" xfId="3656"/>
    <cellStyle name="Comma 4 8 2" xfId="10996"/>
    <cellStyle name="Comma 4 80" xfId="4426"/>
    <cellStyle name="Comma 4 80 10" xfId="16673"/>
    <cellStyle name="Comma 4 80 2" xfId="4635"/>
    <cellStyle name="Comma 4 80 2 2" xfId="4861"/>
    <cellStyle name="Comma 4 80 2 2 2" xfId="8604"/>
    <cellStyle name="Comma 4 80 2 2 2 2" xfId="15152"/>
    <cellStyle name="Comma 4 80 2 2 3" xfId="6885"/>
    <cellStyle name="Comma 4 80 2 2 3 2" xfId="13571"/>
    <cellStyle name="Comma 4 80 2 2 4" xfId="11786"/>
    <cellStyle name="Comma 4 80 2 3" xfId="5462"/>
    <cellStyle name="Comma 4 80 2 3 2" xfId="9205"/>
    <cellStyle name="Comma 4 80 2 3 2 2" xfId="15749"/>
    <cellStyle name="Comma 4 80 2 3 3" xfId="7486"/>
    <cellStyle name="Comma 4 80 2 3 3 2" xfId="14168"/>
    <cellStyle name="Comma 4 80 2 3 4" xfId="12383"/>
    <cellStyle name="Comma 4 80 2 4" xfId="5900"/>
    <cellStyle name="Comma 4 80 2 4 2" xfId="9641"/>
    <cellStyle name="Comma 4 80 2 4 2 2" xfId="16143"/>
    <cellStyle name="Comma 4 80 2 4 3" xfId="7922"/>
    <cellStyle name="Comma 4 80 2 4 3 2" xfId="14562"/>
    <cellStyle name="Comma 4 80 2 4 4" xfId="12793"/>
    <cellStyle name="Comma 4 80 2 5" xfId="9857"/>
    <cellStyle name="Comma 4 80 2 5 2" xfId="16338"/>
    <cellStyle name="Comma 4 80 2 6" xfId="8399"/>
    <cellStyle name="Comma 4 80 2 6 2" xfId="14956"/>
    <cellStyle name="Comma 4 80 2 7" xfId="6680"/>
    <cellStyle name="Comma 4 80 2 7 2" xfId="13370"/>
    <cellStyle name="Comma 4 80 2 8" xfId="11580"/>
    <cellStyle name="Comma 4 80 2 9" xfId="16674"/>
    <cellStyle name="Comma 4 80 3" xfId="4860"/>
    <cellStyle name="Comma 4 80 3 2" xfId="8603"/>
    <cellStyle name="Comma 4 80 3 2 2" xfId="15151"/>
    <cellStyle name="Comma 4 80 3 3" xfId="6884"/>
    <cellStyle name="Comma 4 80 3 3 2" xfId="13570"/>
    <cellStyle name="Comma 4 80 3 4" xfId="11785"/>
    <cellStyle name="Comma 4 80 4" xfId="5265"/>
    <cellStyle name="Comma 4 80 4 2" xfId="9008"/>
    <cellStyle name="Comma 4 80 4 2 2" xfId="15552"/>
    <cellStyle name="Comma 4 80 4 3" xfId="7289"/>
    <cellStyle name="Comma 4 80 4 3 2" xfId="13971"/>
    <cellStyle name="Comma 4 80 4 4" xfId="12186"/>
    <cellStyle name="Comma 4 80 5" xfId="5703"/>
    <cellStyle name="Comma 4 80 5 2" xfId="9444"/>
    <cellStyle name="Comma 4 80 5 2 2" xfId="15946"/>
    <cellStyle name="Comma 4 80 5 3" xfId="7725"/>
    <cellStyle name="Comma 4 80 5 3 2" xfId="14365"/>
    <cellStyle name="Comma 4 80 5 4" xfId="12596"/>
    <cellStyle name="Comma 4 80 6" xfId="9856"/>
    <cellStyle name="Comma 4 80 6 2" xfId="16337"/>
    <cellStyle name="Comma 4 80 7" xfId="8202"/>
    <cellStyle name="Comma 4 80 7 2" xfId="14759"/>
    <cellStyle name="Comma 4 80 8" xfId="6483"/>
    <cellStyle name="Comma 4 80 8 2" xfId="13173"/>
    <cellStyle name="Comma 4 80 9" xfId="11381"/>
    <cellStyle name="Comma 4 81" xfId="4476"/>
    <cellStyle name="Comma 4 81 2" xfId="11421"/>
    <cellStyle name="Comma 4 81 3" xfId="16675"/>
    <cellStyle name="Comma 4 82" xfId="10275"/>
    <cellStyle name="Comma 4 9" xfId="3657"/>
    <cellStyle name="Comma 4 9 2" xfId="10997"/>
    <cellStyle name="Comma 40" xfId="10243"/>
    <cellStyle name="Comma 41" xfId="16639"/>
    <cellStyle name="Comma 5" xfId="3658"/>
    <cellStyle name="Comma 5 10" xfId="3659"/>
    <cellStyle name="Comma 5 10 2" xfId="10999"/>
    <cellStyle name="Comma 5 11" xfId="3660"/>
    <cellStyle name="Comma 5 11 2" xfId="11000"/>
    <cellStyle name="Comma 5 12" xfId="3661"/>
    <cellStyle name="Comma 5 12 2" xfId="11001"/>
    <cellStyle name="Comma 5 13" xfId="3662"/>
    <cellStyle name="Comma 5 13 2" xfId="11002"/>
    <cellStyle name="Comma 5 14" xfId="3663"/>
    <cellStyle name="Comma 5 14 2" xfId="11003"/>
    <cellStyle name="Comma 5 15" xfId="3664"/>
    <cellStyle name="Comma 5 15 2" xfId="11004"/>
    <cellStyle name="Comma 5 16" xfId="3665"/>
    <cellStyle name="Comma 5 16 2" xfId="11005"/>
    <cellStyle name="Comma 5 17" xfId="3666"/>
    <cellStyle name="Comma 5 17 2" xfId="11006"/>
    <cellStyle name="Comma 5 18" xfId="3667"/>
    <cellStyle name="Comma 5 18 2" xfId="11007"/>
    <cellStyle name="Comma 5 19" xfId="3668"/>
    <cellStyle name="Comma 5 19 2" xfId="11008"/>
    <cellStyle name="Comma 5 2" xfId="3669"/>
    <cellStyle name="Comma 5 2 10" xfId="3670"/>
    <cellStyle name="Comma 5 2 10 2" xfId="11010"/>
    <cellStyle name="Comma 5 2 11" xfId="3671"/>
    <cellStyle name="Comma 5 2 11 2" xfId="11011"/>
    <cellStyle name="Comma 5 2 12" xfId="3672"/>
    <cellStyle name="Comma 5 2 12 2" xfId="11012"/>
    <cellStyle name="Comma 5 2 13" xfId="3673"/>
    <cellStyle name="Comma 5 2 13 2" xfId="11013"/>
    <cellStyle name="Comma 5 2 14" xfId="3674"/>
    <cellStyle name="Comma 5 2 14 2" xfId="11014"/>
    <cellStyle name="Comma 5 2 15" xfId="3675"/>
    <cellStyle name="Comma 5 2 15 2" xfId="11015"/>
    <cellStyle name="Comma 5 2 16" xfId="3676"/>
    <cellStyle name="Comma 5 2 16 2" xfId="11016"/>
    <cellStyle name="Comma 5 2 17" xfId="3677"/>
    <cellStyle name="Comma 5 2 17 2" xfId="11017"/>
    <cellStyle name="Comma 5 2 18" xfId="11009"/>
    <cellStyle name="Comma 5 2 2" xfId="3678"/>
    <cellStyle name="Comma 5 2 2 10" xfId="3679"/>
    <cellStyle name="Comma 5 2 2 10 2" xfId="11019"/>
    <cellStyle name="Comma 5 2 2 11" xfId="3680"/>
    <cellStyle name="Comma 5 2 2 11 2" xfId="11020"/>
    <cellStyle name="Comma 5 2 2 12" xfId="3681"/>
    <cellStyle name="Comma 5 2 2 12 2" xfId="11021"/>
    <cellStyle name="Comma 5 2 2 13" xfId="3682"/>
    <cellStyle name="Comma 5 2 2 13 2" xfId="11022"/>
    <cellStyle name="Comma 5 2 2 14" xfId="3683"/>
    <cellStyle name="Comma 5 2 2 14 2" xfId="11023"/>
    <cellStyle name="Comma 5 2 2 15" xfId="3684"/>
    <cellStyle name="Comma 5 2 2 15 2" xfId="11024"/>
    <cellStyle name="Comma 5 2 2 16" xfId="3685"/>
    <cellStyle name="Comma 5 2 2 16 2" xfId="11025"/>
    <cellStyle name="Comma 5 2 2 17" xfId="11018"/>
    <cellStyle name="Comma 5 2 2 2" xfId="3686"/>
    <cellStyle name="Comma 5 2 2 2 10" xfId="3687"/>
    <cellStyle name="Comma 5 2 2 2 10 2" xfId="11027"/>
    <cellStyle name="Comma 5 2 2 2 11" xfId="3688"/>
    <cellStyle name="Comma 5 2 2 2 11 2" xfId="11028"/>
    <cellStyle name="Comma 5 2 2 2 12" xfId="3689"/>
    <cellStyle name="Comma 5 2 2 2 12 2" xfId="11029"/>
    <cellStyle name="Comma 5 2 2 2 13" xfId="3690"/>
    <cellStyle name="Comma 5 2 2 2 13 2" xfId="11030"/>
    <cellStyle name="Comma 5 2 2 2 14" xfId="11026"/>
    <cellStyle name="Comma 5 2 2 2 2" xfId="3691"/>
    <cellStyle name="Comma 5 2 2 2 2 2" xfId="11031"/>
    <cellStyle name="Comma 5 2 2 2 3" xfId="3692"/>
    <cellStyle name="Comma 5 2 2 2 3 2" xfId="11032"/>
    <cellStyle name="Comma 5 2 2 2 4" xfId="3693"/>
    <cellStyle name="Comma 5 2 2 2 4 2" xfId="11033"/>
    <cellStyle name="Comma 5 2 2 2 5" xfId="3694"/>
    <cellStyle name="Comma 5 2 2 2 5 2" xfId="11034"/>
    <cellStyle name="Comma 5 2 2 2 6" xfId="3695"/>
    <cellStyle name="Comma 5 2 2 2 6 2" xfId="11035"/>
    <cellStyle name="Comma 5 2 2 2 7" xfId="3696"/>
    <cellStyle name="Comma 5 2 2 2 7 2" xfId="11036"/>
    <cellStyle name="Comma 5 2 2 2 8" xfId="3697"/>
    <cellStyle name="Comma 5 2 2 2 8 2" xfId="11037"/>
    <cellStyle name="Comma 5 2 2 2 9" xfId="3698"/>
    <cellStyle name="Comma 5 2 2 2 9 2" xfId="11038"/>
    <cellStyle name="Comma 5 2 2 3" xfId="3699"/>
    <cellStyle name="Comma 5 2 2 3 10" xfId="3700"/>
    <cellStyle name="Comma 5 2 2 3 10 2" xfId="11040"/>
    <cellStyle name="Comma 5 2 2 3 11" xfId="3701"/>
    <cellStyle name="Comma 5 2 2 3 11 2" xfId="11041"/>
    <cellStyle name="Comma 5 2 2 3 12" xfId="3702"/>
    <cellStyle name="Comma 5 2 2 3 12 2" xfId="11042"/>
    <cellStyle name="Comma 5 2 2 3 13" xfId="3703"/>
    <cellStyle name="Comma 5 2 2 3 13 2" xfId="11043"/>
    <cellStyle name="Comma 5 2 2 3 14" xfId="11039"/>
    <cellStyle name="Comma 5 2 2 3 2" xfId="3704"/>
    <cellStyle name="Comma 5 2 2 3 2 2" xfId="11044"/>
    <cellStyle name="Comma 5 2 2 3 3" xfId="3705"/>
    <cellStyle name="Comma 5 2 2 3 3 2" xfId="11045"/>
    <cellStyle name="Comma 5 2 2 3 4" xfId="3706"/>
    <cellStyle name="Comma 5 2 2 3 4 2" xfId="11046"/>
    <cellStyle name="Comma 5 2 2 3 5" xfId="3707"/>
    <cellStyle name="Comma 5 2 2 3 5 2" xfId="11047"/>
    <cellStyle name="Comma 5 2 2 3 6" xfId="3708"/>
    <cellStyle name="Comma 5 2 2 3 6 2" xfId="11048"/>
    <cellStyle name="Comma 5 2 2 3 7" xfId="3709"/>
    <cellStyle name="Comma 5 2 2 3 7 2" xfId="11049"/>
    <cellStyle name="Comma 5 2 2 3 8" xfId="3710"/>
    <cellStyle name="Comma 5 2 2 3 8 2" xfId="11050"/>
    <cellStyle name="Comma 5 2 2 3 9" xfId="3711"/>
    <cellStyle name="Comma 5 2 2 3 9 2" xfId="11051"/>
    <cellStyle name="Comma 5 2 2 4" xfId="3712"/>
    <cellStyle name="Comma 5 2 2 4 10" xfId="3713"/>
    <cellStyle name="Comma 5 2 2 4 10 2" xfId="11053"/>
    <cellStyle name="Comma 5 2 2 4 11" xfId="3714"/>
    <cellStyle name="Comma 5 2 2 4 11 2" xfId="11054"/>
    <cellStyle name="Comma 5 2 2 4 12" xfId="3715"/>
    <cellStyle name="Comma 5 2 2 4 12 2" xfId="11055"/>
    <cellStyle name="Comma 5 2 2 4 13" xfId="3716"/>
    <cellStyle name="Comma 5 2 2 4 13 2" xfId="11056"/>
    <cellStyle name="Comma 5 2 2 4 14" xfId="3717"/>
    <cellStyle name="Comma 5 2 2 4 14 2" xfId="3718"/>
    <cellStyle name="Comma 5 2 2 4 14 2 2" xfId="11058"/>
    <cellStyle name="Comma 5 2 2 4 14 3" xfId="3719"/>
    <cellStyle name="Comma 5 2 2 4 14 3 2" xfId="3720"/>
    <cellStyle name="Comma 5 2 2 4 14 3 2 2" xfId="11060"/>
    <cellStyle name="Comma 5 2 2 4 14 3 3" xfId="11059"/>
    <cellStyle name="Comma 5 2 2 4 14 4" xfId="11057"/>
    <cellStyle name="Comma 5 2 2 4 15" xfId="11052"/>
    <cellStyle name="Comma 5 2 2 4 2" xfId="3721"/>
    <cellStyle name="Comma 5 2 2 4 2 2" xfId="11061"/>
    <cellStyle name="Comma 5 2 2 4 3" xfId="3722"/>
    <cellStyle name="Comma 5 2 2 4 3 2" xfId="11062"/>
    <cellStyle name="Comma 5 2 2 4 4" xfId="3723"/>
    <cellStyle name="Comma 5 2 2 4 4 2" xfId="11063"/>
    <cellStyle name="Comma 5 2 2 4 5" xfId="3724"/>
    <cellStyle name="Comma 5 2 2 4 5 2" xfId="11064"/>
    <cellStyle name="Comma 5 2 2 4 6" xfId="3725"/>
    <cellStyle name="Comma 5 2 2 4 6 2" xfId="11065"/>
    <cellStyle name="Comma 5 2 2 4 7" xfId="3726"/>
    <cellStyle name="Comma 5 2 2 4 7 2" xfId="11066"/>
    <cellStyle name="Comma 5 2 2 4 8" xfId="3727"/>
    <cellStyle name="Comma 5 2 2 4 8 2" xfId="11067"/>
    <cellStyle name="Comma 5 2 2 4 9" xfId="3728"/>
    <cellStyle name="Comma 5 2 2 4 9 2" xfId="11068"/>
    <cellStyle name="Comma 5 2 2 5" xfId="3729"/>
    <cellStyle name="Comma 5 2 2 5 2" xfId="11069"/>
    <cellStyle name="Comma 5 2 2 6" xfId="3730"/>
    <cellStyle name="Comma 5 2 2 6 2" xfId="11070"/>
    <cellStyle name="Comma 5 2 2 7" xfId="3731"/>
    <cellStyle name="Comma 5 2 2 7 2" xfId="11071"/>
    <cellStyle name="Comma 5 2 2 8" xfId="3732"/>
    <cellStyle name="Comma 5 2 2 8 2" xfId="11072"/>
    <cellStyle name="Comma 5 2 2 9" xfId="3733"/>
    <cellStyle name="Comma 5 2 2 9 2" xfId="11073"/>
    <cellStyle name="Comma 5 2 3" xfId="3734"/>
    <cellStyle name="Comma 5 2 3 10" xfId="3735"/>
    <cellStyle name="Comma 5 2 3 10 2" xfId="11075"/>
    <cellStyle name="Comma 5 2 3 11" xfId="3736"/>
    <cellStyle name="Comma 5 2 3 11 2" xfId="11076"/>
    <cellStyle name="Comma 5 2 3 12" xfId="3737"/>
    <cellStyle name="Comma 5 2 3 12 2" xfId="11077"/>
    <cellStyle name="Comma 5 2 3 13" xfId="3738"/>
    <cellStyle name="Comma 5 2 3 13 2" xfId="11078"/>
    <cellStyle name="Comma 5 2 3 14" xfId="11074"/>
    <cellStyle name="Comma 5 2 3 2" xfId="3739"/>
    <cellStyle name="Comma 5 2 3 2 2" xfId="11079"/>
    <cellStyle name="Comma 5 2 3 3" xfId="3740"/>
    <cellStyle name="Comma 5 2 3 3 2" xfId="11080"/>
    <cellStyle name="Comma 5 2 3 4" xfId="3741"/>
    <cellStyle name="Comma 5 2 3 4 2" xfId="11081"/>
    <cellStyle name="Comma 5 2 3 5" xfId="3742"/>
    <cellStyle name="Comma 5 2 3 5 2" xfId="11082"/>
    <cellStyle name="Comma 5 2 3 6" xfId="3743"/>
    <cellStyle name="Comma 5 2 3 6 2" xfId="11083"/>
    <cellStyle name="Comma 5 2 3 7" xfId="3744"/>
    <cellStyle name="Comma 5 2 3 7 2" xfId="11084"/>
    <cellStyle name="Comma 5 2 3 8" xfId="3745"/>
    <cellStyle name="Comma 5 2 3 8 2" xfId="11085"/>
    <cellStyle name="Comma 5 2 3 9" xfId="3746"/>
    <cellStyle name="Comma 5 2 3 9 2" xfId="11086"/>
    <cellStyle name="Comma 5 2 4" xfId="3747"/>
    <cellStyle name="Comma 5 2 4 2" xfId="11087"/>
    <cellStyle name="Comma 5 2 5" xfId="3748"/>
    <cellStyle name="Comma 5 2 5 2" xfId="11088"/>
    <cellStyle name="Comma 5 2 6" xfId="3749"/>
    <cellStyle name="Comma 5 2 6 2" xfId="11089"/>
    <cellStyle name="Comma 5 2 7" xfId="3750"/>
    <cellStyle name="Comma 5 2 7 2" xfId="11090"/>
    <cellStyle name="Comma 5 2 8" xfId="3751"/>
    <cellStyle name="Comma 5 2 8 2" xfId="11091"/>
    <cellStyle name="Comma 5 2 9" xfId="3752"/>
    <cellStyle name="Comma 5 2 9 2" xfId="11092"/>
    <cellStyle name="Comma 5 20" xfId="3753"/>
    <cellStyle name="Comma 5 20 2" xfId="11093"/>
    <cellStyle name="Comma 5 21" xfId="3754"/>
    <cellStyle name="Comma 5 21 2" xfId="11094"/>
    <cellStyle name="Comma 5 22" xfId="3755"/>
    <cellStyle name="Comma 5 22 2" xfId="11095"/>
    <cellStyle name="Comma 5 23" xfId="3756"/>
    <cellStyle name="Comma 5 23 2" xfId="11096"/>
    <cellStyle name="Comma 5 24" xfId="3757"/>
    <cellStyle name="Comma 5 24 2" xfId="11097"/>
    <cellStyle name="Comma 5 25" xfId="3758"/>
    <cellStyle name="Comma 5 25 2" xfId="11098"/>
    <cellStyle name="Comma 5 26" xfId="3759"/>
    <cellStyle name="Comma 5 26 2" xfId="11099"/>
    <cellStyle name="Comma 5 27" xfId="3760"/>
    <cellStyle name="Comma 5 27 2" xfId="11100"/>
    <cellStyle name="Comma 5 28" xfId="3761"/>
    <cellStyle name="Comma 5 28 2" xfId="11101"/>
    <cellStyle name="Comma 5 29" xfId="3762"/>
    <cellStyle name="Comma 5 29 2" xfId="11102"/>
    <cellStyle name="Comma 5 3" xfId="3763"/>
    <cellStyle name="Comma 5 3 10" xfId="3764"/>
    <cellStyle name="Comma 5 3 10 2" xfId="11104"/>
    <cellStyle name="Comma 5 3 11" xfId="3765"/>
    <cellStyle name="Comma 5 3 11 2" xfId="11105"/>
    <cellStyle name="Comma 5 3 12" xfId="3766"/>
    <cellStyle name="Comma 5 3 12 2" xfId="11106"/>
    <cellStyle name="Comma 5 3 13" xfId="3767"/>
    <cellStyle name="Comma 5 3 13 2" xfId="11107"/>
    <cellStyle name="Comma 5 3 14" xfId="3768"/>
    <cellStyle name="Comma 5 3 14 2" xfId="11108"/>
    <cellStyle name="Comma 5 3 15" xfId="3769"/>
    <cellStyle name="Comma 5 3 15 2" xfId="11109"/>
    <cellStyle name="Comma 5 3 16" xfId="3770"/>
    <cellStyle name="Comma 5 3 16 2" xfId="11110"/>
    <cellStyle name="Comma 5 3 17" xfId="3771"/>
    <cellStyle name="Comma 5 3 17 2" xfId="11111"/>
    <cellStyle name="Comma 5 3 18" xfId="11103"/>
    <cellStyle name="Comma 5 3 2" xfId="3772"/>
    <cellStyle name="Comma 5 3 2 2" xfId="11112"/>
    <cellStyle name="Comma 5 3 3" xfId="3773"/>
    <cellStyle name="Comma 5 3 3 2" xfId="11113"/>
    <cellStyle name="Comma 5 3 4" xfId="3774"/>
    <cellStyle name="Comma 5 3 4 2" xfId="11114"/>
    <cellStyle name="Comma 5 3 5" xfId="3775"/>
    <cellStyle name="Comma 5 3 5 2" xfId="11115"/>
    <cellStyle name="Comma 5 3 6" xfId="3776"/>
    <cellStyle name="Comma 5 3 6 2" xfId="11116"/>
    <cellStyle name="Comma 5 3 7" xfId="3777"/>
    <cellStyle name="Comma 5 3 7 2" xfId="11117"/>
    <cellStyle name="Comma 5 3 8" xfId="3778"/>
    <cellStyle name="Comma 5 3 8 2" xfId="11118"/>
    <cellStyle name="Comma 5 3 9" xfId="3779"/>
    <cellStyle name="Comma 5 3 9 2" xfId="11119"/>
    <cellStyle name="Comma 5 30" xfId="3780"/>
    <cellStyle name="Comma 5 30 2" xfId="11120"/>
    <cellStyle name="Comma 5 31" xfId="3781"/>
    <cellStyle name="Comma 5 31 2" xfId="11121"/>
    <cellStyle name="Comma 5 32" xfId="3782"/>
    <cellStyle name="Comma 5 32 2" xfId="11122"/>
    <cellStyle name="Comma 5 33" xfId="3783"/>
    <cellStyle name="Comma 5 33 2" xfId="11123"/>
    <cellStyle name="Comma 5 34" xfId="3784"/>
    <cellStyle name="Comma 5 34 2" xfId="11124"/>
    <cellStyle name="Comma 5 35" xfId="3785"/>
    <cellStyle name="Comma 5 35 2" xfId="11125"/>
    <cellStyle name="Comma 5 36" xfId="3786"/>
    <cellStyle name="Comma 5 36 2" xfId="11126"/>
    <cellStyle name="Comma 5 37" xfId="3787"/>
    <cellStyle name="Comma 5 37 2" xfId="11127"/>
    <cellStyle name="Comma 5 38" xfId="3788"/>
    <cellStyle name="Comma 5 38 2" xfId="11128"/>
    <cellStyle name="Comma 5 39" xfId="3789"/>
    <cellStyle name="Comma 5 39 2" xfId="11129"/>
    <cellStyle name="Comma 5 4" xfId="3790"/>
    <cellStyle name="Comma 5 4 2" xfId="11130"/>
    <cellStyle name="Comma 5 40" xfId="3791"/>
    <cellStyle name="Comma 5 40 2" xfId="11131"/>
    <cellStyle name="Comma 5 41" xfId="3792"/>
    <cellStyle name="Comma 5 41 2" xfId="11132"/>
    <cellStyle name="Comma 5 42" xfId="3793"/>
    <cellStyle name="Comma 5 42 2" xfId="11133"/>
    <cellStyle name="Comma 5 43" xfId="3794"/>
    <cellStyle name="Comma 5 43 2" xfId="11134"/>
    <cellStyle name="Comma 5 44" xfId="3795"/>
    <cellStyle name="Comma 5 44 2" xfId="11135"/>
    <cellStyle name="Comma 5 45" xfId="3796"/>
    <cellStyle name="Comma 5 45 2" xfId="11136"/>
    <cellStyle name="Comma 5 46" xfId="3797"/>
    <cellStyle name="Comma 5 46 2" xfId="11137"/>
    <cellStyle name="Comma 5 47" xfId="3798"/>
    <cellStyle name="Comma 5 47 2" xfId="11138"/>
    <cellStyle name="Comma 5 48" xfId="3799"/>
    <cellStyle name="Comma 5 48 2" xfId="11139"/>
    <cellStyle name="Comma 5 49" xfId="3800"/>
    <cellStyle name="Comma 5 49 2" xfId="11140"/>
    <cellStyle name="Comma 5 5" xfId="3801"/>
    <cellStyle name="Comma 5 5 2" xfId="11141"/>
    <cellStyle name="Comma 5 50" xfId="3802"/>
    <cellStyle name="Comma 5 50 2" xfId="11142"/>
    <cellStyle name="Comma 5 51" xfId="3803"/>
    <cellStyle name="Comma 5 51 2" xfId="11143"/>
    <cellStyle name="Comma 5 52" xfId="3804"/>
    <cellStyle name="Comma 5 52 2" xfId="11144"/>
    <cellStyle name="Comma 5 53" xfId="3805"/>
    <cellStyle name="Comma 5 53 2" xfId="11145"/>
    <cellStyle name="Comma 5 54" xfId="3806"/>
    <cellStyle name="Comma 5 54 2" xfId="11146"/>
    <cellStyle name="Comma 5 55" xfId="3807"/>
    <cellStyle name="Comma 5 55 2" xfId="11147"/>
    <cellStyle name="Comma 5 56" xfId="3808"/>
    <cellStyle name="Comma 5 56 2" xfId="11148"/>
    <cellStyle name="Comma 5 57" xfId="3809"/>
    <cellStyle name="Comma 5 57 2" xfId="11149"/>
    <cellStyle name="Comma 5 58" xfId="3810"/>
    <cellStyle name="Comma 5 58 2" xfId="11150"/>
    <cellStyle name="Comma 5 59" xfId="3811"/>
    <cellStyle name="Comma 5 59 2" xfId="11151"/>
    <cellStyle name="Comma 5 6" xfId="3812"/>
    <cellStyle name="Comma 5 6 2" xfId="11152"/>
    <cellStyle name="Comma 5 60" xfId="3813"/>
    <cellStyle name="Comma 5 60 2" xfId="11153"/>
    <cellStyle name="Comma 5 61" xfId="3814"/>
    <cellStyle name="Comma 5 61 2" xfId="11154"/>
    <cellStyle name="Comma 5 62" xfId="3815"/>
    <cellStyle name="Comma 5 62 2" xfId="11155"/>
    <cellStyle name="Comma 5 63" xfId="3816"/>
    <cellStyle name="Comma 5 63 2" xfId="11156"/>
    <cellStyle name="Comma 5 64" xfId="3817"/>
    <cellStyle name="Comma 5 64 2" xfId="11157"/>
    <cellStyle name="Comma 5 65" xfId="3818"/>
    <cellStyle name="Comma 5 65 2" xfId="11158"/>
    <cellStyle name="Comma 5 66" xfId="3819"/>
    <cellStyle name="Comma 5 66 2" xfId="11159"/>
    <cellStyle name="Comma 5 67" xfId="3820"/>
    <cellStyle name="Comma 5 67 2" xfId="11160"/>
    <cellStyle name="Comma 5 68" xfId="3821"/>
    <cellStyle name="Comma 5 68 2" xfId="11161"/>
    <cellStyle name="Comma 5 69" xfId="3822"/>
    <cellStyle name="Comma 5 69 2" xfId="11162"/>
    <cellStyle name="Comma 5 7" xfId="3823"/>
    <cellStyle name="Comma 5 7 2" xfId="11163"/>
    <cellStyle name="Comma 5 70" xfId="3824"/>
    <cellStyle name="Comma 5 70 2" xfId="11164"/>
    <cellStyle name="Comma 5 71" xfId="3825"/>
    <cellStyle name="Comma 5 71 2" xfId="11165"/>
    <cellStyle name="Comma 5 72" xfId="3826"/>
    <cellStyle name="Comma 5 72 2" xfId="11166"/>
    <cellStyle name="Comma 5 73" xfId="3827"/>
    <cellStyle name="Comma 5 73 2" xfId="11167"/>
    <cellStyle name="Comma 5 74" xfId="3828"/>
    <cellStyle name="Comma 5 74 2" xfId="11168"/>
    <cellStyle name="Comma 5 75" xfId="3829"/>
    <cellStyle name="Comma 5 75 2" xfId="11169"/>
    <cellStyle name="Comma 5 76" xfId="3830"/>
    <cellStyle name="Comma 5 76 2" xfId="11170"/>
    <cellStyle name="Comma 5 77" xfId="3831"/>
    <cellStyle name="Comma 5 77 2" xfId="11171"/>
    <cellStyle name="Comma 5 78" xfId="3832"/>
    <cellStyle name="Comma 5 78 2" xfId="11172"/>
    <cellStyle name="Comma 5 79" xfId="3833"/>
    <cellStyle name="Comma 5 79 2" xfId="11173"/>
    <cellStyle name="Comma 5 79 3" xfId="16651"/>
    <cellStyle name="Comma 5 8" xfId="3834"/>
    <cellStyle name="Comma 5 8 2" xfId="11174"/>
    <cellStyle name="Comma 5 80" xfId="4413"/>
    <cellStyle name="Comma 5 80 10" xfId="16676"/>
    <cellStyle name="Comma 5 80 2" xfId="4624"/>
    <cellStyle name="Comma 5 80 2 2" xfId="4863"/>
    <cellStyle name="Comma 5 80 2 2 2" xfId="8606"/>
    <cellStyle name="Comma 5 80 2 2 2 2" xfId="15154"/>
    <cellStyle name="Comma 5 80 2 2 3" xfId="6887"/>
    <cellStyle name="Comma 5 80 2 2 3 2" xfId="13573"/>
    <cellStyle name="Comma 5 80 2 2 4" xfId="11788"/>
    <cellStyle name="Comma 5 80 2 3" xfId="5451"/>
    <cellStyle name="Comma 5 80 2 3 2" xfId="9194"/>
    <cellStyle name="Comma 5 80 2 3 2 2" xfId="15738"/>
    <cellStyle name="Comma 5 80 2 3 3" xfId="7475"/>
    <cellStyle name="Comma 5 80 2 3 3 2" xfId="14157"/>
    <cellStyle name="Comma 5 80 2 3 4" xfId="12372"/>
    <cellStyle name="Comma 5 80 2 4" xfId="5889"/>
    <cellStyle name="Comma 5 80 2 4 2" xfId="9630"/>
    <cellStyle name="Comma 5 80 2 4 2 2" xfId="16132"/>
    <cellStyle name="Comma 5 80 2 4 3" xfId="7911"/>
    <cellStyle name="Comma 5 80 2 4 3 2" xfId="14551"/>
    <cellStyle name="Comma 5 80 2 4 4" xfId="12782"/>
    <cellStyle name="Comma 5 80 2 5" xfId="9859"/>
    <cellStyle name="Comma 5 80 2 5 2" xfId="16340"/>
    <cellStyle name="Comma 5 80 2 6" xfId="8388"/>
    <cellStyle name="Comma 5 80 2 6 2" xfId="14945"/>
    <cellStyle name="Comma 5 80 2 7" xfId="6669"/>
    <cellStyle name="Comma 5 80 2 7 2" xfId="13359"/>
    <cellStyle name="Comma 5 80 2 8" xfId="11569"/>
    <cellStyle name="Comma 5 80 2 9" xfId="16677"/>
    <cellStyle name="Comma 5 80 3" xfId="4862"/>
    <cellStyle name="Comma 5 80 3 2" xfId="8605"/>
    <cellStyle name="Comma 5 80 3 2 2" xfId="15153"/>
    <cellStyle name="Comma 5 80 3 3" xfId="6886"/>
    <cellStyle name="Comma 5 80 3 3 2" xfId="13572"/>
    <cellStyle name="Comma 5 80 3 4" xfId="11787"/>
    <cellStyle name="Comma 5 80 4" xfId="5254"/>
    <cellStyle name="Comma 5 80 4 2" xfId="8997"/>
    <cellStyle name="Comma 5 80 4 2 2" xfId="15541"/>
    <cellStyle name="Comma 5 80 4 3" xfId="7278"/>
    <cellStyle name="Comma 5 80 4 3 2" xfId="13960"/>
    <cellStyle name="Comma 5 80 4 4" xfId="12175"/>
    <cellStyle name="Comma 5 80 5" xfId="5692"/>
    <cellStyle name="Comma 5 80 5 2" xfId="9433"/>
    <cellStyle name="Comma 5 80 5 2 2" xfId="15935"/>
    <cellStyle name="Comma 5 80 5 3" xfId="7714"/>
    <cellStyle name="Comma 5 80 5 3 2" xfId="14354"/>
    <cellStyle name="Comma 5 80 5 4" xfId="12585"/>
    <cellStyle name="Comma 5 80 6" xfId="9858"/>
    <cellStyle name="Comma 5 80 6 2" xfId="16339"/>
    <cellStyle name="Comma 5 80 7" xfId="8191"/>
    <cellStyle name="Comma 5 80 7 2" xfId="14748"/>
    <cellStyle name="Comma 5 80 8" xfId="6472"/>
    <cellStyle name="Comma 5 80 8 2" xfId="13162"/>
    <cellStyle name="Comma 5 80 9" xfId="11369"/>
    <cellStyle name="Comma 5 81" xfId="4427"/>
    <cellStyle name="Comma 5 81 10" xfId="16678"/>
    <cellStyle name="Comma 5 81 2" xfId="4636"/>
    <cellStyle name="Comma 5 81 2 2" xfId="4865"/>
    <cellStyle name="Comma 5 81 2 2 2" xfId="8608"/>
    <cellStyle name="Comma 5 81 2 2 2 2" xfId="15156"/>
    <cellStyle name="Comma 5 81 2 2 3" xfId="6889"/>
    <cellStyle name="Comma 5 81 2 2 3 2" xfId="13575"/>
    <cellStyle name="Comma 5 81 2 2 4" xfId="11790"/>
    <cellStyle name="Comma 5 81 2 3" xfId="5463"/>
    <cellStyle name="Comma 5 81 2 3 2" xfId="9206"/>
    <cellStyle name="Comma 5 81 2 3 2 2" xfId="15750"/>
    <cellStyle name="Comma 5 81 2 3 3" xfId="7487"/>
    <cellStyle name="Comma 5 81 2 3 3 2" xfId="14169"/>
    <cellStyle name="Comma 5 81 2 3 4" xfId="12384"/>
    <cellStyle name="Comma 5 81 2 4" xfId="5901"/>
    <cellStyle name="Comma 5 81 2 4 2" xfId="9642"/>
    <cellStyle name="Comma 5 81 2 4 2 2" xfId="16144"/>
    <cellStyle name="Comma 5 81 2 4 3" xfId="7923"/>
    <cellStyle name="Comma 5 81 2 4 3 2" xfId="14563"/>
    <cellStyle name="Comma 5 81 2 4 4" xfId="12794"/>
    <cellStyle name="Comma 5 81 2 5" xfId="9861"/>
    <cellStyle name="Comma 5 81 2 5 2" xfId="16342"/>
    <cellStyle name="Comma 5 81 2 6" xfId="8400"/>
    <cellStyle name="Comma 5 81 2 6 2" xfId="14957"/>
    <cellStyle name="Comma 5 81 2 7" xfId="6681"/>
    <cellStyle name="Comma 5 81 2 7 2" xfId="13371"/>
    <cellStyle name="Comma 5 81 2 8" xfId="11581"/>
    <cellStyle name="Comma 5 81 2 9" xfId="16679"/>
    <cellStyle name="Comma 5 81 3" xfId="4864"/>
    <cellStyle name="Comma 5 81 3 2" xfId="8607"/>
    <cellStyle name="Comma 5 81 3 2 2" xfId="15155"/>
    <cellStyle name="Comma 5 81 3 3" xfId="6888"/>
    <cellStyle name="Comma 5 81 3 3 2" xfId="13574"/>
    <cellStyle name="Comma 5 81 3 4" xfId="11789"/>
    <cellStyle name="Comma 5 81 4" xfId="5266"/>
    <cellStyle name="Comma 5 81 4 2" xfId="9009"/>
    <cellStyle name="Comma 5 81 4 2 2" xfId="15553"/>
    <cellStyle name="Comma 5 81 4 3" xfId="7290"/>
    <cellStyle name="Comma 5 81 4 3 2" xfId="13972"/>
    <cellStyle name="Comma 5 81 4 4" xfId="12187"/>
    <cellStyle name="Comma 5 81 5" xfId="5704"/>
    <cellStyle name="Comma 5 81 5 2" xfId="9445"/>
    <cellStyle name="Comma 5 81 5 2 2" xfId="15947"/>
    <cellStyle name="Comma 5 81 5 3" xfId="7726"/>
    <cellStyle name="Comma 5 81 5 3 2" xfId="14366"/>
    <cellStyle name="Comma 5 81 5 4" xfId="12597"/>
    <cellStyle name="Comma 5 81 6" xfId="9860"/>
    <cellStyle name="Comma 5 81 6 2" xfId="16341"/>
    <cellStyle name="Comma 5 81 7" xfId="8203"/>
    <cellStyle name="Comma 5 81 7 2" xfId="14760"/>
    <cellStyle name="Comma 5 81 8" xfId="6484"/>
    <cellStyle name="Comma 5 81 8 2" xfId="13174"/>
    <cellStyle name="Comma 5 81 9" xfId="11382"/>
    <cellStyle name="Comma 5 82" xfId="10998"/>
    <cellStyle name="Comma 5 9" xfId="3835"/>
    <cellStyle name="Comma 5 9 2" xfId="11175"/>
    <cellStyle name="Comma 6" xfId="3836"/>
    <cellStyle name="Comma 6 10" xfId="3837"/>
    <cellStyle name="Comma 6 10 2" xfId="11177"/>
    <cellStyle name="Comma 6 11" xfId="3838"/>
    <cellStyle name="Comma 6 11 2" xfId="11178"/>
    <cellStyle name="Comma 6 12" xfId="3839"/>
    <cellStyle name="Comma 6 12 2" xfId="11179"/>
    <cellStyle name="Comma 6 13" xfId="3840"/>
    <cellStyle name="Comma 6 13 2" xfId="11180"/>
    <cellStyle name="Comma 6 14" xfId="3841"/>
    <cellStyle name="Comma 6 14 2" xfId="11181"/>
    <cellStyle name="Comma 6 15" xfId="3842"/>
    <cellStyle name="Comma 6 15 2" xfId="11182"/>
    <cellStyle name="Comma 6 16" xfId="3843"/>
    <cellStyle name="Comma 6 16 2" xfId="11183"/>
    <cellStyle name="Comma 6 17" xfId="3844"/>
    <cellStyle name="Comma 6 17 2" xfId="11184"/>
    <cellStyle name="Comma 6 18" xfId="3845"/>
    <cellStyle name="Comma 6 18 2" xfId="11185"/>
    <cellStyle name="Comma 6 19" xfId="3846"/>
    <cellStyle name="Comma 6 19 2" xfId="11186"/>
    <cellStyle name="Comma 6 19 3" xfId="16650"/>
    <cellStyle name="Comma 6 2" xfId="3847"/>
    <cellStyle name="Comma 6 2 10" xfId="3848"/>
    <cellStyle name="Comma 6 2 10 2" xfId="11188"/>
    <cellStyle name="Comma 6 2 11" xfId="3849"/>
    <cellStyle name="Comma 6 2 11 2" xfId="11189"/>
    <cellStyle name="Comma 6 2 12" xfId="3850"/>
    <cellStyle name="Comma 6 2 12 2" xfId="11190"/>
    <cellStyle name="Comma 6 2 13" xfId="3851"/>
    <cellStyle name="Comma 6 2 13 2" xfId="11191"/>
    <cellStyle name="Comma 6 2 14" xfId="11187"/>
    <cellStyle name="Comma 6 2 2" xfId="3852"/>
    <cellStyle name="Comma 6 2 2 2" xfId="11192"/>
    <cellStyle name="Comma 6 2 3" xfId="3853"/>
    <cellStyle name="Comma 6 2 3 2" xfId="11193"/>
    <cellStyle name="Comma 6 2 4" xfId="3854"/>
    <cellStyle name="Comma 6 2 4 2" xfId="11194"/>
    <cellStyle name="Comma 6 2 5" xfId="3855"/>
    <cellStyle name="Comma 6 2 5 2" xfId="11195"/>
    <cellStyle name="Comma 6 2 6" xfId="3856"/>
    <cellStyle name="Comma 6 2 6 2" xfId="11196"/>
    <cellStyle name="Comma 6 2 7" xfId="3857"/>
    <cellStyle name="Comma 6 2 7 2" xfId="11197"/>
    <cellStyle name="Comma 6 2 8" xfId="3858"/>
    <cellStyle name="Comma 6 2 8 2" xfId="11198"/>
    <cellStyle name="Comma 6 2 9" xfId="3859"/>
    <cellStyle name="Comma 6 2 9 2" xfId="11199"/>
    <cellStyle name="Comma 6 20" xfId="11176"/>
    <cellStyle name="Comma 6 3" xfId="3860"/>
    <cellStyle name="Comma 6 3 2" xfId="11200"/>
    <cellStyle name="Comma 6 4" xfId="3861"/>
    <cellStyle name="Comma 6 4 2" xfId="11201"/>
    <cellStyle name="Comma 6 5" xfId="3862"/>
    <cellStyle name="Comma 6 5 2" xfId="11202"/>
    <cellStyle name="Comma 6 6" xfId="3863"/>
    <cellStyle name="Comma 6 6 2" xfId="11203"/>
    <cellStyle name="Comma 6 7" xfId="3864"/>
    <cellStyle name="Comma 6 7 2" xfId="11204"/>
    <cellStyle name="Comma 6 8" xfId="3865"/>
    <cellStyle name="Comma 6 8 2" xfId="11205"/>
    <cellStyle name="Comma 6 9" xfId="3866"/>
    <cellStyle name="Comma 6 9 2" xfId="11206"/>
    <cellStyle name="Comma 7" xfId="3867"/>
    <cellStyle name="Comma 7 10" xfId="3868"/>
    <cellStyle name="Comma 7 10 2" xfId="11208"/>
    <cellStyle name="Comma 7 11" xfId="3869"/>
    <cellStyle name="Comma 7 11 2" xfId="11209"/>
    <cellStyle name="Comma 7 12" xfId="3870"/>
    <cellStyle name="Comma 7 12 2" xfId="11210"/>
    <cellStyle name="Comma 7 13" xfId="3871"/>
    <cellStyle name="Comma 7 13 2" xfId="11211"/>
    <cellStyle name="Comma 7 14" xfId="11207"/>
    <cellStyle name="Comma 7 2" xfId="3872"/>
    <cellStyle name="Comma 7 2 2" xfId="11212"/>
    <cellStyle name="Comma 7 3" xfId="3873"/>
    <cellStyle name="Comma 7 3 2" xfId="11213"/>
    <cellStyle name="Comma 7 4" xfId="3874"/>
    <cellStyle name="Comma 7 4 2" xfId="11214"/>
    <cellStyle name="Comma 7 5" xfId="3875"/>
    <cellStyle name="Comma 7 5 2" xfId="11215"/>
    <cellStyle name="Comma 7 6" xfId="3876"/>
    <cellStyle name="Comma 7 6 2" xfId="11216"/>
    <cellStyle name="Comma 7 7" xfId="3877"/>
    <cellStyle name="Comma 7 7 2" xfId="11217"/>
    <cellStyle name="Comma 7 8" xfId="3878"/>
    <cellStyle name="Comma 7 8 2" xfId="11218"/>
    <cellStyle name="Comma 7 9" xfId="3879"/>
    <cellStyle name="Comma 7 9 2" xfId="11219"/>
    <cellStyle name="Comma 8" xfId="3880"/>
    <cellStyle name="Comma 8 2" xfId="11220"/>
    <cellStyle name="Comma 9" xfId="3881"/>
    <cellStyle name="Comma 9 2" xfId="11221"/>
    <cellStyle name="Comma Dashed" xfId="3882"/>
    <cellStyle name="Comma Nil" xfId="3883"/>
    <cellStyle name="Comma*" xfId="3884"/>
    <cellStyle name="comma[0]" xfId="3885"/>
    <cellStyle name="Comma_Book1" xfId="2"/>
    <cellStyle name="Comma0" xfId="3886"/>
    <cellStyle name="Comma1" xfId="3887"/>
    <cellStyle name="Comma2" xfId="3888"/>
    <cellStyle name="Comment" xfId="3889"/>
    <cellStyle name="CompanyName" xfId="3890"/>
    <cellStyle name="Copied" xfId="3891"/>
    <cellStyle name="Copy0_" xfId="3892"/>
    <cellStyle name="Copy1_" xfId="3893"/>
    <cellStyle name="Copy2_" xfId="3894"/>
    <cellStyle name="CountryTitle" xfId="3895"/>
    <cellStyle name="CoverRatio" xfId="3896"/>
    <cellStyle name="Currency - two places" xfId="3897"/>
    <cellStyle name="Currency (0)" xfId="3898"/>
    <cellStyle name="Currency (2)" xfId="3899"/>
    <cellStyle name="Currency (2dp)" xfId="3900"/>
    <cellStyle name="Currency (2dp) Dashed" xfId="3901"/>
    <cellStyle name="Currency (2dp) Nil" xfId="3902"/>
    <cellStyle name="Currency (2dp+nz)" xfId="3903"/>
    <cellStyle name="Currency (nz)" xfId="3904"/>
    <cellStyle name="Currency [0.00]" xfId="3905"/>
    <cellStyle name="Currency [0] U" xfId="3906"/>
    <cellStyle name="Currency [2]" xfId="3907"/>
    <cellStyle name="Currency [2] U" xfId="3908"/>
    <cellStyle name="Currency 0" xfId="3909"/>
    <cellStyle name="Currency 2" xfId="9"/>
    <cellStyle name="Currency 2 10" xfId="4452"/>
    <cellStyle name="Currency 2 10 2" xfId="4866"/>
    <cellStyle name="Currency 2 10 2 2" xfId="8609"/>
    <cellStyle name="Currency 2 10 2 2 2" xfId="15157"/>
    <cellStyle name="Currency 2 10 2 3" xfId="6890"/>
    <cellStyle name="Currency 2 10 2 3 2" xfId="13576"/>
    <cellStyle name="Currency 2 10 2 4" xfId="11791"/>
    <cellStyle name="Currency 2 10 3" xfId="5280"/>
    <cellStyle name="Currency 2 10 3 2" xfId="9023"/>
    <cellStyle name="Currency 2 10 3 2 2" xfId="15567"/>
    <cellStyle name="Currency 2 10 3 3" xfId="7304"/>
    <cellStyle name="Currency 2 10 3 3 2" xfId="13986"/>
    <cellStyle name="Currency 2 10 3 4" xfId="12201"/>
    <cellStyle name="Currency 2 10 4" xfId="5718"/>
    <cellStyle name="Currency 2 10 4 2" xfId="9459"/>
    <cellStyle name="Currency 2 10 4 2 2" xfId="15961"/>
    <cellStyle name="Currency 2 10 4 3" xfId="7740"/>
    <cellStyle name="Currency 2 10 4 3 2" xfId="14380"/>
    <cellStyle name="Currency 2 10 4 4" xfId="12611"/>
    <cellStyle name="Currency 2 10 5" xfId="9862"/>
    <cellStyle name="Currency 2 10 5 2" xfId="16343"/>
    <cellStyle name="Currency 2 10 6" xfId="8217"/>
    <cellStyle name="Currency 2 10 6 2" xfId="14774"/>
    <cellStyle name="Currency 2 10 7" xfId="6498"/>
    <cellStyle name="Currency 2 10 7 2" xfId="13188"/>
    <cellStyle name="Currency 2 10 8" xfId="11397"/>
    <cellStyle name="Currency 2 10 9" xfId="16680"/>
    <cellStyle name="Currency 2 11" xfId="4673"/>
    <cellStyle name="Currency 2 11 2" xfId="8419"/>
    <cellStyle name="Currency 2 11 2 2" xfId="14971"/>
    <cellStyle name="Currency 2 11 3" xfId="6700"/>
    <cellStyle name="Currency 2 11 3 2" xfId="13390"/>
    <cellStyle name="Currency 2 11 4" xfId="11604"/>
    <cellStyle name="Currency 2 12" xfId="5079"/>
    <cellStyle name="Currency 2 12 2" xfId="8822"/>
    <cellStyle name="Currency 2 12 2 2" xfId="15370"/>
    <cellStyle name="Currency 2 12 3" xfId="7103"/>
    <cellStyle name="Currency 2 12 3 2" xfId="13789"/>
    <cellStyle name="Currency 2 12 4" xfId="12004"/>
    <cellStyle name="Currency 2 13" xfId="5516"/>
    <cellStyle name="Currency 2 13 2" xfId="9257"/>
    <cellStyle name="Currency 2 13 2 2" xfId="15764"/>
    <cellStyle name="Currency 2 13 3" xfId="7538"/>
    <cellStyle name="Currency 2 13 3 2" xfId="14183"/>
    <cellStyle name="Currency 2 13 4" xfId="12409"/>
    <cellStyle name="Currency 2 14" xfId="9653"/>
    <cellStyle name="Currency 2 14 2" xfId="16155"/>
    <cellStyle name="Currency 2 15" xfId="7937"/>
    <cellStyle name="Currency 2 15 2" xfId="14577"/>
    <cellStyle name="Currency 2 16" xfId="5916"/>
    <cellStyle name="Currency 2 16 2" xfId="12809"/>
    <cellStyle name="Currency 2 17" xfId="10248"/>
    <cellStyle name="Currency 2 18" xfId="16632"/>
    <cellStyle name="Currency 2 2" xfId="13"/>
    <cellStyle name="Currency 2 2 2" xfId="4414"/>
    <cellStyle name="Currency 2 2 2 2" xfId="11370"/>
    <cellStyle name="Currency 2 2 3" xfId="10251"/>
    <cellStyle name="Currency 2 3" xfId="16"/>
    <cellStyle name="Currency 2 3 10" xfId="9654"/>
    <cellStyle name="Currency 2 3 10 2" xfId="16156"/>
    <cellStyle name="Currency 2 3 11" xfId="7938"/>
    <cellStyle name="Currency 2 3 11 2" xfId="14578"/>
    <cellStyle name="Currency 2 3 12" xfId="5917"/>
    <cellStyle name="Currency 2 3 12 2" xfId="12810"/>
    <cellStyle name="Currency 2 3 13" xfId="10252"/>
    <cellStyle name="Currency 2 3 14" xfId="16633"/>
    <cellStyle name="Currency 2 3 2" xfId="38"/>
    <cellStyle name="Currency 2 3 2 10" xfId="5936"/>
    <cellStyle name="Currency 2 3 2 10 2" xfId="12829"/>
    <cellStyle name="Currency 2 3 2 11" xfId="10271"/>
    <cellStyle name="Currency 2 3 2 12" xfId="16634"/>
    <cellStyle name="Currency 2 3 2 2" xfId="3910"/>
    <cellStyle name="Currency 2 3 2 2 10" xfId="16647"/>
    <cellStyle name="Currency 2 3 2 2 2" xfId="4485"/>
    <cellStyle name="Currency 2 3 2 2 2 2" xfId="4867"/>
    <cellStyle name="Currency 2 3 2 2 2 2 2" xfId="8610"/>
    <cellStyle name="Currency 2 3 2 2 2 2 2 2" xfId="15158"/>
    <cellStyle name="Currency 2 3 2 2 2 2 3" xfId="6891"/>
    <cellStyle name="Currency 2 3 2 2 2 2 3 2" xfId="13577"/>
    <cellStyle name="Currency 2 3 2 2 2 2 4" xfId="11792"/>
    <cellStyle name="Currency 2 3 2 2 2 3" xfId="5312"/>
    <cellStyle name="Currency 2 3 2 2 2 3 2" xfId="9055"/>
    <cellStyle name="Currency 2 3 2 2 2 3 2 2" xfId="15599"/>
    <cellStyle name="Currency 2 3 2 2 2 3 3" xfId="7336"/>
    <cellStyle name="Currency 2 3 2 2 2 3 3 2" xfId="14018"/>
    <cellStyle name="Currency 2 3 2 2 2 3 4" xfId="12233"/>
    <cellStyle name="Currency 2 3 2 2 2 4" xfId="5750"/>
    <cellStyle name="Currency 2 3 2 2 2 4 2" xfId="9491"/>
    <cellStyle name="Currency 2 3 2 2 2 4 2 2" xfId="15993"/>
    <cellStyle name="Currency 2 3 2 2 2 4 3" xfId="7772"/>
    <cellStyle name="Currency 2 3 2 2 2 4 3 2" xfId="14412"/>
    <cellStyle name="Currency 2 3 2 2 2 4 4" xfId="12643"/>
    <cellStyle name="Currency 2 3 2 2 2 5" xfId="9863"/>
    <cellStyle name="Currency 2 3 2 2 2 5 2" xfId="16344"/>
    <cellStyle name="Currency 2 3 2 2 2 6" xfId="8249"/>
    <cellStyle name="Currency 2 3 2 2 2 6 2" xfId="14806"/>
    <cellStyle name="Currency 2 3 2 2 2 7" xfId="6530"/>
    <cellStyle name="Currency 2 3 2 2 2 7 2" xfId="13220"/>
    <cellStyle name="Currency 2 3 2 2 2 8" xfId="11430"/>
    <cellStyle name="Currency 2 3 2 2 2 9" xfId="16681"/>
    <cellStyle name="Currency 2 3 2 2 3" xfId="4766"/>
    <cellStyle name="Currency 2 3 2 2 3 2" xfId="8509"/>
    <cellStyle name="Currency 2 3 2 2 3 2 2" xfId="15061"/>
    <cellStyle name="Currency 2 3 2 2 3 3" xfId="6790"/>
    <cellStyle name="Currency 2 3 2 2 3 3 2" xfId="13480"/>
    <cellStyle name="Currency 2 3 2 2 3 4" xfId="11695"/>
    <cellStyle name="Currency 2 3 2 2 4" xfId="5115"/>
    <cellStyle name="Currency 2 3 2 2 4 2" xfId="8858"/>
    <cellStyle name="Currency 2 3 2 2 4 2 2" xfId="15402"/>
    <cellStyle name="Currency 2 3 2 2 4 3" xfId="7139"/>
    <cellStyle name="Currency 2 3 2 2 4 3 2" xfId="13821"/>
    <cellStyle name="Currency 2 3 2 2 4 4" xfId="12036"/>
    <cellStyle name="Currency 2 3 2 2 5" xfId="5548"/>
    <cellStyle name="Currency 2 3 2 2 5 2" xfId="9289"/>
    <cellStyle name="Currency 2 3 2 2 5 2 2" xfId="15796"/>
    <cellStyle name="Currency 2 3 2 2 5 3" xfId="7570"/>
    <cellStyle name="Currency 2 3 2 2 5 3 2" xfId="14215"/>
    <cellStyle name="Currency 2 3 2 2 5 4" xfId="12441"/>
    <cellStyle name="Currency 2 3 2 2 6" xfId="9756"/>
    <cellStyle name="Currency 2 3 2 2 6 2" xfId="16247"/>
    <cellStyle name="Currency 2 3 2 2 7" xfId="8006"/>
    <cellStyle name="Currency 2 3 2 2 7 2" xfId="14609"/>
    <cellStyle name="Currency 2 3 2 2 8" xfId="6269"/>
    <cellStyle name="Currency 2 3 2 2 8 2" xfId="12994"/>
    <cellStyle name="Currency 2 3 2 2 9" xfId="11222"/>
    <cellStyle name="Currency 2 3 2 3" xfId="3911"/>
    <cellStyle name="Currency 2 3 2 3 10" xfId="16655"/>
    <cellStyle name="Currency 2 3 2 3 2" xfId="4486"/>
    <cellStyle name="Currency 2 3 2 3 2 2" xfId="4868"/>
    <cellStyle name="Currency 2 3 2 3 2 2 2" xfId="8611"/>
    <cellStyle name="Currency 2 3 2 3 2 2 2 2" xfId="15159"/>
    <cellStyle name="Currency 2 3 2 3 2 2 3" xfId="6892"/>
    <cellStyle name="Currency 2 3 2 3 2 2 3 2" xfId="13578"/>
    <cellStyle name="Currency 2 3 2 3 2 2 4" xfId="11793"/>
    <cellStyle name="Currency 2 3 2 3 2 3" xfId="5313"/>
    <cellStyle name="Currency 2 3 2 3 2 3 2" xfId="9056"/>
    <cellStyle name="Currency 2 3 2 3 2 3 2 2" xfId="15600"/>
    <cellStyle name="Currency 2 3 2 3 2 3 3" xfId="7337"/>
    <cellStyle name="Currency 2 3 2 3 2 3 3 2" xfId="14019"/>
    <cellStyle name="Currency 2 3 2 3 2 3 4" xfId="12234"/>
    <cellStyle name="Currency 2 3 2 3 2 4" xfId="5751"/>
    <cellStyle name="Currency 2 3 2 3 2 4 2" xfId="9492"/>
    <cellStyle name="Currency 2 3 2 3 2 4 2 2" xfId="15994"/>
    <cellStyle name="Currency 2 3 2 3 2 4 3" xfId="7773"/>
    <cellStyle name="Currency 2 3 2 3 2 4 3 2" xfId="14413"/>
    <cellStyle name="Currency 2 3 2 3 2 4 4" xfId="12644"/>
    <cellStyle name="Currency 2 3 2 3 2 5" xfId="9864"/>
    <cellStyle name="Currency 2 3 2 3 2 5 2" xfId="16345"/>
    <cellStyle name="Currency 2 3 2 3 2 6" xfId="8250"/>
    <cellStyle name="Currency 2 3 2 3 2 6 2" xfId="14807"/>
    <cellStyle name="Currency 2 3 2 3 2 7" xfId="6531"/>
    <cellStyle name="Currency 2 3 2 3 2 7 2" xfId="13221"/>
    <cellStyle name="Currency 2 3 2 3 2 8" xfId="11431"/>
    <cellStyle name="Currency 2 3 2 3 2 9" xfId="16682"/>
    <cellStyle name="Currency 2 3 2 3 3" xfId="4837"/>
    <cellStyle name="Currency 2 3 2 3 3 2" xfId="8580"/>
    <cellStyle name="Currency 2 3 2 3 3 2 2" xfId="15128"/>
    <cellStyle name="Currency 2 3 2 3 3 3" xfId="6861"/>
    <cellStyle name="Currency 2 3 2 3 3 3 2" xfId="13547"/>
    <cellStyle name="Currency 2 3 2 3 3 4" xfId="11762"/>
    <cellStyle name="Currency 2 3 2 3 4" xfId="5116"/>
    <cellStyle name="Currency 2 3 2 3 4 2" xfId="8859"/>
    <cellStyle name="Currency 2 3 2 3 4 2 2" xfId="15403"/>
    <cellStyle name="Currency 2 3 2 3 4 3" xfId="7140"/>
    <cellStyle name="Currency 2 3 2 3 4 3 2" xfId="13822"/>
    <cellStyle name="Currency 2 3 2 3 4 4" xfId="12037"/>
    <cellStyle name="Currency 2 3 2 3 5" xfId="5549"/>
    <cellStyle name="Currency 2 3 2 3 5 2" xfId="9290"/>
    <cellStyle name="Currency 2 3 2 3 5 2 2" xfId="15797"/>
    <cellStyle name="Currency 2 3 2 3 5 3" xfId="7571"/>
    <cellStyle name="Currency 2 3 2 3 5 3 2" xfId="14216"/>
    <cellStyle name="Currency 2 3 2 3 5 4" xfId="12442"/>
    <cellStyle name="Currency 2 3 2 3 6" xfId="9828"/>
    <cellStyle name="Currency 2 3 2 3 6 2" xfId="16314"/>
    <cellStyle name="Currency 2 3 2 3 7" xfId="8007"/>
    <cellStyle name="Currency 2 3 2 3 7 2" xfId="14610"/>
    <cellStyle name="Currency 2 3 2 3 8" xfId="6270"/>
    <cellStyle name="Currency 2 3 2 3 8 2" xfId="12995"/>
    <cellStyle name="Currency 2 3 2 3 9" xfId="11223"/>
    <cellStyle name="Currency 2 3 2 4" xfId="4472"/>
    <cellStyle name="Currency 2 3 2 4 2" xfId="4869"/>
    <cellStyle name="Currency 2 3 2 4 2 2" xfId="8612"/>
    <cellStyle name="Currency 2 3 2 4 2 2 2" xfId="15160"/>
    <cellStyle name="Currency 2 3 2 4 2 3" xfId="6893"/>
    <cellStyle name="Currency 2 3 2 4 2 3 2" xfId="13579"/>
    <cellStyle name="Currency 2 3 2 4 2 4" xfId="11794"/>
    <cellStyle name="Currency 2 3 2 4 3" xfId="5300"/>
    <cellStyle name="Currency 2 3 2 4 3 2" xfId="9043"/>
    <cellStyle name="Currency 2 3 2 4 3 2 2" xfId="15587"/>
    <cellStyle name="Currency 2 3 2 4 3 3" xfId="7324"/>
    <cellStyle name="Currency 2 3 2 4 3 3 2" xfId="14006"/>
    <cellStyle name="Currency 2 3 2 4 3 4" xfId="12221"/>
    <cellStyle name="Currency 2 3 2 4 4" xfId="5738"/>
    <cellStyle name="Currency 2 3 2 4 4 2" xfId="9479"/>
    <cellStyle name="Currency 2 3 2 4 4 2 2" xfId="15981"/>
    <cellStyle name="Currency 2 3 2 4 4 3" xfId="7760"/>
    <cellStyle name="Currency 2 3 2 4 4 3 2" xfId="14400"/>
    <cellStyle name="Currency 2 3 2 4 4 4" xfId="12631"/>
    <cellStyle name="Currency 2 3 2 4 5" xfId="9865"/>
    <cellStyle name="Currency 2 3 2 4 5 2" xfId="16346"/>
    <cellStyle name="Currency 2 3 2 4 6" xfId="8237"/>
    <cellStyle name="Currency 2 3 2 4 6 2" xfId="14794"/>
    <cellStyle name="Currency 2 3 2 4 7" xfId="6518"/>
    <cellStyle name="Currency 2 3 2 4 7 2" xfId="13208"/>
    <cellStyle name="Currency 2 3 2 4 8" xfId="11417"/>
    <cellStyle name="Currency 2 3 2 4 9" xfId="16683"/>
    <cellStyle name="Currency 2 3 2 5" xfId="4675"/>
    <cellStyle name="Currency 2 3 2 5 2" xfId="8421"/>
    <cellStyle name="Currency 2 3 2 5 2 2" xfId="14973"/>
    <cellStyle name="Currency 2 3 2 5 3" xfId="6702"/>
    <cellStyle name="Currency 2 3 2 5 3 2" xfId="13392"/>
    <cellStyle name="Currency 2 3 2 5 4" xfId="11606"/>
    <cellStyle name="Currency 2 3 2 6" xfId="5099"/>
    <cellStyle name="Currency 2 3 2 6 2" xfId="8842"/>
    <cellStyle name="Currency 2 3 2 6 2 2" xfId="15390"/>
    <cellStyle name="Currency 2 3 2 6 3" xfId="7123"/>
    <cellStyle name="Currency 2 3 2 6 3 2" xfId="13809"/>
    <cellStyle name="Currency 2 3 2 6 4" xfId="12024"/>
    <cellStyle name="Currency 2 3 2 7" xfId="5536"/>
    <cellStyle name="Currency 2 3 2 7 2" xfId="9277"/>
    <cellStyle name="Currency 2 3 2 7 2 2" xfId="15784"/>
    <cellStyle name="Currency 2 3 2 7 3" xfId="7558"/>
    <cellStyle name="Currency 2 3 2 7 3 2" xfId="14203"/>
    <cellStyle name="Currency 2 3 2 7 4" xfId="12429"/>
    <cellStyle name="Currency 2 3 2 8" xfId="9655"/>
    <cellStyle name="Currency 2 3 2 8 2" xfId="16157"/>
    <cellStyle name="Currency 2 3 2 9" xfId="7957"/>
    <cellStyle name="Currency 2 3 2 9 2" xfId="14597"/>
    <cellStyle name="Currency 2 3 3" xfId="30"/>
    <cellStyle name="Currency 2 3 3 10" xfId="16646"/>
    <cellStyle name="Currency 2 3 3 2" xfId="4465"/>
    <cellStyle name="Currency 2 3 3 2 2" xfId="4870"/>
    <cellStyle name="Currency 2 3 3 2 2 2" xfId="8613"/>
    <cellStyle name="Currency 2 3 3 2 2 2 2" xfId="15161"/>
    <cellStyle name="Currency 2 3 3 2 2 3" xfId="6894"/>
    <cellStyle name="Currency 2 3 3 2 2 3 2" xfId="13580"/>
    <cellStyle name="Currency 2 3 3 2 2 4" xfId="11795"/>
    <cellStyle name="Currency 2 3 3 2 3" xfId="5293"/>
    <cellStyle name="Currency 2 3 3 2 3 2" xfId="9036"/>
    <cellStyle name="Currency 2 3 3 2 3 2 2" xfId="15580"/>
    <cellStyle name="Currency 2 3 3 2 3 3" xfId="7317"/>
    <cellStyle name="Currency 2 3 3 2 3 3 2" xfId="13999"/>
    <cellStyle name="Currency 2 3 3 2 3 4" xfId="12214"/>
    <cellStyle name="Currency 2 3 3 2 4" xfId="5731"/>
    <cellStyle name="Currency 2 3 3 2 4 2" xfId="9472"/>
    <cellStyle name="Currency 2 3 3 2 4 2 2" xfId="15974"/>
    <cellStyle name="Currency 2 3 3 2 4 3" xfId="7753"/>
    <cellStyle name="Currency 2 3 3 2 4 3 2" xfId="14393"/>
    <cellStyle name="Currency 2 3 3 2 4 4" xfId="12624"/>
    <cellStyle name="Currency 2 3 3 2 5" xfId="9866"/>
    <cellStyle name="Currency 2 3 3 2 5 2" xfId="16347"/>
    <cellStyle name="Currency 2 3 3 2 6" xfId="8230"/>
    <cellStyle name="Currency 2 3 3 2 6 2" xfId="14787"/>
    <cellStyle name="Currency 2 3 3 2 7" xfId="6511"/>
    <cellStyle name="Currency 2 3 3 2 7 2" xfId="13201"/>
    <cellStyle name="Currency 2 3 3 2 8" xfId="11410"/>
    <cellStyle name="Currency 2 3 3 2 9" xfId="16684"/>
    <cellStyle name="Currency 2 3 3 3" xfId="4765"/>
    <cellStyle name="Currency 2 3 3 3 2" xfId="8508"/>
    <cellStyle name="Currency 2 3 3 3 2 2" xfId="15060"/>
    <cellStyle name="Currency 2 3 3 3 3" xfId="6789"/>
    <cellStyle name="Currency 2 3 3 3 3 2" xfId="13479"/>
    <cellStyle name="Currency 2 3 3 3 4" xfId="11694"/>
    <cellStyle name="Currency 2 3 3 4" xfId="5092"/>
    <cellStyle name="Currency 2 3 3 4 2" xfId="8835"/>
    <cellStyle name="Currency 2 3 3 4 2 2" xfId="15383"/>
    <cellStyle name="Currency 2 3 3 4 3" xfId="7116"/>
    <cellStyle name="Currency 2 3 3 4 3 2" xfId="13802"/>
    <cellStyle name="Currency 2 3 3 4 4" xfId="12017"/>
    <cellStyle name="Currency 2 3 3 5" xfId="5529"/>
    <cellStyle name="Currency 2 3 3 5 2" xfId="9270"/>
    <cellStyle name="Currency 2 3 3 5 2 2" xfId="15777"/>
    <cellStyle name="Currency 2 3 3 5 3" xfId="7551"/>
    <cellStyle name="Currency 2 3 3 5 3 2" xfId="14196"/>
    <cellStyle name="Currency 2 3 3 5 4" xfId="12422"/>
    <cellStyle name="Currency 2 3 3 6" xfId="9755"/>
    <cellStyle name="Currency 2 3 3 6 2" xfId="16246"/>
    <cellStyle name="Currency 2 3 3 7" xfId="7950"/>
    <cellStyle name="Currency 2 3 3 7 2" xfId="14590"/>
    <cellStyle name="Currency 2 3 3 8" xfId="5929"/>
    <cellStyle name="Currency 2 3 3 8 2" xfId="12822"/>
    <cellStyle name="Currency 2 3 3 9" xfId="10264"/>
    <cellStyle name="Currency 2 3 4" xfId="3912"/>
    <cellStyle name="Currency 2 3 4 10" xfId="16653"/>
    <cellStyle name="Currency 2 3 4 2" xfId="4487"/>
    <cellStyle name="Currency 2 3 4 2 2" xfId="4871"/>
    <cellStyle name="Currency 2 3 4 2 2 2" xfId="8614"/>
    <cellStyle name="Currency 2 3 4 2 2 2 2" xfId="15162"/>
    <cellStyle name="Currency 2 3 4 2 2 3" xfId="6895"/>
    <cellStyle name="Currency 2 3 4 2 2 3 2" xfId="13581"/>
    <cellStyle name="Currency 2 3 4 2 2 4" xfId="11796"/>
    <cellStyle name="Currency 2 3 4 2 3" xfId="5314"/>
    <cellStyle name="Currency 2 3 4 2 3 2" xfId="9057"/>
    <cellStyle name="Currency 2 3 4 2 3 2 2" xfId="15601"/>
    <cellStyle name="Currency 2 3 4 2 3 3" xfId="7338"/>
    <cellStyle name="Currency 2 3 4 2 3 3 2" xfId="14020"/>
    <cellStyle name="Currency 2 3 4 2 3 4" xfId="12235"/>
    <cellStyle name="Currency 2 3 4 2 4" xfId="5752"/>
    <cellStyle name="Currency 2 3 4 2 4 2" xfId="9493"/>
    <cellStyle name="Currency 2 3 4 2 4 2 2" xfId="15995"/>
    <cellStyle name="Currency 2 3 4 2 4 3" xfId="7774"/>
    <cellStyle name="Currency 2 3 4 2 4 3 2" xfId="14414"/>
    <cellStyle name="Currency 2 3 4 2 4 4" xfId="12645"/>
    <cellStyle name="Currency 2 3 4 2 5" xfId="9867"/>
    <cellStyle name="Currency 2 3 4 2 5 2" xfId="16348"/>
    <cellStyle name="Currency 2 3 4 2 6" xfId="8251"/>
    <cellStyle name="Currency 2 3 4 2 6 2" xfId="14808"/>
    <cellStyle name="Currency 2 3 4 2 7" xfId="6532"/>
    <cellStyle name="Currency 2 3 4 2 7 2" xfId="13222"/>
    <cellStyle name="Currency 2 3 4 2 8" xfId="11432"/>
    <cellStyle name="Currency 2 3 4 2 9" xfId="16685"/>
    <cellStyle name="Currency 2 3 4 3" xfId="4830"/>
    <cellStyle name="Currency 2 3 4 3 2" xfId="8573"/>
    <cellStyle name="Currency 2 3 4 3 2 2" xfId="15121"/>
    <cellStyle name="Currency 2 3 4 3 3" xfId="6854"/>
    <cellStyle name="Currency 2 3 4 3 3 2" xfId="13540"/>
    <cellStyle name="Currency 2 3 4 3 4" xfId="11755"/>
    <cellStyle name="Currency 2 3 4 4" xfId="5117"/>
    <cellStyle name="Currency 2 3 4 4 2" xfId="8860"/>
    <cellStyle name="Currency 2 3 4 4 2 2" xfId="15404"/>
    <cellStyle name="Currency 2 3 4 4 3" xfId="7141"/>
    <cellStyle name="Currency 2 3 4 4 3 2" xfId="13823"/>
    <cellStyle name="Currency 2 3 4 4 4" xfId="12038"/>
    <cellStyle name="Currency 2 3 4 5" xfId="5550"/>
    <cellStyle name="Currency 2 3 4 5 2" xfId="9291"/>
    <cellStyle name="Currency 2 3 4 5 2 2" xfId="15798"/>
    <cellStyle name="Currency 2 3 4 5 3" xfId="7572"/>
    <cellStyle name="Currency 2 3 4 5 3 2" xfId="14217"/>
    <cellStyle name="Currency 2 3 4 5 4" xfId="12443"/>
    <cellStyle name="Currency 2 3 4 6" xfId="9821"/>
    <cellStyle name="Currency 2 3 4 6 2" xfId="16307"/>
    <cellStyle name="Currency 2 3 4 7" xfId="8008"/>
    <cellStyle name="Currency 2 3 4 7 2" xfId="14611"/>
    <cellStyle name="Currency 2 3 4 8" xfId="6271"/>
    <cellStyle name="Currency 2 3 4 8 2" xfId="12996"/>
    <cellStyle name="Currency 2 3 4 9" xfId="11224"/>
    <cellStyle name="Currency 2 3 5" xfId="4434"/>
    <cellStyle name="Currency 2 3 5 10" xfId="16686"/>
    <cellStyle name="Currency 2 3 5 2" xfId="4643"/>
    <cellStyle name="Currency 2 3 5 2 2" xfId="4873"/>
    <cellStyle name="Currency 2 3 5 2 2 2" xfId="8616"/>
    <cellStyle name="Currency 2 3 5 2 2 2 2" xfId="15164"/>
    <cellStyle name="Currency 2 3 5 2 2 3" xfId="6897"/>
    <cellStyle name="Currency 2 3 5 2 2 3 2" xfId="13583"/>
    <cellStyle name="Currency 2 3 5 2 2 4" xfId="11798"/>
    <cellStyle name="Currency 2 3 5 2 3" xfId="5470"/>
    <cellStyle name="Currency 2 3 5 2 3 2" xfId="9213"/>
    <cellStyle name="Currency 2 3 5 2 3 2 2" xfId="15757"/>
    <cellStyle name="Currency 2 3 5 2 3 3" xfId="7494"/>
    <cellStyle name="Currency 2 3 5 2 3 3 2" xfId="14176"/>
    <cellStyle name="Currency 2 3 5 2 3 4" xfId="12391"/>
    <cellStyle name="Currency 2 3 5 2 4" xfId="5908"/>
    <cellStyle name="Currency 2 3 5 2 4 2" xfId="9649"/>
    <cellStyle name="Currency 2 3 5 2 4 2 2" xfId="16151"/>
    <cellStyle name="Currency 2 3 5 2 4 3" xfId="7930"/>
    <cellStyle name="Currency 2 3 5 2 4 3 2" xfId="14570"/>
    <cellStyle name="Currency 2 3 5 2 4 4" xfId="12801"/>
    <cellStyle name="Currency 2 3 5 2 5" xfId="9869"/>
    <cellStyle name="Currency 2 3 5 2 5 2" xfId="16350"/>
    <cellStyle name="Currency 2 3 5 2 6" xfId="8407"/>
    <cellStyle name="Currency 2 3 5 2 6 2" xfId="14964"/>
    <cellStyle name="Currency 2 3 5 2 7" xfId="6688"/>
    <cellStyle name="Currency 2 3 5 2 7 2" xfId="13378"/>
    <cellStyle name="Currency 2 3 5 2 8" xfId="11588"/>
    <cellStyle name="Currency 2 3 5 2 9" xfId="16687"/>
    <cellStyle name="Currency 2 3 5 3" xfId="4872"/>
    <cellStyle name="Currency 2 3 5 3 2" xfId="8615"/>
    <cellStyle name="Currency 2 3 5 3 2 2" xfId="15163"/>
    <cellStyle name="Currency 2 3 5 3 3" xfId="6896"/>
    <cellStyle name="Currency 2 3 5 3 3 2" xfId="13582"/>
    <cellStyle name="Currency 2 3 5 3 4" xfId="11797"/>
    <cellStyle name="Currency 2 3 5 4" xfId="5273"/>
    <cellStyle name="Currency 2 3 5 4 2" xfId="9016"/>
    <cellStyle name="Currency 2 3 5 4 2 2" xfId="15560"/>
    <cellStyle name="Currency 2 3 5 4 3" xfId="7297"/>
    <cellStyle name="Currency 2 3 5 4 3 2" xfId="13979"/>
    <cellStyle name="Currency 2 3 5 4 4" xfId="12194"/>
    <cellStyle name="Currency 2 3 5 5" xfId="5711"/>
    <cellStyle name="Currency 2 3 5 5 2" xfId="9452"/>
    <cellStyle name="Currency 2 3 5 5 2 2" xfId="15954"/>
    <cellStyle name="Currency 2 3 5 5 3" xfId="7733"/>
    <cellStyle name="Currency 2 3 5 5 3 2" xfId="14373"/>
    <cellStyle name="Currency 2 3 5 5 4" xfId="12604"/>
    <cellStyle name="Currency 2 3 5 6" xfId="9868"/>
    <cellStyle name="Currency 2 3 5 6 2" xfId="16349"/>
    <cellStyle name="Currency 2 3 5 7" xfId="8210"/>
    <cellStyle name="Currency 2 3 5 7 2" xfId="14767"/>
    <cellStyle name="Currency 2 3 5 8" xfId="6491"/>
    <cellStyle name="Currency 2 3 5 8 2" xfId="13181"/>
    <cellStyle name="Currency 2 3 5 9" xfId="11389"/>
    <cellStyle name="Currency 2 3 6" xfId="4453"/>
    <cellStyle name="Currency 2 3 6 2" xfId="4874"/>
    <cellStyle name="Currency 2 3 6 2 2" xfId="8617"/>
    <cellStyle name="Currency 2 3 6 2 2 2" xfId="15165"/>
    <cellStyle name="Currency 2 3 6 2 3" xfId="6898"/>
    <cellStyle name="Currency 2 3 6 2 3 2" xfId="13584"/>
    <cellStyle name="Currency 2 3 6 2 4" xfId="11799"/>
    <cellStyle name="Currency 2 3 6 3" xfId="5281"/>
    <cellStyle name="Currency 2 3 6 3 2" xfId="9024"/>
    <cellStyle name="Currency 2 3 6 3 2 2" xfId="15568"/>
    <cellStyle name="Currency 2 3 6 3 3" xfId="7305"/>
    <cellStyle name="Currency 2 3 6 3 3 2" xfId="13987"/>
    <cellStyle name="Currency 2 3 6 3 4" xfId="12202"/>
    <cellStyle name="Currency 2 3 6 4" xfId="5719"/>
    <cellStyle name="Currency 2 3 6 4 2" xfId="9460"/>
    <cellStyle name="Currency 2 3 6 4 2 2" xfId="15962"/>
    <cellStyle name="Currency 2 3 6 4 3" xfId="7741"/>
    <cellStyle name="Currency 2 3 6 4 3 2" xfId="14381"/>
    <cellStyle name="Currency 2 3 6 4 4" xfId="12612"/>
    <cellStyle name="Currency 2 3 6 5" xfId="9870"/>
    <cellStyle name="Currency 2 3 6 5 2" xfId="16351"/>
    <cellStyle name="Currency 2 3 6 6" xfId="8218"/>
    <cellStyle name="Currency 2 3 6 6 2" xfId="14775"/>
    <cellStyle name="Currency 2 3 6 7" xfId="6499"/>
    <cellStyle name="Currency 2 3 6 7 2" xfId="13189"/>
    <cellStyle name="Currency 2 3 6 8" xfId="11398"/>
    <cellStyle name="Currency 2 3 6 9" xfId="16688"/>
    <cellStyle name="Currency 2 3 7" xfId="4674"/>
    <cellStyle name="Currency 2 3 7 2" xfId="8420"/>
    <cellStyle name="Currency 2 3 7 2 2" xfId="14972"/>
    <cellStyle name="Currency 2 3 7 3" xfId="6701"/>
    <cellStyle name="Currency 2 3 7 3 2" xfId="13391"/>
    <cellStyle name="Currency 2 3 7 4" xfId="11605"/>
    <cellStyle name="Currency 2 3 8" xfId="5080"/>
    <cellStyle name="Currency 2 3 8 2" xfId="8823"/>
    <cellStyle name="Currency 2 3 8 2 2" xfId="15371"/>
    <cellStyle name="Currency 2 3 8 3" xfId="7104"/>
    <cellStyle name="Currency 2 3 8 3 2" xfId="13790"/>
    <cellStyle name="Currency 2 3 8 4" xfId="12005"/>
    <cellStyle name="Currency 2 3 9" xfId="5517"/>
    <cellStyle name="Currency 2 3 9 2" xfId="9258"/>
    <cellStyle name="Currency 2 3 9 2 2" xfId="15765"/>
    <cellStyle name="Currency 2 3 9 3" xfId="7539"/>
    <cellStyle name="Currency 2 3 9 3 2" xfId="14184"/>
    <cellStyle name="Currency 2 3 9 4" xfId="12410"/>
    <cellStyle name="Currency 2 4" xfId="36"/>
    <cellStyle name="Currency 2 4 10" xfId="5935"/>
    <cellStyle name="Currency 2 4 10 2" xfId="12828"/>
    <cellStyle name="Currency 2 4 11" xfId="10270"/>
    <cellStyle name="Currency 2 4 12" xfId="16635"/>
    <cellStyle name="Currency 2 4 2" xfId="3913"/>
    <cellStyle name="Currency 2 4 2 10" xfId="16648"/>
    <cellStyle name="Currency 2 4 2 2" xfId="4488"/>
    <cellStyle name="Currency 2 4 2 2 2" xfId="4875"/>
    <cellStyle name="Currency 2 4 2 2 2 2" xfId="8618"/>
    <cellStyle name="Currency 2 4 2 2 2 2 2" xfId="15166"/>
    <cellStyle name="Currency 2 4 2 2 2 3" xfId="6899"/>
    <cellStyle name="Currency 2 4 2 2 2 3 2" xfId="13585"/>
    <cellStyle name="Currency 2 4 2 2 2 4" xfId="11800"/>
    <cellStyle name="Currency 2 4 2 2 3" xfId="5315"/>
    <cellStyle name="Currency 2 4 2 2 3 2" xfId="9058"/>
    <cellStyle name="Currency 2 4 2 2 3 2 2" xfId="15602"/>
    <cellStyle name="Currency 2 4 2 2 3 3" xfId="7339"/>
    <cellStyle name="Currency 2 4 2 2 3 3 2" xfId="14021"/>
    <cellStyle name="Currency 2 4 2 2 3 4" xfId="12236"/>
    <cellStyle name="Currency 2 4 2 2 4" xfId="5753"/>
    <cellStyle name="Currency 2 4 2 2 4 2" xfId="9494"/>
    <cellStyle name="Currency 2 4 2 2 4 2 2" xfId="15996"/>
    <cellStyle name="Currency 2 4 2 2 4 3" xfId="7775"/>
    <cellStyle name="Currency 2 4 2 2 4 3 2" xfId="14415"/>
    <cellStyle name="Currency 2 4 2 2 4 4" xfId="12646"/>
    <cellStyle name="Currency 2 4 2 2 5" xfId="9871"/>
    <cellStyle name="Currency 2 4 2 2 5 2" xfId="16352"/>
    <cellStyle name="Currency 2 4 2 2 6" xfId="8252"/>
    <cellStyle name="Currency 2 4 2 2 6 2" xfId="14809"/>
    <cellStyle name="Currency 2 4 2 2 7" xfId="6533"/>
    <cellStyle name="Currency 2 4 2 2 7 2" xfId="13223"/>
    <cellStyle name="Currency 2 4 2 2 8" xfId="11433"/>
    <cellStyle name="Currency 2 4 2 2 9" xfId="16689"/>
    <cellStyle name="Currency 2 4 2 3" xfId="4767"/>
    <cellStyle name="Currency 2 4 2 3 2" xfId="8510"/>
    <cellStyle name="Currency 2 4 2 3 2 2" xfId="15062"/>
    <cellStyle name="Currency 2 4 2 3 3" xfId="6791"/>
    <cellStyle name="Currency 2 4 2 3 3 2" xfId="13481"/>
    <cellStyle name="Currency 2 4 2 3 4" xfId="11696"/>
    <cellStyle name="Currency 2 4 2 4" xfId="5118"/>
    <cellStyle name="Currency 2 4 2 4 2" xfId="8861"/>
    <cellStyle name="Currency 2 4 2 4 2 2" xfId="15405"/>
    <cellStyle name="Currency 2 4 2 4 3" xfId="7142"/>
    <cellStyle name="Currency 2 4 2 4 3 2" xfId="13824"/>
    <cellStyle name="Currency 2 4 2 4 4" xfId="12039"/>
    <cellStyle name="Currency 2 4 2 5" xfId="5551"/>
    <cellStyle name="Currency 2 4 2 5 2" xfId="9292"/>
    <cellStyle name="Currency 2 4 2 5 2 2" xfId="15799"/>
    <cellStyle name="Currency 2 4 2 5 3" xfId="7573"/>
    <cellStyle name="Currency 2 4 2 5 3 2" xfId="14218"/>
    <cellStyle name="Currency 2 4 2 5 4" xfId="12444"/>
    <cellStyle name="Currency 2 4 2 6" xfId="9757"/>
    <cellStyle name="Currency 2 4 2 6 2" xfId="16248"/>
    <cellStyle name="Currency 2 4 2 7" xfId="8009"/>
    <cellStyle name="Currency 2 4 2 7 2" xfId="14612"/>
    <cellStyle name="Currency 2 4 2 8" xfId="6272"/>
    <cellStyle name="Currency 2 4 2 8 2" xfId="12997"/>
    <cellStyle name="Currency 2 4 2 9" xfId="11225"/>
    <cellStyle name="Currency 2 4 3" xfId="3914"/>
    <cellStyle name="Currency 2 4 3 10" xfId="16654"/>
    <cellStyle name="Currency 2 4 3 2" xfId="4489"/>
    <cellStyle name="Currency 2 4 3 2 2" xfId="4876"/>
    <cellStyle name="Currency 2 4 3 2 2 2" xfId="8619"/>
    <cellStyle name="Currency 2 4 3 2 2 2 2" xfId="15167"/>
    <cellStyle name="Currency 2 4 3 2 2 3" xfId="6900"/>
    <cellStyle name="Currency 2 4 3 2 2 3 2" xfId="13586"/>
    <cellStyle name="Currency 2 4 3 2 2 4" xfId="11801"/>
    <cellStyle name="Currency 2 4 3 2 3" xfId="5316"/>
    <cellStyle name="Currency 2 4 3 2 3 2" xfId="9059"/>
    <cellStyle name="Currency 2 4 3 2 3 2 2" xfId="15603"/>
    <cellStyle name="Currency 2 4 3 2 3 3" xfId="7340"/>
    <cellStyle name="Currency 2 4 3 2 3 3 2" xfId="14022"/>
    <cellStyle name="Currency 2 4 3 2 3 4" xfId="12237"/>
    <cellStyle name="Currency 2 4 3 2 4" xfId="5754"/>
    <cellStyle name="Currency 2 4 3 2 4 2" xfId="9495"/>
    <cellStyle name="Currency 2 4 3 2 4 2 2" xfId="15997"/>
    <cellStyle name="Currency 2 4 3 2 4 3" xfId="7776"/>
    <cellStyle name="Currency 2 4 3 2 4 3 2" xfId="14416"/>
    <cellStyle name="Currency 2 4 3 2 4 4" xfId="12647"/>
    <cellStyle name="Currency 2 4 3 2 5" xfId="9872"/>
    <cellStyle name="Currency 2 4 3 2 5 2" xfId="16353"/>
    <cellStyle name="Currency 2 4 3 2 6" xfId="8253"/>
    <cellStyle name="Currency 2 4 3 2 6 2" xfId="14810"/>
    <cellStyle name="Currency 2 4 3 2 7" xfId="6534"/>
    <cellStyle name="Currency 2 4 3 2 7 2" xfId="13224"/>
    <cellStyle name="Currency 2 4 3 2 8" xfId="11434"/>
    <cellStyle name="Currency 2 4 3 2 9" xfId="16690"/>
    <cellStyle name="Currency 2 4 3 3" xfId="4836"/>
    <cellStyle name="Currency 2 4 3 3 2" xfId="8579"/>
    <cellStyle name="Currency 2 4 3 3 2 2" xfId="15127"/>
    <cellStyle name="Currency 2 4 3 3 3" xfId="6860"/>
    <cellStyle name="Currency 2 4 3 3 3 2" xfId="13546"/>
    <cellStyle name="Currency 2 4 3 3 4" xfId="11761"/>
    <cellStyle name="Currency 2 4 3 4" xfId="5119"/>
    <cellStyle name="Currency 2 4 3 4 2" xfId="8862"/>
    <cellStyle name="Currency 2 4 3 4 2 2" xfId="15406"/>
    <cellStyle name="Currency 2 4 3 4 3" xfId="7143"/>
    <cellStyle name="Currency 2 4 3 4 3 2" xfId="13825"/>
    <cellStyle name="Currency 2 4 3 4 4" xfId="12040"/>
    <cellStyle name="Currency 2 4 3 5" xfId="5552"/>
    <cellStyle name="Currency 2 4 3 5 2" xfId="9293"/>
    <cellStyle name="Currency 2 4 3 5 2 2" xfId="15800"/>
    <cellStyle name="Currency 2 4 3 5 3" xfId="7574"/>
    <cellStyle name="Currency 2 4 3 5 3 2" xfId="14219"/>
    <cellStyle name="Currency 2 4 3 5 4" xfId="12445"/>
    <cellStyle name="Currency 2 4 3 6" xfId="9827"/>
    <cellStyle name="Currency 2 4 3 6 2" xfId="16313"/>
    <cellStyle name="Currency 2 4 3 7" xfId="8010"/>
    <cellStyle name="Currency 2 4 3 7 2" xfId="14613"/>
    <cellStyle name="Currency 2 4 3 8" xfId="6273"/>
    <cellStyle name="Currency 2 4 3 8 2" xfId="12998"/>
    <cellStyle name="Currency 2 4 3 9" xfId="11226"/>
    <cellStyle name="Currency 2 4 4" xfId="4471"/>
    <cellStyle name="Currency 2 4 4 2" xfId="4877"/>
    <cellStyle name="Currency 2 4 4 2 2" xfId="8620"/>
    <cellStyle name="Currency 2 4 4 2 2 2" xfId="15168"/>
    <cellStyle name="Currency 2 4 4 2 3" xfId="6901"/>
    <cellStyle name="Currency 2 4 4 2 3 2" xfId="13587"/>
    <cellStyle name="Currency 2 4 4 2 4" xfId="11802"/>
    <cellStyle name="Currency 2 4 4 3" xfId="5299"/>
    <cellStyle name="Currency 2 4 4 3 2" xfId="9042"/>
    <cellStyle name="Currency 2 4 4 3 2 2" xfId="15586"/>
    <cellStyle name="Currency 2 4 4 3 3" xfId="7323"/>
    <cellStyle name="Currency 2 4 4 3 3 2" xfId="14005"/>
    <cellStyle name="Currency 2 4 4 3 4" xfId="12220"/>
    <cellStyle name="Currency 2 4 4 4" xfId="5737"/>
    <cellStyle name="Currency 2 4 4 4 2" xfId="9478"/>
    <cellStyle name="Currency 2 4 4 4 2 2" xfId="15980"/>
    <cellStyle name="Currency 2 4 4 4 3" xfId="7759"/>
    <cellStyle name="Currency 2 4 4 4 3 2" xfId="14399"/>
    <cellStyle name="Currency 2 4 4 4 4" xfId="12630"/>
    <cellStyle name="Currency 2 4 4 5" xfId="9873"/>
    <cellStyle name="Currency 2 4 4 5 2" xfId="16354"/>
    <cellStyle name="Currency 2 4 4 6" xfId="8236"/>
    <cellStyle name="Currency 2 4 4 6 2" xfId="14793"/>
    <cellStyle name="Currency 2 4 4 7" xfId="6517"/>
    <cellStyle name="Currency 2 4 4 7 2" xfId="13207"/>
    <cellStyle name="Currency 2 4 4 8" xfId="11416"/>
    <cellStyle name="Currency 2 4 4 9" xfId="16691"/>
    <cellStyle name="Currency 2 4 5" xfId="4676"/>
    <cellStyle name="Currency 2 4 5 2" xfId="8422"/>
    <cellStyle name="Currency 2 4 5 2 2" xfId="14974"/>
    <cellStyle name="Currency 2 4 5 3" xfId="6703"/>
    <cellStyle name="Currency 2 4 5 3 2" xfId="13393"/>
    <cellStyle name="Currency 2 4 5 4" xfId="11607"/>
    <cellStyle name="Currency 2 4 6" xfId="5098"/>
    <cellStyle name="Currency 2 4 6 2" xfId="8841"/>
    <cellStyle name="Currency 2 4 6 2 2" xfId="15389"/>
    <cellStyle name="Currency 2 4 6 3" xfId="7122"/>
    <cellStyle name="Currency 2 4 6 3 2" xfId="13808"/>
    <cellStyle name="Currency 2 4 6 4" xfId="12023"/>
    <cellStyle name="Currency 2 4 7" xfId="5535"/>
    <cellStyle name="Currency 2 4 7 2" xfId="9276"/>
    <cellStyle name="Currency 2 4 7 2 2" xfId="15783"/>
    <cellStyle name="Currency 2 4 7 3" xfId="7557"/>
    <cellStyle name="Currency 2 4 7 3 2" xfId="14202"/>
    <cellStyle name="Currency 2 4 7 4" xfId="12428"/>
    <cellStyle name="Currency 2 4 8" xfId="9656"/>
    <cellStyle name="Currency 2 4 8 2" xfId="16158"/>
    <cellStyle name="Currency 2 4 9" xfId="7956"/>
    <cellStyle name="Currency 2 4 9 2" xfId="14596"/>
    <cellStyle name="Currency 2 5" xfId="21"/>
    <cellStyle name="Currency 2 5 2" xfId="4457"/>
    <cellStyle name="Currency 2 5 2 2" xfId="4878"/>
    <cellStyle name="Currency 2 5 2 2 2" xfId="8621"/>
    <cellStyle name="Currency 2 5 2 2 2 2" xfId="15169"/>
    <cellStyle name="Currency 2 5 2 2 3" xfId="6902"/>
    <cellStyle name="Currency 2 5 2 2 3 2" xfId="13588"/>
    <cellStyle name="Currency 2 5 2 2 4" xfId="11803"/>
    <cellStyle name="Currency 2 5 2 3" xfId="5285"/>
    <cellStyle name="Currency 2 5 2 3 2" xfId="9028"/>
    <cellStyle name="Currency 2 5 2 3 2 2" xfId="15572"/>
    <cellStyle name="Currency 2 5 2 3 3" xfId="7309"/>
    <cellStyle name="Currency 2 5 2 3 3 2" xfId="13991"/>
    <cellStyle name="Currency 2 5 2 3 4" xfId="12206"/>
    <cellStyle name="Currency 2 5 2 4" xfId="5723"/>
    <cellStyle name="Currency 2 5 2 4 2" xfId="9464"/>
    <cellStyle name="Currency 2 5 2 4 2 2" xfId="15966"/>
    <cellStyle name="Currency 2 5 2 4 3" xfId="7745"/>
    <cellStyle name="Currency 2 5 2 4 3 2" xfId="14385"/>
    <cellStyle name="Currency 2 5 2 4 4" xfId="12616"/>
    <cellStyle name="Currency 2 5 2 5" xfId="9874"/>
    <cellStyle name="Currency 2 5 2 5 2" xfId="16355"/>
    <cellStyle name="Currency 2 5 2 6" xfId="8222"/>
    <cellStyle name="Currency 2 5 2 6 2" xfId="14779"/>
    <cellStyle name="Currency 2 5 2 7" xfId="6503"/>
    <cellStyle name="Currency 2 5 2 7 2" xfId="13193"/>
    <cellStyle name="Currency 2 5 2 8" xfId="11402"/>
    <cellStyle name="Currency 2 5 2 9" xfId="16692"/>
    <cellStyle name="Currency 2 5 3" xfId="4694"/>
    <cellStyle name="Currency 2 5 4" xfId="5084"/>
    <cellStyle name="Currency 2 5 4 2" xfId="8827"/>
    <cellStyle name="Currency 2 5 4 2 2" xfId="15375"/>
    <cellStyle name="Currency 2 5 4 3" xfId="7108"/>
    <cellStyle name="Currency 2 5 4 3 2" xfId="13794"/>
    <cellStyle name="Currency 2 5 4 4" xfId="12009"/>
    <cellStyle name="Currency 2 5 5" xfId="5521"/>
    <cellStyle name="Currency 2 5 5 2" xfId="9262"/>
    <cellStyle name="Currency 2 5 5 2 2" xfId="15769"/>
    <cellStyle name="Currency 2 5 5 3" xfId="7543"/>
    <cellStyle name="Currency 2 5 5 3 2" xfId="14188"/>
    <cellStyle name="Currency 2 5 5 4" xfId="12414"/>
    <cellStyle name="Currency 2 5 6" xfId="7942"/>
    <cellStyle name="Currency 2 5 6 2" xfId="14582"/>
    <cellStyle name="Currency 2 5 7" xfId="5921"/>
    <cellStyle name="Currency 2 5 7 2" xfId="12814"/>
    <cellStyle name="Currency 2 5 8" xfId="10256"/>
    <cellStyle name="Currency 2 6" xfId="3915"/>
    <cellStyle name="Currency 2 6 10" xfId="16645"/>
    <cellStyle name="Currency 2 6 2" xfId="4490"/>
    <cellStyle name="Currency 2 6 2 2" xfId="4879"/>
    <cellStyle name="Currency 2 6 2 2 2" xfId="8622"/>
    <cellStyle name="Currency 2 6 2 2 2 2" xfId="15170"/>
    <cellStyle name="Currency 2 6 2 2 3" xfId="6903"/>
    <cellStyle name="Currency 2 6 2 2 3 2" xfId="13589"/>
    <cellStyle name="Currency 2 6 2 2 4" xfId="11804"/>
    <cellStyle name="Currency 2 6 2 3" xfId="5317"/>
    <cellStyle name="Currency 2 6 2 3 2" xfId="9060"/>
    <cellStyle name="Currency 2 6 2 3 2 2" xfId="15604"/>
    <cellStyle name="Currency 2 6 2 3 3" xfId="7341"/>
    <cellStyle name="Currency 2 6 2 3 3 2" xfId="14023"/>
    <cellStyle name="Currency 2 6 2 3 4" xfId="12238"/>
    <cellStyle name="Currency 2 6 2 4" xfId="5755"/>
    <cellStyle name="Currency 2 6 2 4 2" xfId="9496"/>
    <cellStyle name="Currency 2 6 2 4 2 2" xfId="15998"/>
    <cellStyle name="Currency 2 6 2 4 3" xfId="7777"/>
    <cellStyle name="Currency 2 6 2 4 3 2" xfId="14417"/>
    <cellStyle name="Currency 2 6 2 4 4" xfId="12648"/>
    <cellStyle name="Currency 2 6 2 5" xfId="9875"/>
    <cellStyle name="Currency 2 6 2 5 2" xfId="16356"/>
    <cellStyle name="Currency 2 6 2 6" xfId="8254"/>
    <cellStyle name="Currency 2 6 2 6 2" xfId="14811"/>
    <cellStyle name="Currency 2 6 2 7" xfId="6535"/>
    <cellStyle name="Currency 2 6 2 7 2" xfId="13225"/>
    <cellStyle name="Currency 2 6 2 8" xfId="11435"/>
    <cellStyle name="Currency 2 6 2 9" xfId="16693"/>
    <cellStyle name="Currency 2 6 3" xfId="4764"/>
    <cellStyle name="Currency 2 6 3 2" xfId="8507"/>
    <cellStyle name="Currency 2 6 3 2 2" xfId="15059"/>
    <cellStyle name="Currency 2 6 3 3" xfId="6788"/>
    <cellStyle name="Currency 2 6 3 3 2" xfId="13478"/>
    <cellStyle name="Currency 2 6 3 4" xfId="11693"/>
    <cellStyle name="Currency 2 6 4" xfId="5120"/>
    <cellStyle name="Currency 2 6 4 2" xfId="8863"/>
    <cellStyle name="Currency 2 6 4 2 2" xfId="15407"/>
    <cellStyle name="Currency 2 6 4 3" xfId="7144"/>
    <cellStyle name="Currency 2 6 4 3 2" xfId="13826"/>
    <cellStyle name="Currency 2 6 4 4" xfId="12041"/>
    <cellStyle name="Currency 2 6 5" xfId="5553"/>
    <cellStyle name="Currency 2 6 5 2" xfId="9294"/>
    <cellStyle name="Currency 2 6 5 2 2" xfId="15801"/>
    <cellStyle name="Currency 2 6 5 3" xfId="7575"/>
    <cellStyle name="Currency 2 6 5 3 2" xfId="14220"/>
    <cellStyle name="Currency 2 6 5 4" xfId="12446"/>
    <cellStyle name="Currency 2 6 6" xfId="9754"/>
    <cellStyle name="Currency 2 6 6 2" xfId="16245"/>
    <cellStyle name="Currency 2 6 7" xfId="8011"/>
    <cellStyle name="Currency 2 6 7 2" xfId="14614"/>
    <cellStyle name="Currency 2 6 8" xfId="6274"/>
    <cellStyle name="Currency 2 6 8 2" xfId="12999"/>
    <cellStyle name="Currency 2 6 9" xfId="11227"/>
    <cellStyle name="Currency 2 7" xfId="3916"/>
    <cellStyle name="Currency 2 7 10" xfId="16652"/>
    <cellStyle name="Currency 2 7 2" xfId="4491"/>
    <cellStyle name="Currency 2 7 2 2" xfId="4880"/>
    <cellStyle name="Currency 2 7 2 2 2" xfId="8623"/>
    <cellStyle name="Currency 2 7 2 2 2 2" xfId="15171"/>
    <cellStyle name="Currency 2 7 2 2 3" xfId="6904"/>
    <cellStyle name="Currency 2 7 2 2 3 2" xfId="13590"/>
    <cellStyle name="Currency 2 7 2 2 4" xfId="11805"/>
    <cellStyle name="Currency 2 7 2 3" xfId="5318"/>
    <cellStyle name="Currency 2 7 2 3 2" xfId="9061"/>
    <cellStyle name="Currency 2 7 2 3 2 2" xfId="15605"/>
    <cellStyle name="Currency 2 7 2 3 3" xfId="7342"/>
    <cellStyle name="Currency 2 7 2 3 3 2" xfId="14024"/>
    <cellStyle name="Currency 2 7 2 3 4" xfId="12239"/>
    <cellStyle name="Currency 2 7 2 4" xfId="5756"/>
    <cellStyle name="Currency 2 7 2 4 2" xfId="9497"/>
    <cellStyle name="Currency 2 7 2 4 2 2" xfId="15999"/>
    <cellStyle name="Currency 2 7 2 4 3" xfId="7778"/>
    <cellStyle name="Currency 2 7 2 4 3 2" xfId="14418"/>
    <cellStyle name="Currency 2 7 2 4 4" xfId="12649"/>
    <cellStyle name="Currency 2 7 2 5" xfId="9876"/>
    <cellStyle name="Currency 2 7 2 5 2" xfId="16357"/>
    <cellStyle name="Currency 2 7 2 6" xfId="8255"/>
    <cellStyle name="Currency 2 7 2 6 2" xfId="14812"/>
    <cellStyle name="Currency 2 7 2 7" xfId="6536"/>
    <cellStyle name="Currency 2 7 2 7 2" xfId="13226"/>
    <cellStyle name="Currency 2 7 2 8" xfId="11436"/>
    <cellStyle name="Currency 2 7 2 9" xfId="16694"/>
    <cellStyle name="Currency 2 7 3" xfId="4822"/>
    <cellStyle name="Currency 2 7 3 2" xfId="8565"/>
    <cellStyle name="Currency 2 7 3 2 2" xfId="15113"/>
    <cellStyle name="Currency 2 7 3 3" xfId="6846"/>
    <cellStyle name="Currency 2 7 3 3 2" xfId="13532"/>
    <cellStyle name="Currency 2 7 3 4" xfId="11747"/>
    <cellStyle name="Currency 2 7 4" xfId="5121"/>
    <cellStyle name="Currency 2 7 4 2" xfId="8864"/>
    <cellStyle name="Currency 2 7 4 2 2" xfId="15408"/>
    <cellStyle name="Currency 2 7 4 3" xfId="7145"/>
    <cellStyle name="Currency 2 7 4 3 2" xfId="13827"/>
    <cellStyle name="Currency 2 7 4 4" xfId="12042"/>
    <cellStyle name="Currency 2 7 5" xfId="5554"/>
    <cellStyle name="Currency 2 7 5 2" xfId="9295"/>
    <cellStyle name="Currency 2 7 5 2 2" xfId="15802"/>
    <cellStyle name="Currency 2 7 5 3" xfId="7576"/>
    <cellStyle name="Currency 2 7 5 3 2" xfId="14221"/>
    <cellStyle name="Currency 2 7 5 4" xfId="12447"/>
    <cellStyle name="Currency 2 7 6" xfId="9813"/>
    <cellStyle name="Currency 2 7 6 2" xfId="16299"/>
    <cellStyle name="Currency 2 7 7" xfId="8012"/>
    <cellStyle name="Currency 2 7 7 2" xfId="14615"/>
    <cellStyle name="Currency 2 7 8" xfId="6275"/>
    <cellStyle name="Currency 2 7 8 2" xfId="13000"/>
    <cellStyle name="Currency 2 7 9" xfId="11228"/>
    <cellStyle name="Currency 2 8" xfId="4408"/>
    <cellStyle name="Currency 2 8 10" xfId="16695"/>
    <cellStyle name="Currency 2 8 2" xfId="4622"/>
    <cellStyle name="Currency 2 8 2 2" xfId="4882"/>
    <cellStyle name="Currency 2 8 2 2 2" xfId="8625"/>
    <cellStyle name="Currency 2 8 2 2 2 2" xfId="15173"/>
    <cellStyle name="Currency 2 8 2 2 3" xfId="6906"/>
    <cellStyle name="Currency 2 8 2 2 3 2" xfId="13592"/>
    <cellStyle name="Currency 2 8 2 2 4" xfId="11807"/>
    <cellStyle name="Currency 2 8 2 3" xfId="5449"/>
    <cellStyle name="Currency 2 8 2 3 2" xfId="9192"/>
    <cellStyle name="Currency 2 8 2 3 2 2" xfId="15736"/>
    <cellStyle name="Currency 2 8 2 3 3" xfId="7473"/>
    <cellStyle name="Currency 2 8 2 3 3 2" xfId="14155"/>
    <cellStyle name="Currency 2 8 2 3 4" xfId="12370"/>
    <cellStyle name="Currency 2 8 2 4" xfId="5887"/>
    <cellStyle name="Currency 2 8 2 4 2" xfId="9628"/>
    <cellStyle name="Currency 2 8 2 4 2 2" xfId="16130"/>
    <cellStyle name="Currency 2 8 2 4 3" xfId="7909"/>
    <cellStyle name="Currency 2 8 2 4 3 2" xfId="14549"/>
    <cellStyle name="Currency 2 8 2 4 4" xfId="12780"/>
    <cellStyle name="Currency 2 8 2 5" xfId="9878"/>
    <cellStyle name="Currency 2 8 2 5 2" xfId="16359"/>
    <cellStyle name="Currency 2 8 2 6" xfId="8386"/>
    <cellStyle name="Currency 2 8 2 6 2" xfId="14943"/>
    <cellStyle name="Currency 2 8 2 7" xfId="6667"/>
    <cellStyle name="Currency 2 8 2 7 2" xfId="13357"/>
    <cellStyle name="Currency 2 8 2 8" xfId="11567"/>
    <cellStyle name="Currency 2 8 2 9" xfId="16696"/>
    <cellStyle name="Currency 2 8 3" xfId="4881"/>
    <cellStyle name="Currency 2 8 3 2" xfId="8624"/>
    <cellStyle name="Currency 2 8 3 2 2" xfId="15172"/>
    <cellStyle name="Currency 2 8 3 3" xfId="6905"/>
    <cellStyle name="Currency 2 8 3 3 2" xfId="13591"/>
    <cellStyle name="Currency 2 8 3 4" xfId="11806"/>
    <cellStyle name="Currency 2 8 4" xfId="5252"/>
    <cellStyle name="Currency 2 8 4 2" xfId="8995"/>
    <cellStyle name="Currency 2 8 4 2 2" xfId="15539"/>
    <cellStyle name="Currency 2 8 4 3" xfId="7276"/>
    <cellStyle name="Currency 2 8 4 3 2" xfId="13958"/>
    <cellStyle name="Currency 2 8 4 4" xfId="12173"/>
    <cellStyle name="Currency 2 8 5" xfId="5690"/>
    <cellStyle name="Currency 2 8 5 2" xfId="9431"/>
    <cellStyle name="Currency 2 8 5 2 2" xfId="15933"/>
    <cellStyle name="Currency 2 8 5 3" xfId="7712"/>
    <cellStyle name="Currency 2 8 5 3 2" xfId="14352"/>
    <cellStyle name="Currency 2 8 5 4" xfId="12583"/>
    <cellStyle name="Currency 2 8 6" xfId="9877"/>
    <cellStyle name="Currency 2 8 6 2" xfId="16358"/>
    <cellStyle name="Currency 2 8 7" xfId="8189"/>
    <cellStyle name="Currency 2 8 7 2" xfId="14746"/>
    <cellStyle name="Currency 2 8 8" xfId="6470"/>
    <cellStyle name="Currency 2 8 8 2" xfId="13160"/>
    <cellStyle name="Currency 2 8 9" xfId="11366"/>
    <cellStyle name="Currency 2 9" xfId="4425"/>
    <cellStyle name="Currency 2 9 10" xfId="16697"/>
    <cellStyle name="Currency 2 9 2" xfId="4634"/>
    <cellStyle name="Currency 2 9 2 2" xfId="4884"/>
    <cellStyle name="Currency 2 9 2 2 2" xfId="8627"/>
    <cellStyle name="Currency 2 9 2 2 2 2" xfId="15175"/>
    <cellStyle name="Currency 2 9 2 2 3" xfId="6908"/>
    <cellStyle name="Currency 2 9 2 2 3 2" xfId="13594"/>
    <cellStyle name="Currency 2 9 2 2 4" xfId="11809"/>
    <cellStyle name="Currency 2 9 2 3" xfId="5461"/>
    <cellStyle name="Currency 2 9 2 3 2" xfId="9204"/>
    <cellStyle name="Currency 2 9 2 3 2 2" xfId="15748"/>
    <cellStyle name="Currency 2 9 2 3 3" xfId="7485"/>
    <cellStyle name="Currency 2 9 2 3 3 2" xfId="14167"/>
    <cellStyle name="Currency 2 9 2 3 4" xfId="12382"/>
    <cellStyle name="Currency 2 9 2 4" xfId="5899"/>
    <cellStyle name="Currency 2 9 2 4 2" xfId="9640"/>
    <cellStyle name="Currency 2 9 2 4 2 2" xfId="16142"/>
    <cellStyle name="Currency 2 9 2 4 3" xfId="7921"/>
    <cellStyle name="Currency 2 9 2 4 3 2" xfId="14561"/>
    <cellStyle name="Currency 2 9 2 4 4" xfId="12792"/>
    <cellStyle name="Currency 2 9 2 5" xfId="9880"/>
    <cellStyle name="Currency 2 9 2 5 2" xfId="16361"/>
    <cellStyle name="Currency 2 9 2 6" xfId="8398"/>
    <cellStyle name="Currency 2 9 2 6 2" xfId="14955"/>
    <cellStyle name="Currency 2 9 2 7" xfId="6679"/>
    <cellStyle name="Currency 2 9 2 7 2" xfId="13369"/>
    <cellStyle name="Currency 2 9 2 8" xfId="11579"/>
    <cellStyle name="Currency 2 9 2 9" xfId="16698"/>
    <cellStyle name="Currency 2 9 3" xfId="4883"/>
    <cellStyle name="Currency 2 9 3 2" xfId="8626"/>
    <cellStyle name="Currency 2 9 3 2 2" xfId="15174"/>
    <cellStyle name="Currency 2 9 3 3" xfId="6907"/>
    <cellStyle name="Currency 2 9 3 3 2" xfId="13593"/>
    <cellStyle name="Currency 2 9 3 4" xfId="11808"/>
    <cellStyle name="Currency 2 9 4" xfId="5264"/>
    <cellStyle name="Currency 2 9 4 2" xfId="9007"/>
    <cellStyle name="Currency 2 9 4 2 2" xfId="15551"/>
    <cellStyle name="Currency 2 9 4 3" xfId="7288"/>
    <cellStyle name="Currency 2 9 4 3 2" xfId="13970"/>
    <cellStyle name="Currency 2 9 4 4" xfId="12185"/>
    <cellStyle name="Currency 2 9 5" xfId="5702"/>
    <cellStyle name="Currency 2 9 5 2" xfId="9443"/>
    <cellStyle name="Currency 2 9 5 2 2" xfId="15945"/>
    <cellStyle name="Currency 2 9 5 3" xfId="7724"/>
    <cellStyle name="Currency 2 9 5 3 2" xfId="14364"/>
    <cellStyle name="Currency 2 9 5 4" xfId="12595"/>
    <cellStyle name="Currency 2 9 6" xfId="9879"/>
    <cellStyle name="Currency 2 9 6 2" xfId="16360"/>
    <cellStyle name="Currency 2 9 7" xfId="8201"/>
    <cellStyle name="Currency 2 9 7 2" xfId="14758"/>
    <cellStyle name="Currency 2 9 8" xfId="6482"/>
    <cellStyle name="Currency 2 9 8 2" xfId="13172"/>
    <cellStyle name="Currency 2 9 9" xfId="11380"/>
    <cellStyle name="Currency 2*" xfId="3917"/>
    <cellStyle name="Currency 2_Model_Sep_2_02" xfId="3918"/>
    <cellStyle name="Currency 3" xfId="3919"/>
    <cellStyle name="Currency 3 10" xfId="8013"/>
    <cellStyle name="Currency 3 10 2" xfId="14616"/>
    <cellStyle name="Currency 3 11" xfId="6276"/>
    <cellStyle name="Currency 3 11 2" xfId="13001"/>
    <cellStyle name="Currency 3 12" xfId="11229"/>
    <cellStyle name="Currency 3 2" xfId="3920"/>
    <cellStyle name="Currency 3 2 2" xfId="4493"/>
    <cellStyle name="Currency 3 2 2 2" xfId="4885"/>
    <cellStyle name="Currency 3 2 2 2 2" xfId="8628"/>
    <cellStyle name="Currency 3 2 2 2 2 2" xfId="15176"/>
    <cellStyle name="Currency 3 2 2 2 3" xfId="6909"/>
    <cellStyle name="Currency 3 2 2 2 3 2" xfId="13595"/>
    <cellStyle name="Currency 3 2 2 2 4" xfId="11810"/>
    <cellStyle name="Currency 3 2 2 3" xfId="5320"/>
    <cellStyle name="Currency 3 2 2 3 2" xfId="9063"/>
    <cellStyle name="Currency 3 2 2 3 2 2" xfId="15607"/>
    <cellStyle name="Currency 3 2 2 3 3" xfId="7344"/>
    <cellStyle name="Currency 3 2 2 3 3 2" xfId="14026"/>
    <cellStyle name="Currency 3 2 2 3 4" xfId="12241"/>
    <cellStyle name="Currency 3 2 2 4" xfId="5758"/>
    <cellStyle name="Currency 3 2 2 4 2" xfId="9499"/>
    <cellStyle name="Currency 3 2 2 4 2 2" xfId="16001"/>
    <cellStyle name="Currency 3 2 2 4 3" xfId="7780"/>
    <cellStyle name="Currency 3 2 2 4 3 2" xfId="14420"/>
    <cellStyle name="Currency 3 2 2 4 4" xfId="12651"/>
    <cellStyle name="Currency 3 2 2 5" xfId="9881"/>
    <cellStyle name="Currency 3 2 2 5 2" xfId="16362"/>
    <cellStyle name="Currency 3 2 2 6" xfId="8257"/>
    <cellStyle name="Currency 3 2 2 6 2" xfId="14814"/>
    <cellStyle name="Currency 3 2 2 7" xfId="6538"/>
    <cellStyle name="Currency 3 2 2 7 2" xfId="13228"/>
    <cellStyle name="Currency 3 2 2 8" xfId="11438"/>
    <cellStyle name="Currency 3 2 3" xfId="4758"/>
    <cellStyle name="Currency 3 2 3 2" xfId="8501"/>
    <cellStyle name="Currency 3 2 3 2 2" xfId="15053"/>
    <cellStyle name="Currency 3 2 3 3" xfId="6782"/>
    <cellStyle name="Currency 3 2 3 3 2" xfId="13472"/>
    <cellStyle name="Currency 3 2 3 4" xfId="11687"/>
    <cellStyle name="Currency 3 2 4" xfId="5123"/>
    <cellStyle name="Currency 3 2 4 2" xfId="8866"/>
    <cellStyle name="Currency 3 2 4 2 2" xfId="15410"/>
    <cellStyle name="Currency 3 2 4 3" xfId="7147"/>
    <cellStyle name="Currency 3 2 4 3 2" xfId="13829"/>
    <cellStyle name="Currency 3 2 4 4" xfId="12044"/>
    <cellStyle name="Currency 3 2 5" xfId="5556"/>
    <cellStyle name="Currency 3 2 5 2" xfId="9297"/>
    <cellStyle name="Currency 3 2 5 2 2" xfId="15804"/>
    <cellStyle name="Currency 3 2 5 3" xfId="7578"/>
    <cellStyle name="Currency 3 2 5 3 2" xfId="14223"/>
    <cellStyle name="Currency 3 2 5 4" xfId="12449"/>
    <cellStyle name="Currency 3 2 6" xfId="9748"/>
    <cellStyle name="Currency 3 2 6 2" xfId="16239"/>
    <cellStyle name="Currency 3 2 7" xfId="8014"/>
    <cellStyle name="Currency 3 2 7 2" xfId="14617"/>
    <cellStyle name="Currency 3 2 8" xfId="6277"/>
    <cellStyle name="Currency 3 2 8 2" xfId="13002"/>
    <cellStyle name="Currency 3 2 9" xfId="11230"/>
    <cellStyle name="Currency 3 3" xfId="4415"/>
    <cellStyle name="Currency 3 3 10" xfId="16699"/>
    <cellStyle name="Currency 3 3 2" xfId="4625"/>
    <cellStyle name="Currency 3 3 2 2" xfId="4887"/>
    <cellStyle name="Currency 3 3 2 2 2" xfId="8630"/>
    <cellStyle name="Currency 3 3 2 2 2 2" xfId="15178"/>
    <cellStyle name="Currency 3 3 2 2 3" xfId="6911"/>
    <cellStyle name="Currency 3 3 2 2 3 2" xfId="13597"/>
    <cellStyle name="Currency 3 3 2 2 4" xfId="11812"/>
    <cellStyle name="Currency 3 3 2 3" xfId="5452"/>
    <cellStyle name="Currency 3 3 2 3 2" xfId="9195"/>
    <cellStyle name="Currency 3 3 2 3 2 2" xfId="15739"/>
    <cellStyle name="Currency 3 3 2 3 3" xfId="7476"/>
    <cellStyle name="Currency 3 3 2 3 3 2" xfId="14158"/>
    <cellStyle name="Currency 3 3 2 3 4" xfId="12373"/>
    <cellStyle name="Currency 3 3 2 4" xfId="5890"/>
    <cellStyle name="Currency 3 3 2 4 2" xfId="9631"/>
    <cellStyle name="Currency 3 3 2 4 2 2" xfId="16133"/>
    <cellStyle name="Currency 3 3 2 4 3" xfId="7912"/>
    <cellStyle name="Currency 3 3 2 4 3 2" xfId="14552"/>
    <cellStyle name="Currency 3 3 2 4 4" xfId="12783"/>
    <cellStyle name="Currency 3 3 2 5" xfId="9883"/>
    <cellStyle name="Currency 3 3 2 5 2" xfId="16364"/>
    <cellStyle name="Currency 3 3 2 6" xfId="8389"/>
    <cellStyle name="Currency 3 3 2 6 2" xfId="14946"/>
    <cellStyle name="Currency 3 3 2 7" xfId="6670"/>
    <cellStyle name="Currency 3 3 2 7 2" xfId="13360"/>
    <cellStyle name="Currency 3 3 2 8" xfId="11570"/>
    <cellStyle name="Currency 3 3 2 9" xfId="16700"/>
    <cellStyle name="Currency 3 3 3" xfId="4886"/>
    <cellStyle name="Currency 3 3 3 2" xfId="8629"/>
    <cellStyle name="Currency 3 3 3 2 2" xfId="15177"/>
    <cellStyle name="Currency 3 3 3 3" xfId="6910"/>
    <cellStyle name="Currency 3 3 3 3 2" xfId="13596"/>
    <cellStyle name="Currency 3 3 3 4" xfId="11811"/>
    <cellStyle name="Currency 3 3 4" xfId="5255"/>
    <cellStyle name="Currency 3 3 4 2" xfId="8998"/>
    <cellStyle name="Currency 3 3 4 2 2" xfId="15542"/>
    <cellStyle name="Currency 3 3 4 3" xfId="7279"/>
    <cellStyle name="Currency 3 3 4 3 2" xfId="13961"/>
    <cellStyle name="Currency 3 3 4 4" xfId="12176"/>
    <cellStyle name="Currency 3 3 5" xfId="5693"/>
    <cellStyle name="Currency 3 3 5 2" xfId="9434"/>
    <cellStyle name="Currency 3 3 5 2 2" xfId="15936"/>
    <cellStyle name="Currency 3 3 5 3" xfId="7715"/>
    <cellStyle name="Currency 3 3 5 3 2" xfId="14355"/>
    <cellStyle name="Currency 3 3 5 4" xfId="12586"/>
    <cellStyle name="Currency 3 3 6" xfId="9882"/>
    <cellStyle name="Currency 3 3 6 2" xfId="16363"/>
    <cellStyle name="Currency 3 3 7" xfId="8192"/>
    <cellStyle name="Currency 3 3 7 2" xfId="14749"/>
    <cellStyle name="Currency 3 3 8" xfId="6473"/>
    <cellStyle name="Currency 3 3 8 2" xfId="13163"/>
    <cellStyle name="Currency 3 3 9" xfId="11371"/>
    <cellStyle name="Currency 3 4" xfId="4428"/>
    <cellStyle name="Currency 3 4 10" xfId="16701"/>
    <cellStyle name="Currency 3 4 2" xfId="4637"/>
    <cellStyle name="Currency 3 4 2 2" xfId="4889"/>
    <cellStyle name="Currency 3 4 2 2 2" xfId="8632"/>
    <cellStyle name="Currency 3 4 2 2 2 2" xfId="15180"/>
    <cellStyle name="Currency 3 4 2 2 3" xfId="6913"/>
    <cellStyle name="Currency 3 4 2 2 3 2" xfId="13599"/>
    <cellStyle name="Currency 3 4 2 2 4" xfId="11814"/>
    <cellStyle name="Currency 3 4 2 3" xfId="5464"/>
    <cellStyle name="Currency 3 4 2 3 2" xfId="9207"/>
    <cellStyle name="Currency 3 4 2 3 2 2" xfId="15751"/>
    <cellStyle name="Currency 3 4 2 3 3" xfId="7488"/>
    <cellStyle name="Currency 3 4 2 3 3 2" xfId="14170"/>
    <cellStyle name="Currency 3 4 2 3 4" xfId="12385"/>
    <cellStyle name="Currency 3 4 2 4" xfId="5902"/>
    <cellStyle name="Currency 3 4 2 4 2" xfId="9643"/>
    <cellStyle name="Currency 3 4 2 4 2 2" xfId="16145"/>
    <cellStyle name="Currency 3 4 2 4 3" xfId="7924"/>
    <cellStyle name="Currency 3 4 2 4 3 2" xfId="14564"/>
    <cellStyle name="Currency 3 4 2 4 4" xfId="12795"/>
    <cellStyle name="Currency 3 4 2 5" xfId="9885"/>
    <cellStyle name="Currency 3 4 2 5 2" xfId="16366"/>
    <cellStyle name="Currency 3 4 2 6" xfId="8401"/>
    <cellStyle name="Currency 3 4 2 6 2" xfId="14958"/>
    <cellStyle name="Currency 3 4 2 7" xfId="6682"/>
    <cellStyle name="Currency 3 4 2 7 2" xfId="13372"/>
    <cellStyle name="Currency 3 4 2 8" xfId="11582"/>
    <cellStyle name="Currency 3 4 2 9" xfId="16702"/>
    <cellStyle name="Currency 3 4 3" xfId="4888"/>
    <cellStyle name="Currency 3 4 3 2" xfId="8631"/>
    <cellStyle name="Currency 3 4 3 2 2" xfId="15179"/>
    <cellStyle name="Currency 3 4 3 3" xfId="6912"/>
    <cellStyle name="Currency 3 4 3 3 2" xfId="13598"/>
    <cellStyle name="Currency 3 4 3 4" xfId="11813"/>
    <cellStyle name="Currency 3 4 4" xfId="5267"/>
    <cellStyle name="Currency 3 4 4 2" xfId="9010"/>
    <cellStyle name="Currency 3 4 4 2 2" xfId="15554"/>
    <cellStyle name="Currency 3 4 4 3" xfId="7291"/>
    <cellStyle name="Currency 3 4 4 3 2" xfId="13973"/>
    <cellStyle name="Currency 3 4 4 4" xfId="12188"/>
    <cellStyle name="Currency 3 4 5" xfId="5705"/>
    <cellStyle name="Currency 3 4 5 2" xfId="9446"/>
    <cellStyle name="Currency 3 4 5 2 2" xfId="15948"/>
    <cellStyle name="Currency 3 4 5 3" xfId="7727"/>
    <cellStyle name="Currency 3 4 5 3 2" xfId="14367"/>
    <cellStyle name="Currency 3 4 5 4" xfId="12598"/>
    <cellStyle name="Currency 3 4 6" xfId="9884"/>
    <cellStyle name="Currency 3 4 6 2" xfId="16365"/>
    <cellStyle name="Currency 3 4 7" xfId="8204"/>
    <cellStyle name="Currency 3 4 7 2" xfId="14761"/>
    <cellStyle name="Currency 3 4 8" xfId="6485"/>
    <cellStyle name="Currency 3 4 8 2" xfId="13175"/>
    <cellStyle name="Currency 3 4 9" xfId="11383"/>
    <cellStyle name="Currency 3 5" xfId="4492"/>
    <cellStyle name="Currency 3 5 2" xfId="4890"/>
    <cellStyle name="Currency 3 5 2 2" xfId="8633"/>
    <cellStyle name="Currency 3 5 2 2 2" xfId="15181"/>
    <cellStyle name="Currency 3 5 2 3" xfId="6914"/>
    <cellStyle name="Currency 3 5 2 3 2" xfId="13600"/>
    <cellStyle name="Currency 3 5 2 4" xfId="11815"/>
    <cellStyle name="Currency 3 5 3" xfId="5319"/>
    <cellStyle name="Currency 3 5 3 2" xfId="9062"/>
    <cellStyle name="Currency 3 5 3 2 2" xfId="15606"/>
    <cellStyle name="Currency 3 5 3 3" xfId="7343"/>
    <cellStyle name="Currency 3 5 3 3 2" xfId="14025"/>
    <cellStyle name="Currency 3 5 3 4" xfId="12240"/>
    <cellStyle name="Currency 3 5 4" xfId="5757"/>
    <cellStyle name="Currency 3 5 4 2" xfId="9498"/>
    <cellStyle name="Currency 3 5 4 2 2" xfId="16000"/>
    <cellStyle name="Currency 3 5 4 3" xfId="7779"/>
    <cellStyle name="Currency 3 5 4 3 2" xfId="14419"/>
    <cellStyle name="Currency 3 5 4 4" xfId="12650"/>
    <cellStyle name="Currency 3 5 5" xfId="9886"/>
    <cellStyle name="Currency 3 5 5 2" xfId="16367"/>
    <cellStyle name="Currency 3 5 6" xfId="8256"/>
    <cellStyle name="Currency 3 5 6 2" xfId="14813"/>
    <cellStyle name="Currency 3 5 7" xfId="6537"/>
    <cellStyle name="Currency 3 5 7 2" xfId="13227"/>
    <cellStyle name="Currency 3 5 8" xfId="11437"/>
    <cellStyle name="Currency 3 6" xfId="4695"/>
    <cellStyle name="Currency 3 6 2" xfId="8440"/>
    <cellStyle name="Currency 3 6 2 2" xfId="14992"/>
    <cellStyle name="Currency 3 6 3" xfId="6721"/>
    <cellStyle name="Currency 3 6 3 2" xfId="13411"/>
    <cellStyle name="Currency 3 6 4" xfId="11625"/>
    <cellStyle name="Currency 3 7" xfId="5122"/>
    <cellStyle name="Currency 3 7 2" xfId="8865"/>
    <cellStyle name="Currency 3 7 2 2" xfId="15409"/>
    <cellStyle name="Currency 3 7 3" xfId="7146"/>
    <cellStyle name="Currency 3 7 3 2" xfId="13828"/>
    <cellStyle name="Currency 3 7 4" xfId="12043"/>
    <cellStyle name="Currency 3 8" xfId="5555"/>
    <cellStyle name="Currency 3 8 2" xfId="9296"/>
    <cellStyle name="Currency 3 8 2 2" xfId="15803"/>
    <cellStyle name="Currency 3 8 3" xfId="7577"/>
    <cellStyle name="Currency 3 8 3 2" xfId="14222"/>
    <cellStyle name="Currency 3 8 4" xfId="12448"/>
    <cellStyle name="Currency 3 9" xfId="9677"/>
    <cellStyle name="Currency 3 9 2" xfId="16177"/>
    <cellStyle name="Currency 3*" xfId="3921"/>
    <cellStyle name="Currency 4" xfId="3922"/>
    <cellStyle name="Currency 4 2" xfId="4416"/>
    <cellStyle name="Currency 4 2 10" xfId="16703"/>
    <cellStyle name="Currency 4 2 2" xfId="4626"/>
    <cellStyle name="Currency 4 2 2 2" xfId="4892"/>
    <cellStyle name="Currency 4 2 2 2 2" xfId="8635"/>
    <cellStyle name="Currency 4 2 2 2 2 2" xfId="15183"/>
    <cellStyle name="Currency 4 2 2 2 3" xfId="6916"/>
    <cellStyle name="Currency 4 2 2 2 3 2" xfId="13602"/>
    <cellStyle name="Currency 4 2 2 2 4" xfId="11817"/>
    <cellStyle name="Currency 4 2 2 3" xfId="5453"/>
    <cellStyle name="Currency 4 2 2 3 2" xfId="9196"/>
    <cellStyle name="Currency 4 2 2 3 2 2" xfId="15740"/>
    <cellStyle name="Currency 4 2 2 3 3" xfId="7477"/>
    <cellStyle name="Currency 4 2 2 3 3 2" xfId="14159"/>
    <cellStyle name="Currency 4 2 2 3 4" xfId="12374"/>
    <cellStyle name="Currency 4 2 2 4" xfId="5891"/>
    <cellStyle name="Currency 4 2 2 4 2" xfId="9632"/>
    <cellStyle name="Currency 4 2 2 4 2 2" xfId="16134"/>
    <cellStyle name="Currency 4 2 2 4 3" xfId="7913"/>
    <cellStyle name="Currency 4 2 2 4 3 2" xfId="14553"/>
    <cellStyle name="Currency 4 2 2 4 4" xfId="12784"/>
    <cellStyle name="Currency 4 2 2 5" xfId="9888"/>
    <cellStyle name="Currency 4 2 2 5 2" xfId="16369"/>
    <cellStyle name="Currency 4 2 2 6" xfId="8390"/>
    <cellStyle name="Currency 4 2 2 6 2" xfId="14947"/>
    <cellStyle name="Currency 4 2 2 7" xfId="6671"/>
    <cellStyle name="Currency 4 2 2 7 2" xfId="13361"/>
    <cellStyle name="Currency 4 2 2 8" xfId="11571"/>
    <cellStyle name="Currency 4 2 2 9" xfId="16704"/>
    <cellStyle name="Currency 4 2 3" xfId="4891"/>
    <cellStyle name="Currency 4 2 3 2" xfId="8634"/>
    <cellStyle name="Currency 4 2 3 2 2" xfId="15182"/>
    <cellStyle name="Currency 4 2 3 3" xfId="6915"/>
    <cellStyle name="Currency 4 2 3 3 2" xfId="13601"/>
    <cellStyle name="Currency 4 2 3 4" xfId="11816"/>
    <cellStyle name="Currency 4 2 4" xfId="5256"/>
    <cellStyle name="Currency 4 2 4 2" xfId="8999"/>
    <cellStyle name="Currency 4 2 4 2 2" xfId="15543"/>
    <cellStyle name="Currency 4 2 4 3" xfId="7280"/>
    <cellStyle name="Currency 4 2 4 3 2" xfId="13962"/>
    <cellStyle name="Currency 4 2 4 4" xfId="12177"/>
    <cellStyle name="Currency 4 2 5" xfId="5694"/>
    <cellStyle name="Currency 4 2 5 2" xfId="9435"/>
    <cellStyle name="Currency 4 2 5 2 2" xfId="15937"/>
    <cellStyle name="Currency 4 2 5 3" xfId="7716"/>
    <cellStyle name="Currency 4 2 5 3 2" xfId="14356"/>
    <cellStyle name="Currency 4 2 5 4" xfId="12587"/>
    <cellStyle name="Currency 4 2 6" xfId="9887"/>
    <cellStyle name="Currency 4 2 6 2" xfId="16368"/>
    <cellStyle name="Currency 4 2 7" xfId="8193"/>
    <cellStyle name="Currency 4 2 7 2" xfId="14750"/>
    <cellStyle name="Currency 4 2 8" xfId="6474"/>
    <cellStyle name="Currency 4 2 8 2" xfId="13164"/>
    <cellStyle name="Currency 4 2 9" xfId="11372"/>
    <cellStyle name="Currency 4 3" xfId="4429"/>
    <cellStyle name="Currency 4 3 10" xfId="16705"/>
    <cellStyle name="Currency 4 3 2" xfId="4638"/>
    <cellStyle name="Currency 4 3 2 2" xfId="4894"/>
    <cellStyle name="Currency 4 3 2 2 2" xfId="8637"/>
    <cellStyle name="Currency 4 3 2 2 2 2" xfId="15185"/>
    <cellStyle name="Currency 4 3 2 2 3" xfId="6918"/>
    <cellStyle name="Currency 4 3 2 2 3 2" xfId="13604"/>
    <cellStyle name="Currency 4 3 2 2 4" xfId="11819"/>
    <cellStyle name="Currency 4 3 2 3" xfId="5465"/>
    <cellStyle name="Currency 4 3 2 3 2" xfId="9208"/>
    <cellStyle name="Currency 4 3 2 3 2 2" xfId="15752"/>
    <cellStyle name="Currency 4 3 2 3 3" xfId="7489"/>
    <cellStyle name="Currency 4 3 2 3 3 2" xfId="14171"/>
    <cellStyle name="Currency 4 3 2 3 4" xfId="12386"/>
    <cellStyle name="Currency 4 3 2 4" xfId="5903"/>
    <cellStyle name="Currency 4 3 2 4 2" xfId="9644"/>
    <cellStyle name="Currency 4 3 2 4 2 2" xfId="16146"/>
    <cellStyle name="Currency 4 3 2 4 3" xfId="7925"/>
    <cellStyle name="Currency 4 3 2 4 3 2" xfId="14565"/>
    <cellStyle name="Currency 4 3 2 4 4" xfId="12796"/>
    <cellStyle name="Currency 4 3 2 5" xfId="9890"/>
    <cellStyle name="Currency 4 3 2 5 2" xfId="16371"/>
    <cellStyle name="Currency 4 3 2 6" xfId="8402"/>
    <cellStyle name="Currency 4 3 2 6 2" xfId="14959"/>
    <cellStyle name="Currency 4 3 2 7" xfId="6683"/>
    <cellStyle name="Currency 4 3 2 7 2" xfId="13373"/>
    <cellStyle name="Currency 4 3 2 8" xfId="11583"/>
    <cellStyle name="Currency 4 3 2 9" xfId="16706"/>
    <cellStyle name="Currency 4 3 3" xfId="4893"/>
    <cellStyle name="Currency 4 3 3 2" xfId="8636"/>
    <cellStyle name="Currency 4 3 3 2 2" xfId="15184"/>
    <cellStyle name="Currency 4 3 3 3" xfId="6917"/>
    <cellStyle name="Currency 4 3 3 3 2" xfId="13603"/>
    <cellStyle name="Currency 4 3 3 4" xfId="11818"/>
    <cellStyle name="Currency 4 3 4" xfId="5268"/>
    <cellStyle name="Currency 4 3 4 2" xfId="9011"/>
    <cellStyle name="Currency 4 3 4 2 2" xfId="15555"/>
    <cellStyle name="Currency 4 3 4 3" xfId="7292"/>
    <cellStyle name="Currency 4 3 4 3 2" xfId="13974"/>
    <cellStyle name="Currency 4 3 4 4" xfId="12189"/>
    <cellStyle name="Currency 4 3 5" xfId="5706"/>
    <cellStyle name="Currency 4 3 5 2" xfId="9447"/>
    <cellStyle name="Currency 4 3 5 2 2" xfId="15949"/>
    <cellStyle name="Currency 4 3 5 3" xfId="7728"/>
    <cellStyle name="Currency 4 3 5 3 2" xfId="14368"/>
    <cellStyle name="Currency 4 3 5 4" xfId="12599"/>
    <cellStyle name="Currency 4 3 6" xfId="9889"/>
    <cellStyle name="Currency 4 3 6 2" xfId="16370"/>
    <cellStyle name="Currency 4 3 7" xfId="8205"/>
    <cellStyle name="Currency 4 3 7 2" xfId="14762"/>
    <cellStyle name="Currency 4 3 8" xfId="6486"/>
    <cellStyle name="Currency 4 3 8 2" xfId="13176"/>
    <cellStyle name="Currency 4 3 9" xfId="11384"/>
    <cellStyle name="Currency 4 4" xfId="11231"/>
    <cellStyle name="Currency 5" xfId="3923"/>
    <cellStyle name="Currency 5 2" xfId="4445"/>
    <cellStyle name="Currency 5 2 2" xfId="11390"/>
    <cellStyle name="Currency 5 2 3" xfId="16707"/>
    <cellStyle name="Currency 5 3" xfId="11232"/>
    <cellStyle name="Currency 8" xfId="3924"/>
    <cellStyle name="Currency 8 10" xfId="16658"/>
    <cellStyle name="Currency 8 2" xfId="4494"/>
    <cellStyle name="Currency 8 2 2" xfId="4895"/>
    <cellStyle name="Currency 8 2 2 2" xfId="8638"/>
    <cellStyle name="Currency 8 2 2 2 2" xfId="15186"/>
    <cellStyle name="Currency 8 2 2 3" xfId="6919"/>
    <cellStyle name="Currency 8 2 2 3 2" xfId="13605"/>
    <cellStyle name="Currency 8 2 2 4" xfId="11820"/>
    <cellStyle name="Currency 8 2 3" xfId="5321"/>
    <cellStyle name="Currency 8 2 3 2" xfId="9064"/>
    <cellStyle name="Currency 8 2 3 2 2" xfId="15608"/>
    <cellStyle name="Currency 8 2 3 3" xfId="7345"/>
    <cellStyle name="Currency 8 2 3 3 2" xfId="14027"/>
    <cellStyle name="Currency 8 2 3 4" xfId="12242"/>
    <cellStyle name="Currency 8 2 4" xfId="5759"/>
    <cellStyle name="Currency 8 2 4 2" xfId="9500"/>
    <cellStyle name="Currency 8 2 4 2 2" xfId="16002"/>
    <cellStyle name="Currency 8 2 4 3" xfId="7781"/>
    <cellStyle name="Currency 8 2 4 3 2" xfId="14421"/>
    <cellStyle name="Currency 8 2 4 4" xfId="12652"/>
    <cellStyle name="Currency 8 2 5" xfId="9891"/>
    <cellStyle name="Currency 8 2 5 2" xfId="16372"/>
    <cellStyle name="Currency 8 2 6" xfId="8258"/>
    <cellStyle name="Currency 8 2 6 2" xfId="14815"/>
    <cellStyle name="Currency 8 2 7" xfId="6539"/>
    <cellStyle name="Currency 8 2 7 2" xfId="13229"/>
    <cellStyle name="Currency 8 2 8" xfId="11439"/>
    <cellStyle name="Currency 8 2 9" xfId="16708"/>
    <cellStyle name="Currency 8 3" xfId="4843"/>
    <cellStyle name="Currency 8 3 2" xfId="8586"/>
    <cellStyle name="Currency 8 3 2 2" xfId="15134"/>
    <cellStyle name="Currency 8 3 3" xfId="6867"/>
    <cellStyle name="Currency 8 3 3 2" xfId="13553"/>
    <cellStyle name="Currency 8 3 4" xfId="11768"/>
    <cellStyle name="Currency 8 4" xfId="5124"/>
    <cellStyle name="Currency 8 4 2" xfId="8867"/>
    <cellStyle name="Currency 8 4 2 2" xfId="15411"/>
    <cellStyle name="Currency 8 4 3" xfId="7148"/>
    <cellStyle name="Currency 8 4 3 2" xfId="13830"/>
    <cellStyle name="Currency 8 4 4" xfId="12045"/>
    <cellStyle name="Currency 8 5" xfId="5557"/>
    <cellStyle name="Currency 8 5 2" xfId="9298"/>
    <cellStyle name="Currency 8 5 2 2" xfId="15805"/>
    <cellStyle name="Currency 8 5 3" xfId="7579"/>
    <cellStyle name="Currency 8 5 3 2" xfId="14224"/>
    <cellStyle name="Currency 8 5 4" xfId="12450"/>
    <cellStyle name="Currency 8 6" xfId="9834"/>
    <cellStyle name="Currency 8 6 2" xfId="16320"/>
    <cellStyle name="Currency 8 7" xfId="8015"/>
    <cellStyle name="Currency 8 7 2" xfId="14618"/>
    <cellStyle name="Currency 8 8" xfId="6278"/>
    <cellStyle name="Currency 8 8 2" xfId="13003"/>
    <cellStyle name="Currency 8 9" xfId="11233"/>
    <cellStyle name="Currency Dashed" xfId="3925"/>
    <cellStyle name="Currency Nil" xfId="3926"/>
    <cellStyle name="Currency*" xfId="3927"/>
    <cellStyle name="Currency0" xfId="3928"/>
    <cellStyle name="d_yield" xfId="3929"/>
    <cellStyle name="Dash" xfId="3930"/>
    <cellStyle name="DATA Amount" xfId="3931"/>
    <cellStyle name="DATA Amount [1]" xfId="3932"/>
    <cellStyle name="DATA Amount [2]" xfId="3933"/>
    <cellStyle name="DATA Currency" xfId="3934"/>
    <cellStyle name="DATA Currency [1]" xfId="3935"/>
    <cellStyle name="DATA Currency [2]" xfId="3936"/>
    <cellStyle name="DATA Date Long" xfId="3937"/>
    <cellStyle name="DATA Date Short" xfId="3938"/>
    <cellStyle name="Data Input" xfId="3939"/>
    <cellStyle name="DATA List" xfId="3940"/>
    <cellStyle name="DATA Memo" xfId="3941"/>
    <cellStyle name="DATA Percent" xfId="3942"/>
    <cellStyle name="DATA Percent [1]" xfId="3943"/>
    <cellStyle name="DATA Percent [2]" xfId="3944"/>
    <cellStyle name="Data Section Heading" xfId="3945"/>
    <cellStyle name="DATA Text" xfId="3946"/>
    <cellStyle name="DATA Version" xfId="3947"/>
    <cellStyle name="DATA_Amount" xfId="3948"/>
    <cellStyle name="Date" xfId="3949"/>
    <cellStyle name="Date 2" xfId="3950"/>
    <cellStyle name="Date Aligned" xfId="3951"/>
    <cellStyle name="Date Aligned*" xfId="3952"/>
    <cellStyle name="Date Aligned_Model_Sep_2_02" xfId="3953"/>
    <cellStyle name="Date input" xfId="3954"/>
    <cellStyle name="date title" xfId="3955"/>
    <cellStyle name="Date U" xfId="3956"/>
    <cellStyle name="Date_0910 GSO Capex RRP - Final (Detail) v2 220710" xfId="3957"/>
    <cellStyle name="dateformat" xfId="3958"/>
    <cellStyle name="Dateline" xfId="3959"/>
    <cellStyle name="DateLong" xfId="3960"/>
    <cellStyle name="DateShort" xfId="3961"/>
    <cellStyle name="Dec places 0" xfId="3962"/>
    <cellStyle name="Dec places 1, millions" xfId="3963"/>
    <cellStyle name="Dec places 2" xfId="3964"/>
    <cellStyle name="Dec places 2, millions" xfId="3965"/>
    <cellStyle name="Dec places 2_Draft RIIO plan presentation template - Customer Opsx Centre V7" xfId="3966"/>
    <cellStyle name="Decimal [0]" xfId="3967"/>
    <cellStyle name="Decimal [2]" xfId="3968"/>
    <cellStyle name="Decimal [2] U" xfId="3969"/>
    <cellStyle name="Decimal [4]" xfId="3970"/>
    <cellStyle name="Decimal [4] U" xfId="3971"/>
    <cellStyle name="Dezimal [0]_Anschreiben" xfId="3972"/>
    <cellStyle name="Dezimal_Anschreiben" xfId="3973"/>
    <cellStyle name="Directors" xfId="3974"/>
    <cellStyle name="dollar" xfId="3975"/>
    <cellStyle name="dollar[0]" xfId="3976"/>
    <cellStyle name="dollar_Draft RIIO plan presentation template - Customer Opsx Centre V7" xfId="3977"/>
    <cellStyle name="done" xfId="3978"/>
    <cellStyle name="Dotted Line" xfId="3979"/>
    <cellStyle name="DOWNFOOT" xfId="3980"/>
    <cellStyle name="DP 0, no commas" xfId="3981"/>
    <cellStyle name="DWF1.5-3.0split" xfId="3982"/>
    <cellStyle name="DWFsplit0-1.5" xfId="3983"/>
    <cellStyle name="DWFsplit0-1.5 2" xfId="3984"/>
    <cellStyle name="DWFsplit0-1.5 2 2" xfId="5105"/>
    <cellStyle name="DWFsplit0-1.5 2 2 2" xfId="8848"/>
    <cellStyle name="DWFsplit0-1.5 2 2 2 2" xfId="6223"/>
    <cellStyle name="DWFsplit0-1.5 2 2 2 2 2" xfId="12948"/>
    <cellStyle name="DWFsplit0-1.5 2 2 3" xfId="7129"/>
    <cellStyle name="DWFsplit0-1.5 2 3" xfId="8018"/>
    <cellStyle name="DWFsplit0-1.5 2 3 2" xfId="6164"/>
    <cellStyle name="DWFsplit0-1.5 2 3 2 2" xfId="12889"/>
    <cellStyle name="DWFsplit0-1.5 2 4" xfId="6280"/>
    <cellStyle name="DWFsplit0-1.5 3" xfId="5106"/>
    <cellStyle name="DWFsplit0-1.5 3 2" xfId="8849"/>
    <cellStyle name="DWFsplit0-1.5 3 2 2" xfId="6224"/>
    <cellStyle name="DWFsplit0-1.5 3 2 2 2" xfId="12949"/>
    <cellStyle name="DWFsplit0-1.5 3 3" xfId="7130"/>
    <cellStyle name="DWFsplit0-1.5 4" xfId="8017"/>
    <cellStyle name="DWFsplit0-1.5 4 2" xfId="6163"/>
    <cellStyle name="DWFsplit0-1.5 4 2 2" xfId="12888"/>
    <cellStyle name="DWFsplit0-1.5 5" xfId="6279"/>
    <cellStyle name="Dziesiêtny [0]_1" xfId="3985"/>
    <cellStyle name="Dziesiêtny_1" xfId="3986"/>
    <cellStyle name="Emphasis 1" xfId="3987"/>
    <cellStyle name="Emphasis 2" xfId="3988"/>
    <cellStyle name="Emphasis 3" xfId="3989"/>
    <cellStyle name="Entered" xfId="3990"/>
    <cellStyle name="eps" xfId="3991"/>
    <cellStyle name="eps$" xfId="3992"/>
    <cellStyle name="eps$A" xfId="3993"/>
    <cellStyle name="eps$E" xfId="3994"/>
    <cellStyle name="epsA" xfId="3995"/>
    <cellStyle name="epsE" xfId="3996"/>
    <cellStyle name="Euro" xfId="14"/>
    <cellStyle name="Euro 2" xfId="3997"/>
    <cellStyle name="Euro 3" xfId="3998"/>
    <cellStyle name="Euro billion" xfId="3999"/>
    <cellStyle name="Euro million" xfId="4000"/>
    <cellStyle name="Euro thousand" xfId="4001"/>
    <cellStyle name="Euro_Allocated Opex " xfId="4002"/>
    <cellStyle name="Explanatory Text 2" xfId="4003"/>
    <cellStyle name="Explanatory Text 3" xfId="4004"/>
    <cellStyle name="EY House" xfId="4005"/>
    <cellStyle name="EYBlocked" xfId="4006"/>
    <cellStyle name="EYCallUp" xfId="4007"/>
    <cellStyle name="EYCheck" xfId="4008"/>
    <cellStyle name="EYDate" xfId="4009"/>
    <cellStyle name="EYDeviant" xfId="4010"/>
    <cellStyle name="Factor" xfId="4011"/>
    <cellStyle name="Flag" xfId="4012"/>
    <cellStyle name="From" xfId="4013"/>
    <cellStyle name="FromDate" xfId="4014"/>
    <cellStyle name="FromDate 2" xfId="5944"/>
    <cellStyle name="General" xfId="4015"/>
    <cellStyle name="H_Major" xfId="4016"/>
    <cellStyle name="Header bar" xfId="4017"/>
    <cellStyle name="Heading" xfId="4018"/>
    <cellStyle name="Heading (12pt)" xfId="4019"/>
    <cellStyle name="Heading (14pt)" xfId="4020"/>
    <cellStyle name="HeadingMain" xfId="4021"/>
    <cellStyle name="HeadingMinor" xfId="4022"/>
    <cellStyle name="HeadingSection" xfId="4023"/>
    <cellStyle name="HeadingSub" xfId="4024"/>
    <cellStyle name="Hidden" xfId="4025"/>
    <cellStyle name="HideZeros" xfId="4026"/>
    <cellStyle name="hours" xfId="4027"/>
    <cellStyle name="HSBC Input Percent" xfId="4028"/>
    <cellStyle name="HSBC Percent" xfId="4029"/>
    <cellStyle name="HSBC Ratio" xfId="4030"/>
    <cellStyle name="HSBC Title Module" xfId="4031"/>
    <cellStyle name="HSBC WK Number 2" xfId="4032"/>
    <cellStyle name="HSBC WK Percent" xfId="4033"/>
    <cellStyle name="HSBC_Date" xfId="4034"/>
    <cellStyle name="IllustrativeTotal" xfId="4035"/>
    <cellStyle name="IllustrativeTotal 2" xfId="5943"/>
    <cellStyle name="ImportFromOtherWorkbook" xfId="4036"/>
    <cellStyle name="ImportFromOtherWorkbook 2" xfId="5942"/>
    <cellStyle name="Index" xfId="4037"/>
    <cellStyle name="InflationIndex" xfId="4038"/>
    <cellStyle name="Input 2" xfId="16640"/>
    <cellStyle name="InputNumber" xfId="4039"/>
    <cellStyle name="InputNumber 2" xfId="5941"/>
    <cellStyle name="InputPercent" xfId="4040"/>
    <cellStyle name="InputPermanent" xfId="4041"/>
    <cellStyle name="InputText" xfId="4042"/>
    <cellStyle name="InputText 2" xfId="5940"/>
    <cellStyle name="Integer" xfId="4043"/>
    <cellStyle name="Invisible" xfId="4044"/>
    <cellStyle name="K (0dp)" xfId="4045"/>
    <cellStyle name="K (2dp)" xfId="4046"/>
    <cellStyle name="KPMG Heading 1" xfId="4047"/>
    <cellStyle name="KPMG Heading 2" xfId="4048"/>
    <cellStyle name="KPMG Heading 3" xfId="4049"/>
    <cellStyle name="KPMG Heading 4" xfId="4050"/>
    <cellStyle name="KPMG Normal" xfId="4051"/>
    <cellStyle name="KPMG Normal Text" xfId="4052"/>
    <cellStyle name="Label" xfId="4053"/>
    <cellStyle name="LABEL Normal" xfId="4054"/>
    <cellStyle name="LABEL Note" xfId="4055"/>
    <cellStyle name="LABEL Units" xfId="4056"/>
    <cellStyle name="Label_8.0 SITA Suffolk BASE CASE FINAL All Scenarios" xfId="4057"/>
    <cellStyle name="lift" xfId="4058"/>
    <cellStyle name="Ligne" xfId="4059"/>
    <cellStyle name="Logical" xfId="4060"/>
    <cellStyle name="M (0dp)" xfId="4061"/>
    <cellStyle name="M (2dp)" xfId="4062"/>
    <cellStyle name="MacroPasted" xfId="4063"/>
    <cellStyle name="MainHeading" xfId="4064"/>
    <cellStyle name="max" xfId="4065"/>
    <cellStyle name="Milliers [0]_Feuil1" xfId="4066"/>
    <cellStyle name="Milliers_Feuil1" xfId="4067"/>
    <cellStyle name="Millions£" xfId="4068"/>
    <cellStyle name="Millions£ (2dp)" xfId="4069"/>
    <cellStyle name="min" xfId="4070"/>
    <cellStyle name="Monétaire [0]_Feuil1" xfId="4071"/>
    <cellStyle name="Monétaire_Feuil1" xfId="4072"/>
    <cellStyle name="Money" xfId="4073"/>
    <cellStyle name="month" xfId="4074"/>
    <cellStyle name="months" xfId="4075"/>
    <cellStyle name="MW" xfId="4076"/>
    <cellStyle name="MWth" xfId="4077"/>
    <cellStyle name="Normal" xfId="0" builtinId="0"/>
    <cellStyle name="Normal - Style1" xfId="4078"/>
    <cellStyle name="Normal - Style1 2" xfId="42"/>
    <cellStyle name="Normal (0dp)" xfId="4079"/>
    <cellStyle name="Normal (0dp+NZ)" xfId="4080"/>
    <cellStyle name="Normal (2dp)" xfId="4081"/>
    <cellStyle name="Normal (2dp+NZ)" xfId="4082"/>
    <cellStyle name="Normal 10" xfId="4083"/>
    <cellStyle name="Normal 10 10" xfId="11234"/>
    <cellStyle name="Normal 10 2" xfId="4084"/>
    <cellStyle name="Normal 10 2 2" xfId="4496"/>
    <cellStyle name="Normal 10 2 2 2" xfId="4896"/>
    <cellStyle name="Normal 10 2 2 2 2" xfId="8639"/>
    <cellStyle name="Normal 10 2 2 2 2 2" xfId="15187"/>
    <cellStyle name="Normal 10 2 2 2 3" xfId="6920"/>
    <cellStyle name="Normal 10 2 2 2 3 2" xfId="13606"/>
    <cellStyle name="Normal 10 2 2 2 4" xfId="11821"/>
    <cellStyle name="Normal 10 2 2 3" xfId="5323"/>
    <cellStyle name="Normal 10 2 2 3 2" xfId="9066"/>
    <cellStyle name="Normal 10 2 2 3 2 2" xfId="15610"/>
    <cellStyle name="Normal 10 2 2 3 3" xfId="7347"/>
    <cellStyle name="Normal 10 2 2 3 3 2" xfId="14029"/>
    <cellStyle name="Normal 10 2 2 3 4" xfId="12244"/>
    <cellStyle name="Normal 10 2 2 4" xfId="5761"/>
    <cellStyle name="Normal 10 2 2 4 2" xfId="9502"/>
    <cellStyle name="Normal 10 2 2 4 2 2" xfId="16004"/>
    <cellStyle name="Normal 10 2 2 4 3" xfId="7783"/>
    <cellStyle name="Normal 10 2 2 4 3 2" xfId="14423"/>
    <cellStyle name="Normal 10 2 2 4 4" xfId="12654"/>
    <cellStyle name="Normal 10 2 2 5" xfId="9892"/>
    <cellStyle name="Normal 10 2 2 5 2" xfId="16373"/>
    <cellStyle name="Normal 10 2 2 6" xfId="8260"/>
    <cellStyle name="Normal 10 2 2 6 2" xfId="14817"/>
    <cellStyle name="Normal 10 2 2 7" xfId="6541"/>
    <cellStyle name="Normal 10 2 2 7 2" xfId="13231"/>
    <cellStyle name="Normal 10 2 2 8" xfId="11441"/>
    <cellStyle name="Normal 10 2 3" xfId="4811"/>
    <cellStyle name="Normal 10 2 3 2" xfId="8554"/>
    <cellStyle name="Normal 10 2 3 2 2" xfId="15106"/>
    <cellStyle name="Normal 10 2 3 3" xfId="6835"/>
    <cellStyle name="Normal 10 2 3 3 2" xfId="13525"/>
    <cellStyle name="Normal 10 2 3 4" xfId="11740"/>
    <cellStyle name="Normal 10 2 4" xfId="5126"/>
    <cellStyle name="Normal 10 2 4 2" xfId="8869"/>
    <cellStyle name="Normal 10 2 4 2 2" xfId="15413"/>
    <cellStyle name="Normal 10 2 4 3" xfId="7150"/>
    <cellStyle name="Normal 10 2 4 3 2" xfId="13832"/>
    <cellStyle name="Normal 10 2 4 4" xfId="12047"/>
    <cellStyle name="Normal 10 2 5" xfId="5559"/>
    <cellStyle name="Normal 10 2 5 2" xfId="9300"/>
    <cellStyle name="Normal 10 2 5 2 2" xfId="15807"/>
    <cellStyle name="Normal 10 2 5 3" xfId="7581"/>
    <cellStyle name="Normal 10 2 5 3 2" xfId="14226"/>
    <cellStyle name="Normal 10 2 5 4" xfId="12452"/>
    <cellStyle name="Normal 10 2 6" xfId="9801"/>
    <cellStyle name="Normal 10 2 6 2" xfId="16292"/>
    <cellStyle name="Normal 10 2 7" xfId="8020"/>
    <cellStyle name="Normal 10 2 7 2" xfId="14620"/>
    <cellStyle name="Normal 10 2 8" xfId="6293"/>
    <cellStyle name="Normal 10 2 8 2" xfId="13016"/>
    <cellStyle name="Normal 10 2 9" xfId="11235"/>
    <cellStyle name="Normal 10 3" xfId="4495"/>
    <cellStyle name="Normal 10 3 2" xfId="4897"/>
    <cellStyle name="Normal 10 3 2 2" xfId="8640"/>
    <cellStyle name="Normal 10 3 2 2 2" xfId="15188"/>
    <cellStyle name="Normal 10 3 2 3" xfId="6921"/>
    <cellStyle name="Normal 10 3 2 3 2" xfId="13607"/>
    <cellStyle name="Normal 10 3 2 4" xfId="11822"/>
    <cellStyle name="Normal 10 3 3" xfId="5322"/>
    <cellStyle name="Normal 10 3 3 2" xfId="9065"/>
    <cellStyle name="Normal 10 3 3 2 2" xfId="15609"/>
    <cellStyle name="Normal 10 3 3 3" xfId="7346"/>
    <cellStyle name="Normal 10 3 3 3 2" xfId="14028"/>
    <cellStyle name="Normal 10 3 3 4" xfId="12243"/>
    <cellStyle name="Normal 10 3 4" xfId="5760"/>
    <cellStyle name="Normal 10 3 4 2" xfId="9501"/>
    <cellStyle name="Normal 10 3 4 2 2" xfId="16003"/>
    <cellStyle name="Normal 10 3 4 3" xfId="7782"/>
    <cellStyle name="Normal 10 3 4 3 2" xfId="14422"/>
    <cellStyle name="Normal 10 3 4 4" xfId="12653"/>
    <cellStyle name="Normal 10 3 5" xfId="9893"/>
    <cellStyle name="Normal 10 3 5 2" xfId="16374"/>
    <cellStyle name="Normal 10 3 6" xfId="8259"/>
    <cellStyle name="Normal 10 3 6 2" xfId="14816"/>
    <cellStyle name="Normal 10 3 7" xfId="6540"/>
    <cellStyle name="Normal 10 3 7 2" xfId="13230"/>
    <cellStyle name="Normal 10 3 8" xfId="11440"/>
    <cellStyle name="Normal 10 4" xfId="4729"/>
    <cellStyle name="Normal 10 4 2" xfId="8473"/>
    <cellStyle name="Normal 10 4 2 2" xfId="15025"/>
    <cellStyle name="Normal 10 4 3" xfId="6754"/>
    <cellStyle name="Normal 10 4 3 2" xfId="13444"/>
    <cellStyle name="Normal 10 4 4" xfId="11658"/>
    <cellStyle name="Normal 10 5" xfId="5125"/>
    <cellStyle name="Normal 10 5 2" xfId="8868"/>
    <cellStyle name="Normal 10 5 2 2" xfId="15412"/>
    <cellStyle name="Normal 10 5 3" xfId="7149"/>
    <cellStyle name="Normal 10 5 3 2" xfId="13831"/>
    <cellStyle name="Normal 10 5 4" xfId="12046"/>
    <cellStyle name="Normal 10 6" xfId="5558"/>
    <cellStyle name="Normal 10 6 2" xfId="9299"/>
    <cellStyle name="Normal 10 6 2 2" xfId="15806"/>
    <cellStyle name="Normal 10 6 3" xfId="7580"/>
    <cellStyle name="Normal 10 6 3 2" xfId="14225"/>
    <cellStyle name="Normal 10 6 4" xfId="12451"/>
    <cellStyle name="Normal 10 7" xfId="9717"/>
    <cellStyle name="Normal 10 7 2" xfId="16210"/>
    <cellStyle name="Normal 10 8" xfId="8019"/>
    <cellStyle name="Normal 10 8 2" xfId="14619"/>
    <cellStyle name="Normal 10 9" xfId="6292"/>
    <cellStyle name="Normal 10 9 2" xfId="13015"/>
    <cellStyle name="Normal 11" xfId="4085"/>
    <cellStyle name="Normal 11 10" xfId="11236"/>
    <cellStyle name="Normal 11 2" xfId="4086"/>
    <cellStyle name="Normal 11 2 2" xfId="4498"/>
    <cellStyle name="Normal 11 2 2 2" xfId="4898"/>
    <cellStyle name="Normal 11 2 2 2 2" xfId="8641"/>
    <cellStyle name="Normal 11 2 2 2 2 2" xfId="15189"/>
    <cellStyle name="Normal 11 2 2 2 3" xfId="6922"/>
    <cellStyle name="Normal 11 2 2 2 3 2" xfId="13608"/>
    <cellStyle name="Normal 11 2 2 2 4" xfId="11823"/>
    <cellStyle name="Normal 11 2 2 3" xfId="5325"/>
    <cellStyle name="Normal 11 2 2 3 2" xfId="9068"/>
    <cellStyle name="Normal 11 2 2 3 2 2" xfId="15612"/>
    <cellStyle name="Normal 11 2 2 3 3" xfId="7349"/>
    <cellStyle name="Normal 11 2 2 3 3 2" xfId="14031"/>
    <cellStyle name="Normal 11 2 2 3 4" xfId="12246"/>
    <cellStyle name="Normal 11 2 2 4" xfId="5763"/>
    <cellStyle name="Normal 11 2 2 4 2" xfId="9504"/>
    <cellStyle name="Normal 11 2 2 4 2 2" xfId="16006"/>
    <cellStyle name="Normal 11 2 2 4 3" xfId="7785"/>
    <cellStyle name="Normal 11 2 2 4 3 2" xfId="14425"/>
    <cellStyle name="Normal 11 2 2 4 4" xfId="12656"/>
    <cellStyle name="Normal 11 2 2 5" xfId="9894"/>
    <cellStyle name="Normal 11 2 2 5 2" xfId="16375"/>
    <cellStyle name="Normal 11 2 2 6" xfId="8262"/>
    <cellStyle name="Normal 11 2 2 6 2" xfId="14819"/>
    <cellStyle name="Normal 11 2 2 7" xfId="6543"/>
    <cellStyle name="Normal 11 2 2 7 2" xfId="13233"/>
    <cellStyle name="Normal 11 2 2 8" xfId="11443"/>
    <cellStyle name="Normal 11 2 3" xfId="4784"/>
    <cellStyle name="Normal 11 2 3 2" xfId="8527"/>
    <cellStyle name="Normal 11 2 3 2 2" xfId="15079"/>
    <cellStyle name="Normal 11 2 3 3" xfId="6808"/>
    <cellStyle name="Normal 11 2 3 3 2" xfId="13498"/>
    <cellStyle name="Normal 11 2 3 4" xfId="11713"/>
    <cellStyle name="Normal 11 2 4" xfId="5128"/>
    <cellStyle name="Normal 11 2 4 2" xfId="8871"/>
    <cellStyle name="Normal 11 2 4 2 2" xfId="15415"/>
    <cellStyle name="Normal 11 2 4 3" xfId="7152"/>
    <cellStyle name="Normal 11 2 4 3 2" xfId="13834"/>
    <cellStyle name="Normal 11 2 4 4" xfId="12049"/>
    <cellStyle name="Normal 11 2 5" xfId="5561"/>
    <cellStyle name="Normal 11 2 5 2" xfId="9302"/>
    <cellStyle name="Normal 11 2 5 2 2" xfId="15809"/>
    <cellStyle name="Normal 11 2 5 3" xfId="7583"/>
    <cellStyle name="Normal 11 2 5 3 2" xfId="14228"/>
    <cellStyle name="Normal 11 2 5 4" xfId="12454"/>
    <cellStyle name="Normal 11 2 6" xfId="9774"/>
    <cellStyle name="Normal 11 2 6 2" xfId="16265"/>
    <cellStyle name="Normal 11 2 7" xfId="8022"/>
    <cellStyle name="Normal 11 2 7 2" xfId="14622"/>
    <cellStyle name="Normal 11 2 8" xfId="6295"/>
    <cellStyle name="Normal 11 2 8 2" xfId="13018"/>
    <cellStyle name="Normal 11 2 9" xfId="11237"/>
    <cellStyle name="Normal 11 3" xfId="4497"/>
    <cellStyle name="Normal 11 3 2" xfId="4899"/>
    <cellStyle name="Normal 11 3 2 2" xfId="8642"/>
    <cellStyle name="Normal 11 3 2 2 2" xfId="15190"/>
    <cellStyle name="Normal 11 3 2 3" xfId="6923"/>
    <cellStyle name="Normal 11 3 2 3 2" xfId="13609"/>
    <cellStyle name="Normal 11 3 2 4" xfId="11824"/>
    <cellStyle name="Normal 11 3 3" xfId="5324"/>
    <cellStyle name="Normal 11 3 3 2" xfId="9067"/>
    <cellStyle name="Normal 11 3 3 2 2" xfId="15611"/>
    <cellStyle name="Normal 11 3 3 3" xfId="7348"/>
    <cellStyle name="Normal 11 3 3 3 2" xfId="14030"/>
    <cellStyle name="Normal 11 3 3 4" xfId="12245"/>
    <cellStyle name="Normal 11 3 4" xfId="5762"/>
    <cellStyle name="Normal 11 3 4 2" xfId="9503"/>
    <cellStyle name="Normal 11 3 4 2 2" xfId="16005"/>
    <cellStyle name="Normal 11 3 4 3" xfId="7784"/>
    <cellStyle name="Normal 11 3 4 3 2" xfId="14424"/>
    <cellStyle name="Normal 11 3 4 4" xfId="12655"/>
    <cellStyle name="Normal 11 3 5" xfId="9895"/>
    <cellStyle name="Normal 11 3 5 2" xfId="16376"/>
    <cellStyle name="Normal 11 3 6" xfId="8261"/>
    <cellStyle name="Normal 11 3 6 2" xfId="14818"/>
    <cellStyle name="Normal 11 3 7" xfId="6542"/>
    <cellStyle name="Normal 11 3 7 2" xfId="13232"/>
    <cellStyle name="Normal 11 3 8" xfId="11442"/>
    <cellStyle name="Normal 11 4" xfId="4702"/>
    <cellStyle name="Normal 11 4 2" xfId="8446"/>
    <cellStyle name="Normal 11 4 2 2" xfId="14998"/>
    <cellStyle name="Normal 11 4 3" xfId="6727"/>
    <cellStyle name="Normal 11 4 3 2" xfId="13417"/>
    <cellStyle name="Normal 11 4 4" xfId="11631"/>
    <cellStyle name="Normal 11 5" xfId="5127"/>
    <cellStyle name="Normal 11 5 2" xfId="8870"/>
    <cellStyle name="Normal 11 5 2 2" xfId="15414"/>
    <cellStyle name="Normal 11 5 3" xfId="7151"/>
    <cellStyle name="Normal 11 5 3 2" xfId="13833"/>
    <cellStyle name="Normal 11 5 4" xfId="12048"/>
    <cellStyle name="Normal 11 6" xfId="5560"/>
    <cellStyle name="Normal 11 6 2" xfId="9301"/>
    <cellStyle name="Normal 11 6 2 2" xfId="15808"/>
    <cellStyle name="Normal 11 6 3" xfId="7582"/>
    <cellStyle name="Normal 11 6 3 2" xfId="14227"/>
    <cellStyle name="Normal 11 6 4" xfId="12453"/>
    <cellStyle name="Normal 11 7" xfId="9690"/>
    <cellStyle name="Normal 11 7 2" xfId="16183"/>
    <cellStyle name="Normal 11 8" xfId="8021"/>
    <cellStyle name="Normal 11 8 2" xfId="14621"/>
    <cellStyle name="Normal 11 9" xfId="6294"/>
    <cellStyle name="Normal 11 9 2" xfId="13017"/>
    <cellStyle name="Normal 12" xfId="4087"/>
    <cellStyle name="Normal 12 10" xfId="11238"/>
    <cellStyle name="Normal 12 2" xfId="4088"/>
    <cellStyle name="Normal 12 2 2" xfId="4500"/>
    <cellStyle name="Normal 12 2 2 2" xfId="4900"/>
    <cellStyle name="Normal 12 2 2 2 2" xfId="8643"/>
    <cellStyle name="Normal 12 2 2 2 2 2" xfId="15191"/>
    <cellStyle name="Normal 12 2 2 2 3" xfId="6924"/>
    <cellStyle name="Normal 12 2 2 2 3 2" xfId="13610"/>
    <cellStyle name="Normal 12 2 2 2 4" xfId="11825"/>
    <cellStyle name="Normal 12 2 2 3" xfId="5327"/>
    <cellStyle name="Normal 12 2 2 3 2" xfId="9070"/>
    <cellStyle name="Normal 12 2 2 3 2 2" xfId="15614"/>
    <cellStyle name="Normal 12 2 2 3 3" xfId="7351"/>
    <cellStyle name="Normal 12 2 2 3 3 2" xfId="14033"/>
    <cellStyle name="Normal 12 2 2 3 4" xfId="12248"/>
    <cellStyle name="Normal 12 2 2 4" xfId="5765"/>
    <cellStyle name="Normal 12 2 2 4 2" xfId="9506"/>
    <cellStyle name="Normal 12 2 2 4 2 2" xfId="16008"/>
    <cellStyle name="Normal 12 2 2 4 3" xfId="7787"/>
    <cellStyle name="Normal 12 2 2 4 3 2" xfId="14427"/>
    <cellStyle name="Normal 12 2 2 4 4" xfId="12658"/>
    <cellStyle name="Normal 12 2 2 5" xfId="9896"/>
    <cellStyle name="Normal 12 2 2 5 2" xfId="16377"/>
    <cellStyle name="Normal 12 2 2 6" xfId="8264"/>
    <cellStyle name="Normal 12 2 2 6 2" xfId="14821"/>
    <cellStyle name="Normal 12 2 2 7" xfId="6545"/>
    <cellStyle name="Normal 12 2 2 7 2" xfId="13235"/>
    <cellStyle name="Normal 12 2 2 8" xfId="11445"/>
    <cellStyle name="Normal 12 2 3" xfId="4785"/>
    <cellStyle name="Normal 12 2 3 2" xfId="8528"/>
    <cellStyle name="Normal 12 2 3 2 2" xfId="15080"/>
    <cellStyle name="Normal 12 2 3 3" xfId="6809"/>
    <cellStyle name="Normal 12 2 3 3 2" xfId="13499"/>
    <cellStyle name="Normal 12 2 3 4" xfId="11714"/>
    <cellStyle name="Normal 12 2 4" xfId="5130"/>
    <cellStyle name="Normal 12 2 4 2" xfId="8873"/>
    <cellStyle name="Normal 12 2 4 2 2" xfId="15417"/>
    <cellStyle name="Normal 12 2 4 3" xfId="7154"/>
    <cellStyle name="Normal 12 2 4 3 2" xfId="13836"/>
    <cellStyle name="Normal 12 2 4 4" xfId="12051"/>
    <cellStyle name="Normal 12 2 5" xfId="5563"/>
    <cellStyle name="Normal 12 2 5 2" xfId="9304"/>
    <cellStyle name="Normal 12 2 5 2 2" xfId="15811"/>
    <cellStyle name="Normal 12 2 5 3" xfId="7585"/>
    <cellStyle name="Normal 12 2 5 3 2" xfId="14230"/>
    <cellStyle name="Normal 12 2 5 4" xfId="12456"/>
    <cellStyle name="Normal 12 2 6" xfId="9775"/>
    <cellStyle name="Normal 12 2 6 2" xfId="16266"/>
    <cellStyle name="Normal 12 2 7" xfId="8024"/>
    <cellStyle name="Normal 12 2 7 2" xfId="14624"/>
    <cellStyle name="Normal 12 2 8" xfId="6297"/>
    <cellStyle name="Normal 12 2 8 2" xfId="13020"/>
    <cellStyle name="Normal 12 2 9" xfId="11239"/>
    <cellStyle name="Normal 12 3" xfId="4499"/>
    <cellStyle name="Normal 12 3 2" xfId="4901"/>
    <cellStyle name="Normal 12 3 2 2" xfId="8644"/>
    <cellStyle name="Normal 12 3 2 2 2" xfId="15192"/>
    <cellStyle name="Normal 12 3 2 3" xfId="6925"/>
    <cellStyle name="Normal 12 3 2 3 2" xfId="13611"/>
    <cellStyle name="Normal 12 3 2 4" xfId="11826"/>
    <cellStyle name="Normal 12 3 3" xfId="5326"/>
    <cellStyle name="Normal 12 3 3 2" xfId="9069"/>
    <cellStyle name="Normal 12 3 3 2 2" xfId="15613"/>
    <cellStyle name="Normal 12 3 3 3" xfId="7350"/>
    <cellStyle name="Normal 12 3 3 3 2" xfId="14032"/>
    <cellStyle name="Normal 12 3 3 4" xfId="12247"/>
    <cellStyle name="Normal 12 3 4" xfId="5764"/>
    <cellStyle name="Normal 12 3 4 2" xfId="9505"/>
    <cellStyle name="Normal 12 3 4 2 2" xfId="16007"/>
    <cellStyle name="Normal 12 3 4 3" xfId="7786"/>
    <cellStyle name="Normal 12 3 4 3 2" xfId="14426"/>
    <cellStyle name="Normal 12 3 4 4" xfId="12657"/>
    <cellStyle name="Normal 12 3 5" xfId="9897"/>
    <cellStyle name="Normal 12 3 5 2" xfId="16378"/>
    <cellStyle name="Normal 12 3 6" xfId="8263"/>
    <cellStyle name="Normal 12 3 6 2" xfId="14820"/>
    <cellStyle name="Normal 12 3 7" xfId="6544"/>
    <cellStyle name="Normal 12 3 7 2" xfId="13234"/>
    <cellStyle name="Normal 12 3 8" xfId="11444"/>
    <cellStyle name="Normal 12 4" xfId="4703"/>
    <cellStyle name="Normal 12 4 2" xfId="8447"/>
    <cellStyle name="Normal 12 4 2 2" xfId="14999"/>
    <cellStyle name="Normal 12 4 3" xfId="6728"/>
    <cellStyle name="Normal 12 4 3 2" xfId="13418"/>
    <cellStyle name="Normal 12 4 4" xfId="11632"/>
    <cellStyle name="Normal 12 5" xfId="5129"/>
    <cellStyle name="Normal 12 5 2" xfId="8872"/>
    <cellStyle name="Normal 12 5 2 2" xfId="15416"/>
    <cellStyle name="Normal 12 5 3" xfId="7153"/>
    <cellStyle name="Normal 12 5 3 2" xfId="13835"/>
    <cellStyle name="Normal 12 5 4" xfId="12050"/>
    <cellStyle name="Normal 12 6" xfId="5562"/>
    <cellStyle name="Normal 12 6 2" xfId="9303"/>
    <cellStyle name="Normal 12 6 2 2" xfId="15810"/>
    <cellStyle name="Normal 12 6 3" xfId="7584"/>
    <cellStyle name="Normal 12 6 3 2" xfId="14229"/>
    <cellStyle name="Normal 12 6 4" xfId="12455"/>
    <cellStyle name="Normal 12 7" xfId="9691"/>
    <cellStyle name="Normal 12 7 2" xfId="16184"/>
    <cellStyle name="Normal 12 8" xfId="8023"/>
    <cellStyle name="Normal 12 8 2" xfId="14623"/>
    <cellStyle name="Normal 12 9" xfId="6296"/>
    <cellStyle name="Normal 12 9 2" xfId="13019"/>
    <cellStyle name="Normal 13" xfId="4089"/>
    <cellStyle name="Normal 13 10" xfId="11240"/>
    <cellStyle name="Normal 13 2" xfId="4090"/>
    <cellStyle name="Normal 13 2 2" xfId="4502"/>
    <cellStyle name="Normal 13 2 2 2" xfId="4902"/>
    <cellStyle name="Normal 13 2 2 2 2" xfId="8645"/>
    <cellStyle name="Normal 13 2 2 2 2 2" xfId="15193"/>
    <cellStyle name="Normal 13 2 2 2 3" xfId="6926"/>
    <cellStyle name="Normal 13 2 2 2 3 2" xfId="13612"/>
    <cellStyle name="Normal 13 2 2 2 4" xfId="11827"/>
    <cellStyle name="Normal 13 2 2 3" xfId="5329"/>
    <cellStyle name="Normal 13 2 2 3 2" xfId="9072"/>
    <cellStyle name="Normal 13 2 2 3 2 2" xfId="15616"/>
    <cellStyle name="Normal 13 2 2 3 3" xfId="7353"/>
    <cellStyle name="Normal 13 2 2 3 3 2" xfId="14035"/>
    <cellStyle name="Normal 13 2 2 3 4" xfId="12250"/>
    <cellStyle name="Normal 13 2 2 4" xfId="5767"/>
    <cellStyle name="Normal 13 2 2 4 2" xfId="9508"/>
    <cellStyle name="Normal 13 2 2 4 2 2" xfId="16010"/>
    <cellStyle name="Normal 13 2 2 4 3" xfId="7789"/>
    <cellStyle name="Normal 13 2 2 4 3 2" xfId="14429"/>
    <cellStyle name="Normal 13 2 2 4 4" xfId="12660"/>
    <cellStyle name="Normal 13 2 2 5" xfId="9898"/>
    <cellStyle name="Normal 13 2 2 5 2" xfId="16379"/>
    <cellStyle name="Normal 13 2 2 6" xfId="8266"/>
    <cellStyle name="Normal 13 2 2 6 2" xfId="14823"/>
    <cellStyle name="Normal 13 2 2 7" xfId="6547"/>
    <cellStyle name="Normal 13 2 2 7 2" xfId="13237"/>
    <cellStyle name="Normal 13 2 2 8" xfId="11447"/>
    <cellStyle name="Normal 13 2 3" xfId="4787"/>
    <cellStyle name="Normal 13 2 3 2" xfId="8530"/>
    <cellStyle name="Normal 13 2 3 2 2" xfId="15082"/>
    <cellStyle name="Normal 13 2 3 3" xfId="6811"/>
    <cellStyle name="Normal 13 2 3 3 2" xfId="13501"/>
    <cellStyle name="Normal 13 2 3 4" xfId="11716"/>
    <cellStyle name="Normal 13 2 4" xfId="5132"/>
    <cellStyle name="Normal 13 2 4 2" xfId="8875"/>
    <cellStyle name="Normal 13 2 4 2 2" xfId="15419"/>
    <cellStyle name="Normal 13 2 4 3" xfId="7156"/>
    <cellStyle name="Normal 13 2 4 3 2" xfId="13838"/>
    <cellStyle name="Normal 13 2 4 4" xfId="12053"/>
    <cellStyle name="Normal 13 2 5" xfId="5565"/>
    <cellStyle name="Normal 13 2 5 2" xfId="9306"/>
    <cellStyle name="Normal 13 2 5 2 2" xfId="15813"/>
    <cellStyle name="Normal 13 2 5 3" xfId="7587"/>
    <cellStyle name="Normal 13 2 5 3 2" xfId="14232"/>
    <cellStyle name="Normal 13 2 5 4" xfId="12458"/>
    <cellStyle name="Normal 13 2 6" xfId="9777"/>
    <cellStyle name="Normal 13 2 6 2" xfId="16268"/>
    <cellStyle name="Normal 13 2 7" xfId="8026"/>
    <cellStyle name="Normal 13 2 7 2" xfId="14626"/>
    <cellStyle name="Normal 13 2 8" xfId="6299"/>
    <cellStyle name="Normal 13 2 8 2" xfId="13022"/>
    <cellStyle name="Normal 13 2 9" xfId="11241"/>
    <cellStyle name="Normal 13 3" xfId="4501"/>
    <cellStyle name="Normal 13 3 2" xfId="4903"/>
    <cellStyle name="Normal 13 3 2 2" xfId="8646"/>
    <cellStyle name="Normal 13 3 2 2 2" xfId="15194"/>
    <cellStyle name="Normal 13 3 2 3" xfId="6927"/>
    <cellStyle name="Normal 13 3 2 3 2" xfId="13613"/>
    <cellStyle name="Normal 13 3 2 4" xfId="11828"/>
    <cellStyle name="Normal 13 3 3" xfId="5328"/>
    <cellStyle name="Normal 13 3 3 2" xfId="9071"/>
    <cellStyle name="Normal 13 3 3 2 2" xfId="15615"/>
    <cellStyle name="Normal 13 3 3 3" xfId="7352"/>
    <cellStyle name="Normal 13 3 3 3 2" xfId="14034"/>
    <cellStyle name="Normal 13 3 3 4" xfId="12249"/>
    <cellStyle name="Normal 13 3 4" xfId="5766"/>
    <cellStyle name="Normal 13 3 4 2" xfId="9507"/>
    <cellStyle name="Normal 13 3 4 2 2" xfId="16009"/>
    <cellStyle name="Normal 13 3 4 3" xfId="7788"/>
    <cellStyle name="Normal 13 3 4 3 2" xfId="14428"/>
    <cellStyle name="Normal 13 3 4 4" xfId="12659"/>
    <cellStyle name="Normal 13 3 5" xfId="9899"/>
    <cellStyle name="Normal 13 3 5 2" xfId="16380"/>
    <cellStyle name="Normal 13 3 6" xfId="8265"/>
    <cellStyle name="Normal 13 3 6 2" xfId="14822"/>
    <cellStyle name="Normal 13 3 7" xfId="6546"/>
    <cellStyle name="Normal 13 3 7 2" xfId="13236"/>
    <cellStyle name="Normal 13 3 8" xfId="11446"/>
    <cellStyle name="Normal 13 4" xfId="4705"/>
    <cellStyle name="Normal 13 4 2" xfId="8449"/>
    <cellStyle name="Normal 13 4 2 2" xfId="15001"/>
    <cellStyle name="Normal 13 4 3" xfId="6730"/>
    <cellStyle name="Normal 13 4 3 2" xfId="13420"/>
    <cellStyle name="Normal 13 4 4" xfId="11634"/>
    <cellStyle name="Normal 13 5" xfId="5131"/>
    <cellStyle name="Normal 13 5 2" xfId="8874"/>
    <cellStyle name="Normal 13 5 2 2" xfId="15418"/>
    <cellStyle name="Normal 13 5 3" xfId="7155"/>
    <cellStyle name="Normal 13 5 3 2" xfId="13837"/>
    <cellStyle name="Normal 13 5 4" xfId="12052"/>
    <cellStyle name="Normal 13 6" xfId="5564"/>
    <cellStyle name="Normal 13 6 2" xfId="9305"/>
    <cellStyle name="Normal 13 6 2 2" xfId="15812"/>
    <cellStyle name="Normal 13 6 3" xfId="7586"/>
    <cellStyle name="Normal 13 6 3 2" xfId="14231"/>
    <cellStyle name="Normal 13 6 4" xfId="12457"/>
    <cellStyle name="Normal 13 7" xfId="9693"/>
    <cellStyle name="Normal 13 7 2" xfId="16186"/>
    <cellStyle name="Normal 13 8" xfId="8025"/>
    <cellStyle name="Normal 13 8 2" xfId="14625"/>
    <cellStyle name="Normal 13 9" xfId="6298"/>
    <cellStyle name="Normal 13 9 2" xfId="13021"/>
    <cellStyle name="Normal 14" xfId="4091"/>
    <cellStyle name="Normal 14 10" xfId="11242"/>
    <cellStyle name="Normal 14 10 18" xfId="4092"/>
    <cellStyle name="Normal 14 10 18 10" xfId="11243"/>
    <cellStyle name="Normal 14 10 18 2" xfId="4093"/>
    <cellStyle name="Normal 14 10 18 2 2" xfId="4505"/>
    <cellStyle name="Normal 14 10 18 2 2 2" xfId="4904"/>
    <cellStyle name="Normal 14 10 18 2 2 2 2" xfId="8647"/>
    <cellStyle name="Normal 14 10 18 2 2 2 2 2" xfId="15195"/>
    <cellStyle name="Normal 14 10 18 2 2 2 3" xfId="6928"/>
    <cellStyle name="Normal 14 10 18 2 2 2 3 2" xfId="13614"/>
    <cellStyle name="Normal 14 10 18 2 2 2 4" xfId="11829"/>
    <cellStyle name="Normal 14 10 18 2 2 3" xfId="5332"/>
    <cellStyle name="Normal 14 10 18 2 2 3 2" xfId="9075"/>
    <cellStyle name="Normal 14 10 18 2 2 3 2 2" xfId="15619"/>
    <cellStyle name="Normal 14 10 18 2 2 3 3" xfId="7356"/>
    <cellStyle name="Normal 14 10 18 2 2 3 3 2" xfId="14038"/>
    <cellStyle name="Normal 14 10 18 2 2 3 4" xfId="12253"/>
    <cellStyle name="Normal 14 10 18 2 2 4" xfId="5770"/>
    <cellStyle name="Normal 14 10 18 2 2 4 2" xfId="9511"/>
    <cellStyle name="Normal 14 10 18 2 2 4 2 2" xfId="16013"/>
    <cellStyle name="Normal 14 10 18 2 2 4 3" xfId="7792"/>
    <cellStyle name="Normal 14 10 18 2 2 4 3 2" xfId="14432"/>
    <cellStyle name="Normal 14 10 18 2 2 4 4" xfId="12663"/>
    <cellStyle name="Normal 14 10 18 2 2 5" xfId="9900"/>
    <cellStyle name="Normal 14 10 18 2 2 5 2" xfId="16381"/>
    <cellStyle name="Normal 14 10 18 2 2 6" xfId="8269"/>
    <cellStyle name="Normal 14 10 18 2 2 6 2" xfId="14826"/>
    <cellStyle name="Normal 14 10 18 2 2 7" xfId="6550"/>
    <cellStyle name="Normal 14 10 18 2 2 7 2" xfId="13240"/>
    <cellStyle name="Normal 14 10 18 2 2 8" xfId="11450"/>
    <cellStyle name="Normal 14 10 18 2 3" xfId="4759"/>
    <cellStyle name="Normal 14 10 18 2 3 2" xfId="8502"/>
    <cellStyle name="Normal 14 10 18 2 3 2 2" xfId="15054"/>
    <cellStyle name="Normal 14 10 18 2 3 3" xfId="6783"/>
    <cellStyle name="Normal 14 10 18 2 3 3 2" xfId="13473"/>
    <cellStyle name="Normal 14 10 18 2 3 4" xfId="11688"/>
    <cellStyle name="Normal 14 10 18 2 4" xfId="5135"/>
    <cellStyle name="Normal 14 10 18 2 4 2" xfId="8878"/>
    <cellStyle name="Normal 14 10 18 2 4 2 2" xfId="15422"/>
    <cellStyle name="Normal 14 10 18 2 4 3" xfId="7159"/>
    <cellStyle name="Normal 14 10 18 2 4 3 2" xfId="13841"/>
    <cellStyle name="Normal 14 10 18 2 4 4" xfId="12056"/>
    <cellStyle name="Normal 14 10 18 2 5" xfId="5568"/>
    <cellStyle name="Normal 14 10 18 2 5 2" xfId="9309"/>
    <cellStyle name="Normal 14 10 18 2 5 2 2" xfId="15816"/>
    <cellStyle name="Normal 14 10 18 2 5 3" xfId="7590"/>
    <cellStyle name="Normal 14 10 18 2 5 3 2" xfId="14235"/>
    <cellStyle name="Normal 14 10 18 2 5 4" xfId="12461"/>
    <cellStyle name="Normal 14 10 18 2 6" xfId="9749"/>
    <cellStyle name="Normal 14 10 18 2 6 2" xfId="16240"/>
    <cellStyle name="Normal 14 10 18 2 7" xfId="8029"/>
    <cellStyle name="Normal 14 10 18 2 7 2" xfId="14629"/>
    <cellStyle name="Normal 14 10 18 2 8" xfId="6302"/>
    <cellStyle name="Normal 14 10 18 2 8 2" xfId="13025"/>
    <cellStyle name="Normal 14 10 18 2 9" xfId="11244"/>
    <cellStyle name="Normal 14 10 18 3" xfId="4504"/>
    <cellStyle name="Normal 14 10 18 3 2" xfId="4905"/>
    <cellStyle name="Normal 14 10 18 3 2 2" xfId="8648"/>
    <cellStyle name="Normal 14 10 18 3 2 2 2" xfId="15196"/>
    <cellStyle name="Normal 14 10 18 3 2 3" xfId="6929"/>
    <cellStyle name="Normal 14 10 18 3 2 3 2" xfId="13615"/>
    <cellStyle name="Normal 14 10 18 3 2 4" xfId="11830"/>
    <cellStyle name="Normal 14 10 18 3 3" xfId="5331"/>
    <cellStyle name="Normal 14 10 18 3 3 2" xfId="9074"/>
    <cellStyle name="Normal 14 10 18 3 3 2 2" xfId="15618"/>
    <cellStyle name="Normal 14 10 18 3 3 3" xfId="7355"/>
    <cellStyle name="Normal 14 10 18 3 3 3 2" xfId="14037"/>
    <cellStyle name="Normal 14 10 18 3 3 4" xfId="12252"/>
    <cellStyle name="Normal 14 10 18 3 4" xfId="5769"/>
    <cellStyle name="Normal 14 10 18 3 4 2" xfId="9510"/>
    <cellStyle name="Normal 14 10 18 3 4 2 2" xfId="16012"/>
    <cellStyle name="Normal 14 10 18 3 4 3" xfId="7791"/>
    <cellStyle name="Normal 14 10 18 3 4 3 2" xfId="14431"/>
    <cellStyle name="Normal 14 10 18 3 4 4" xfId="12662"/>
    <cellStyle name="Normal 14 10 18 3 5" xfId="9901"/>
    <cellStyle name="Normal 14 10 18 3 5 2" xfId="16382"/>
    <cellStyle name="Normal 14 10 18 3 6" xfId="8268"/>
    <cellStyle name="Normal 14 10 18 3 6 2" xfId="14825"/>
    <cellStyle name="Normal 14 10 18 3 7" xfId="6549"/>
    <cellStyle name="Normal 14 10 18 3 7 2" xfId="13239"/>
    <cellStyle name="Normal 14 10 18 3 8" xfId="11449"/>
    <cellStyle name="Normal 14 10 18 4" xfId="4696"/>
    <cellStyle name="Normal 14 10 18 4 2" xfId="8441"/>
    <cellStyle name="Normal 14 10 18 4 2 2" xfId="14993"/>
    <cellStyle name="Normal 14 10 18 4 3" xfId="6722"/>
    <cellStyle name="Normal 14 10 18 4 3 2" xfId="13412"/>
    <cellStyle name="Normal 14 10 18 4 4" xfId="11626"/>
    <cellStyle name="Normal 14 10 18 5" xfId="5134"/>
    <cellStyle name="Normal 14 10 18 5 2" xfId="8877"/>
    <cellStyle name="Normal 14 10 18 5 2 2" xfId="15421"/>
    <cellStyle name="Normal 14 10 18 5 3" xfId="7158"/>
    <cellStyle name="Normal 14 10 18 5 3 2" xfId="13840"/>
    <cellStyle name="Normal 14 10 18 5 4" xfId="12055"/>
    <cellStyle name="Normal 14 10 18 6" xfId="5567"/>
    <cellStyle name="Normal 14 10 18 6 2" xfId="9308"/>
    <cellStyle name="Normal 14 10 18 6 2 2" xfId="15815"/>
    <cellStyle name="Normal 14 10 18 6 3" xfId="7589"/>
    <cellStyle name="Normal 14 10 18 6 3 2" xfId="14234"/>
    <cellStyle name="Normal 14 10 18 6 4" xfId="12460"/>
    <cellStyle name="Normal 14 10 18 7" xfId="9678"/>
    <cellStyle name="Normal 14 10 18 7 2" xfId="16178"/>
    <cellStyle name="Normal 14 10 18 8" xfId="8028"/>
    <cellStyle name="Normal 14 10 18 8 2" xfId="14628"/>
    <cellStyle name="Normal 14 10 18 9" xfId="6301"/>
    <cellStyle name="Normal 14 10 18 9 2" xfId="13024"/>
    <cellStyle name="Normal 14 2" xfId="4094"/>
    <cellStyle name="Normal 14 2 2" xfId="4506"/>
    <cellStyle name="Normal 14 2 2 2" xfId="4906"/>
    <cellStyle name="Normal 14 2 2 2 2" xfId="8649"/>
    <cellStyle name="Normal 14 2 2 2 2 2" xfId="15197"/>
    <cellStyle name="Normal 14 2 2 2 3" xfId="6930"/>
    <cellStyle name="Normal 14 2 2 2 3 2" xfId="13616"/>
    <cellStyle name="Normal 14 2 2 2 4" xfId="11831"/>
    <cellStyle name="Normal 14 2 2 3" xfId="5333"/>
    <cellStyle name="Normal 14 2 2 3 2" xfId="9076"/>
    <cellStyle name="Normal 14 2 2 3 2 2" xfId="15620"/>
    <cellStyle name="Normal 14 2 2 3 3" xfId="7357"/>
    <cellStyle name="Normal 14 2 2 3 3 2" xfId="14039"/>
    <cellStyle name="Normal 14 2 2 3 4" xfId="12254"/>
    <cellStyle name="Normal 14 2 2 4" xfId="5771"/>
    <cellStyle name="Normal 14 2 2 4 2" xfId="9512"/>
    <cellStyle name="Normal 14 2 2 4 2 2" xfId="16014"/>
    <cellStyle name="Normal 14 2 2 4 3" xfId="7793"/>
    <cellStyle name="Normal 14 2 2 4 3 2" xfId="14433"/>
    <cellStyle name="Normal 14 2 2 4 4" xfId="12664"/>
    <cellStyle name="Normal 14 2 2 5" xfId="9902"/>
    <cellStyle name="Normal 14 2 2 5 2" xfId="16383"/>
    <cellStyle name="Normal 14 2 2 6" xfId="8270"/>
    <cellStyle name="Normal 14 2 2 6 2" xfId="14827"/>
    <cellStyle name="Normal 14 2 2 7" xfId="6551"/>
    <cellStyle name="Normal 14 2 2 7 2" xfId="13241"/>
    <cellStyle name="Normal 14 2 2 8" xfId="11451"/>
    <cellStyle name="Normal 14 2 3" xfId="4790"/>
    <cellStyle name="Normal 14 2 3 2" xfId="8533"/>
    <cellStyle name="Normal 14 2 3 2 2" xfId="15085"/>
    <cellStyle name="Normal 14 2 3 3" xfId="6814"/>
    <cellStyle name="Normal 14 2 3 3 2" xfId="13504"/>
    <cellStyle name="Normal 14 2 3 4" xfId="11719"/>
    <cellStyle name="Normal 14 2 4" xfId="5136"/>
    <cellStyle name="Normal 14 2 4 2" xfId="8879"/>
    <cellStyle name="Normal 14 2 4 2 2" xfId="15423"/>
    <cellStyle name="Normal 14 2 4 3" xfId="7160"/>
    <cellStyle name="Normal 14 2 4 3 2" xfId="13842"/>
    <cellStyle name="Normal 14 2 4 4" xfId="12057"/>
    <cellStyle name="Normal 14 2 5" xfId="5569"/>
    <cellStyle name="Normal 14 2 5 2" xfId="9310"/>
    <cellStyle name="Normal 14 2 5 2 2" xfId="15817"/>
    <cellStyle name="Normal 14 2 5 3" xfId="7591"/>
    <cellStyle name="Normal 14 2 5 3 2" xfId="14236"/>
    <cellStyle name="Normal 14 2 5 4" xfId="12462"/>
    <cellStyle name="Normal 14 2 6" xfId="9780"/>
    <cellStyle name="Normal 14 2 6 2" xfId="16271"/>
    <cellStyle name="Normal 14 2 7" xfId="8030"/>
    <cellStyle name="Normal 14 2 7 2" xfId="14630"/>
    <cellStyle name="Normal 14 2 8" xfId="6303"/>
    <cellStyle name="Normal 14 2 8 2" xfId="13026"/>
    <cellStyle name="Normal 14 2 9" xfId="11245"/>
    <cellStyle name="Normal 14 3" xfId="4503"/>
    <cellStyle name="Normal 14 3 2" xfId="4907"/>
    <cellStyle name="Normal 14 3 2 2" xfId="8650"/>
    <cellStyle name="Normal 14 3 2 2 2" xfId="15198"/>
    <cellStyle name="Normal 14 3 2 3" xfId="6931"/>
    <cellStyle name="Normal 14 3 2 3 2" xfId="13617"/>
    <cellStyle name="Normal 14 3 2 4" xfId="11832"/>
    <cellStyle name="Normal 14 3 3" xfId="5330"/>
    <cellStyle name="Normal 14 3 3 2" xfId="9073"/>
    <cellStyle name="Normal 14 3 3 2 2" xfId="15617"/>
    <cellStyle name="Normal 14 3 3 3" xfId="7354"/>
    <cellStyle name="Normal 14 3 3 3 2" xfId="14036"/>
    <cellStyle name="Normal 14 3 3 4" xfId="12251"/>
    <cellStyle name="Normal 14 3 4" xfId="5768"/>
    <cellStyle name="Normal 14 3 4 2" xfId="9509"/>
    <cellStyle name="Normal 14 3 4 2 2" xfId="16011"/>
    <cellStyle name="Normal 14 3 4 3" xfId="7790"/>
    <cellStyle name="Normal 14 3 4 3 2" xfId="14430"/>
    <cellStyle name="Normal 14 3 4 4" xfId="12661"/>
    <cellStyle name="Normal 14 3 5" xfId="9903"/>
    <cellStyle name="Normal 14 3 5 2" xfId="16384"/>
    <cellStyle name="Normal 14 3 6" xfId="8267"/>
    <cellStyle name="Normal 14 3 6 2" xfId="14824"/>
    <cellStyle name="Normal 14 3 7" xfId="6548"/>
    <cellStyle name="Normal 14 3 7 2" xfId="13238"/>
    <cellStyle name="Normal 14 3 8" xfId="11448"/>
    <cellStyle name="Normal 14 4" xfId="4708"/>
    <cellStyle name="Normal 14 4 2" xfId="8452"/>
    <cellStyle name="Normal 14 4 2 2" xfId="15004"/>
    <cellStyle name="Normal 14 4 3" xfId="6733"/>
    <cellStyle name="Normal 14 4 3 2" xfId="13423"/>
    <cellStyle name="Normal 14 4 4" xfId="11637"/>
    <cellStyle name="Normal 14 5" xfId="5133"/>
    <cellStyle name="Normal 14 5 2" xfId="8876"/>
    <cellStyle name="Normal 14 5 2 2" xfId="15420"/>
    <cellStyle name="Normal 14 5 3" xfId="7157"/>
    <cellStyle name="Normal 14 5 3 2" xfId="13839"/>
    <cellStyle name="Normal 14 5 4" xfId="12054"/>
    <cellStyle name="Normal 14 6" xfId="5566"/>
    <cellStyle name="Normal 14 6 2" xfId="9307"/>
    <cellStyle name="Normal 14 6 2 2" xfId="15814"/>
    <cellStyle name="Normal 14 6 3" xfId="7588"/>
    <cellStyle name="Normal 14 6 3 2" xfId="14233"/>
    <cellStyle name="Normal 14 6 4" xfId="12459"/>
    <cellStyle name="Normal 14 7" xfId="9696"/>
    <cellStyle name="Normal 14 7 2" xfId="16189"/>
    <cellStyle name="Normal 14 8" xfId="8027"/>
    <cellStyle name="Normal 14 8 2" xfId="14627"/>
    <cellStyle name="Normal 14 9" xfId="6300"/>
    <cellStyle name="Normal 14 9 2" xfId="13023"/>
    <cellStyle name="Normal 15" xfId="4095"/>
    <cellStyle name="Normal 15 10" xfId="11246"/>
    <cellStyle name="Normal 15 2" xfId="4096"/>
    <cellStyle name="Normal 15 2 2" xfId="4508"/>
    <cellStyle name="Normal 15 2 2 2" xfId="4908"/>
    <cellStyle name="Normal 15 2 2 2 2" xfId="8651"/>
    <cellStyle name="Normal 15 2 2 2 2 2" xfId="15199"/>
    <cellStyle name="Normal 15 2 2 2 3" xfId="6932"/>
    <cellStyle name="Normal 15 2 2 2 3 2" xfId="13618"/>
    <cellStyle name="Normal 15 2 2 2 4" xfId="11833"/>
    <cellStyle name="Normal 15 2 2 3" xfId="5335"/>
    <cellStyle name="Normal 15 2 2 3 2" xfId="9078"/>
    <cellStyle name="Normal 15 2 2 3 2 2" xfId="15622"/>
    <cellStyle name="Normal 15 2 2 3 3" xfId="7359"/>
    <cellStyle name="Normal 15 2 2 3 3 2" xfId="14041"/>
    <cellStyle name="Normal 15 2 2 3 4" xfId="12256"/>
    <cellStyle name="Normal 15 2 2 4" xfId="5773"/>
    <cellStyle name="Normal 15 2 2 4 2" xfId="9514"/>
    <cellStyle name="Normal 15 2 2 4 2 2" xfId="16016"/>
    <cellStyle name="Normal 15 2 2 4 3" xfId="7795"/>
    <cellStyle name="Normal 15 2 2 4 3 2" xfId="14435"/>
    <cellStyle name="Normal 15 2 2 4 4" xfId="12666"/>
    <cellStyle name="Normal 15 2 2 5" xfId="9904"/>
    <cellStyle name="Normal 15 2 2 5 2" xfId="16385"/>
    <cellStyle name="Normal 15 2 2 6" xfId="8272"/>
    <cellStyle name="Normal 15 2 2 6 2" xfId="14829"/>
    <cellStyle name="Normal 15 2 2 7" xfId="6553"/>
    <cellStyle name="Normal 15 2 2 7 2" xfId="13243"/>
    <cellStyle name="Normal 15 2 2 8" xfId="11453"/>
    <cellStyle name="Normal 15 2 3" xfId="4792"/>
    <cellStyle name="Normal 15 2 3 2" xfId="8535"/>
    <cellStyle name="Normal 15 2 3 2 2" xfId="15087"/>
    <cellStyle name="Normal 15 2 3 3" xfId="6816"/>
    <cellStyle name="Normal 15 2 3 3 2" xfId="13506"/>
    <cellStyle name="Normal 15 2 3 4" xfId="11721"/>
    <cellStyle name="Normal 15 2 4" xfId="5138"/>
    <cellStyle name="Normal 15 2 4 2" xfId="8881"/>
    <cellStyle name="Normal 15 2 4 2 2" xfId="15425"/>
    <cellStyle name="Normal 15 2 4 3" xfId="7162"/>
    <cellStyle name="Normal 15 2 4 3 2" xfId="13844"/>
    <cellStyle name="Normal 15 2 4 4" xfId="12059"/>
    <cellStyle name="Normal 15 2 5" xfId="5571"/>
    <cellStyle name="Normal 15 2 5 2" xfId="9312"/>
    <cellStyle name="Normal 15 2 5 2 2" xfId="15819"/>
    <cellStyle name="Normal 15 2 5 3" xfId="7593"/>
    <cellStyle name="Normal 15 2 5 3 2" xfId="14238"/>
    <cellStyle name="Normal 15 2 5 4" xfId="12464"/>
    <cellStyle name="Normal 15 2 6" xfId="9782"/>
    <cellStyle name="Normal 15 2 6 2" xfId="16273"/>
    <cellStyle name="Normal 15 2 7" xfId="8032"/>
    <cellStyle name="Normal 15 2 7 2" xfId="14632"/>
    <cellStyle name="Normal 15 2 8" xfId="6305"/>
    <cellStyle name="Normal 15 2 8 2" xfId="13028"/>
    <cellStyle name="Normal 15 2 9" xfId="11247"/>
    <cellStyle name="Normal 15 3" xfId="4507"/>
    <cellStyle name="Normal 15 3 2" xfId="4909"/>
    <cellStyle name="Normal 15 3 2 2" xfId="8652"/>
    <cellStyle name="Normal 15 3 2 2 2" xfId="15200"/>
    <cellStyle name="Normal 15 3 2 3" xfId="6933"/>
    <cellStyle name="Normal 15 3 2 3 2" xfId="13619"/>
    <cellStyle name="Normal 15 3 2 4" xfId="11834"/>
    <cellStyle name="Normal 15 3 3" xfId="5334"/>
    <cellStyle name="Normal 15 3 3 2" xfId="9077"/>
    <cellStyle name="Normal 15 3 3 2 2" xfId="15621"/>
    <cellStyle name="Normal 15 3 3 3" xfId="7358"/>
    <cellStyle name="Normal 15 3 3 3 2" xfId="14040"/>
    <cellStyle name="Normal 15 3 3 4" xfId="12255"/>
    <cellStyle name="Normal 15 3 4" xfId="5772"/>
    <cellStyle name="Normal 15 3 4 2" xfId="9513"/>
    <cellStyle name="Normal 15 3 4 2 2" xfId="16015"/>
    <cellStyle name="Normal 15 3 4 3" xfId="7794"/>
    <cellStyle name="Normal 15 3 4 3 2" xfId="14434"/>
    <cellStyle name="Normal 15 3 4 4" xfId="12665"/>
    <cellStyle name="Normal 15 3 5" xfId="9905"/>
    <cellStyle name="Normal 15 3 5 2" xfId="16386"/>
    <cellStyle name="Normal 15 3 6" xfId="8271"/>
    <cellStyle name="Normal 15 3 6 2" xfId="14828"/>
    <cellStyle name="Normal 15 3 7" xfId="6552"/>
    <cellStyle name="Normal 15 3 7 2" xfId="13242"/>
    <cellStyle name="Normal 15 3 8" xfId="11452"/>
    <cellStyle name="Normal 15 4" xfId="4710"/>
    <cellStyle name="Normal 15 4 2" xfId="8454"/>
    <cellStyle name="Normal 15 4 2 2" xfId="15006"/>
    <cellStyle name="Normal 15 4 3" xfId="6735"/>
    <cellStyle name="Normal 15 4 3 2" xfId="13425"/>
    <cellStyle name="Normal 15 4 4" xfId="11639"/>
    <cellStyle name="Normal 15 5" xfId="5137"/>
    <cellStyle name="Normal 15 5 2" xfId="8880"/>
    <cellStyle name="Normal 15 5 2 2" xfId="15424"/>
    <cellStyle name="Normal 15 5 3" xfId="7161"/>
    <cellStyle name="Normal 15 5 3 2" xfId="13843"/>
    <cellStyle name="Normal 15 5 4" xfId="12058"/>
    <cellStyle name="Normal 15 6" xfId="5570"/>
    <cellStyle name="Normal 15 6 2" xfId="9311"/>
    <cellStyle name="Normal 15 6 2 2" xfId="15818"/>
    <cellStyle name="Normal 15 6 3" xfId="7592"/>
    <cellStyle name="Normal 15 6 3 2" xfId="14237"/>
    <cellStyle name="Normal 15 6 4" xfId="12463"/>
    <cellStyle name="Normal 15 7" xfId="9698"/>
    <cellStyle name="Normal 15 7 2" xfId="16191"/>
    <cellStyle name="Normal 15 8" xfId="8031"/>
    <cellStyle name="Normal 15 8 2" xfId="14631"/>
    <cellStyle name="Normal 15 9" xfId="6304"/>
    <cellStyle name="Normal 15 9 2" xfId="13027"/>
    <cellStyle name="Normal 16" xfId="4097"/>
    <cellStyle name="Normal 16 10" xfId="11248"/>
    <cellStyle name="Normal 16 2" xfId="4098"/>
    <cellStyle name="Normal 16 2 2" xfId="4510"/>
    <cellStyle name="Normal 16 2 2 2" xfId="4910"/>
    <cellStyle name="Normal 16 2 2 2 2" xfId="8653"/>
    <cellStyle name="Normal 16 2 2 2 2 2" xfId="15201"/>
    <cellStyle name="Normal 16 2 2 2 3" xfId="6934"/>
    <cellStyle name="Normal 16 2 2 2 3 2" xfId="13620"/>
    <cellStyle name="Normal 16 2 2 2 4" xfId="11835"/>
    <cellStyle name="Normal 16 2 2 3" xfId="5337"/>
    <cellStyle name="Normal 16 2 2 3 2" xfId="9080"/>
    <cellStyle name="Normal 16 2 2 3 2 2" xfId="15624"/>
    <cellStyle name="Normal 16 2 2 3 3" xfId="7361"/>
    <cellStyle name="Normal 16 2 2 3 3 2" xfId="14043"/>
    <cellStyle name="Normal 16 2 2 3 4" xfId="12258"/>
    <cellStyle name="Normal 16 2 2 4" xfId="5775"/>
    <cellStyle name="Normal 16 2 2 4 2" xfId="9516"/>
    <cellStyle name="Normal 16 2 2 4 2 2" xfId="16018"/>
    <cellStyle name="Normal 16 2 2 4 3" xfId="7797"/>
    <cellStyle name="Normal 16 2 2 4 3 2" xfId="14437"/>
    <cellStyle name="Normal 16 2 2 4 4" xfId="12668"/>
    <cellStyle name="Normal 16 2 2 5" xfId="9906"/>
    <cellStyle name="Normal 16 2 2 5 2" xfId="16387"/>
    <cellStyle name="Normal 16 2 2 6" xfId="8274"/>
    <cellStyle name="Normal 16 2 2 6 2" xfId="14831"/>
    <cellStyle name="Normal 16 2 2 7" xfId="6555"/>
    <cellStyle name="Normal 16 2 2 7 2" xfId="13245"/>
    <cellStyle name="Normal 16 2 2 8" xfId="11455"/>
    <cellStyle name="Normal 16 2 3" xfId="4793"/>
    <cellStyle name="Normal 16 2 3 2" xfId="8536"/>
    <cellStyle name="Normal 16 2 3 2 2" xfId="15088"/>
    <cellStyle name="Normal 16 2 3 3" xfId="6817"/>
    <cellStyle name="Normal 16 2 3 3 2" xfId="13507"/>
    <cellStyle name="Normal 16 2 3 4" xfId="11722"/>
    <cellStyle name="Normal 16 2 4" xfId="5140"/>
    <cellStyle name="Normal 16 2 4 2" xfId="8883"/>
    <cellStyle name="Normal 16 2 4 2 2" xfId="15427"/>
    <cellStyle name="Normal 16 2 4 3" xfId="7164"/>
    <cellStyle name="Normal 16 2 4 3 2" xfId="13846"/>
    <cellStyle name="Normal 16 2 4 4" xfId="12061"/>
    <cellStyle name="Normal 16 2 5" xfId="5573"/>
    <cellStyle name="Normal 16 2 5 2" xfId="9314"/>
    <cellStyle name="Normal 16 2 5 2 2" xfId="15821"/>
    <cellStyle name="Normal 16 2 5 3" xfId="7595"/>
    <cellStyle name="Normal 16 2 5 3 2" xfId="14240"/>
    <cellStyle name="Normal 16 2 5 4" xfId="12466"/>
    <cellStyle name="Normal 16 2 6" xfId="9783"/>
    <cellStyle name="Normal 16 2 6 2" xfId="16274"/>
    <cellStyle name="Normal 16 2 7" xfId="8034"/>
    <cellStyle name="Normal 16 2 7 2" xfId="14634"/>
    <cellStyle name="Normal 16 2 8" xfId="6307"/>
    <cellStyle name="Normal 16 2 8 2" xfId="13030"/>
    <cellStyle name="Normal 16 2 9" xfId="11249"/>
    <cellStyle name="Normal 16 3" xfId="4509"/>
    <cellStyle name="Normal 16 3 2" xfId="4911"/>
    <cellStyle name="Normal 16 3 2 2" xfId="8654"/>
    <cellStyle name="Normal 16 3 2 2 2" xfId="15202"/>
    <cellStyle name="Normal 16 3 2 3" xfId="6935"/>
    <cellStyle name="Normal 16 3 2 3 2" xfId="13621"/>
    <cellStyle name="Normal 16 3 2 4" xfId="11836"/>
    <cellStyle name="Normal 16 3 3" xfId="5336"/>
    <cellStyle name="Normal 16 3 3 2" xfId="9079"/>
    <cellStyle name="Normal 16 3 3 2 2" xfId="15623"/>
    <cellStyle name="Normal 16 3 3 3" xfId="7360"/>
    <cellStyle name="Normal 16 3 3 3 2" xfId="14042"/>
    <cellStyle name="Normal 16 3 3 4" xfId="12257"/>
    <cellStyle name="Normal 16 3 4" xfId="5774"/>
    <cellStyle name="Normal 16 3 4 2" xfId="9515"/>
    <cellStyle name="Normal 16 3 4 2 2" xfId="16017"/>
    <cellStyle name="Normal 16 3 4 3" xfId="7796"/>
    <cellStyle name="Normal 16 3 4 3 2" xfId="14436"/>
    <cellStyle name="Normal 16 3 4 4" xfId="12667"/>
    <cellStyle name="Normal 16 3 5" xfId="9907"/>
    <cellStyle name="Normal 16 3 5 2" xfId="16388"/>
    <cellStyle name="Normal 16 3 6" xfId="8273"/>
    <cellStyle name="Normal 16 3 6 2" xfId="14830"/>
    <cellStyle name="Normal 16 3 7" xfId="6554"/>
    <cellStyle name="Normal 16 3 7 2" xfId="13244"/>
    <cellStyle name="Normal 16 3 8" xfId="11454"/>
    <cellStyle name="Normal 16 4" xfId="4711"/>
    <cellStyle name="Normal 16 4 2" xfId="8455"/>
    <cellStyle name="Normal 16 4 2 2" xfId="15007"/>
    <cellStyle name="Normal 16 4 3" xfId="6736"/>
    <cellStyle name="Normal 16 4 3 2" xfId="13426"/>
    <cellStyle name="Normal 16 4 4" xfId="11640"/>
    <cellStyle name="Normal 16 5" xfId="5139"/>
    <cellStyle name="Normal 16 5 2" xfId="8882"/>
    <cellStyle name="Normal 16 5 2 2" xfId="15426"/>
    <cellStyle name="Normal 16 5 3" xfId="7163"/>
    <cellStyle name="Normal 16 5 3 2" xfId="13845"/>
    <cellStyle name="Normal 16 5 4" xfId="12060"/>
    <cellStyle name="Normal 16 6" xfId="5572"/>
    <cellStyle name="Normal 16 6 2" xfId="9313"/>
    <cellStyle name="Normal 16 6 2 2" xfId="15820"/>
    <cellStyle name="Normal 16 6 3" xfId="7594"/>
    <cellStyle name="Normal 16 6 3 2" xfId="14239"/>
    <cellStyle name="Normal 16 6 4" xfId="12465"/>
    <cellStyle name="Normal 16 7" xfId="9699"/>
    <cellStyle name="Normal 16 7 2" xfId="16192"/>
    <cellStyle name="Normal 16 8" xfId="8033"/>
    <cellStyle name="Normal 16 8 2" xfId="14633"/>
    <cellStyle name="Normal 16 9" xfId="6306"/>
    <cellStyle name="Normal 16 9 2" xfId="13029"/>
    <cellStyle name="Normal 17" xfId="4099"/>
    <cellStyle name="Normal 17 10" xfId="11250"/>
    <cellStyle name="Normal 17 2" xfId="4100"/>
    <cellStyle name="Normal 17 2 2" xfId="4512"/>
    <cellStyle name="Normal 17 2 2 2" xfId="4912"/>
    <cellStyle name="Normal 17 2 2 2 2" xfId="8655"/>
    <cellStyle name="Normal 17 2 2 2 2 2" xfId="15203"/>
    <cellStyle name="Normal 17 2 2 2 3" xfId="6936"/>
    <cellStyle name="Normal 17 2 2 2 3 2" xfId="13622"/>
    <cellStyle name="Normal 17 2 2 2 4" xfId="11837"/>
    <cellStyle name="Normal 17 2 2 3" xfId="5339"/>
    <cellStyle name="Normal 17 2 2 3 2" xfId="9082"/>
    <cellStyle name="Normal 17 2 2 3 2 2" xfId="15626"/>
    <cellStyle name="Normal 17 2 2 3 3" xfId="7363"/>
    <cellStyle name="Normal 17 2 2 3 3 2" xfId="14045"/>
    <cellStyle name="Normal 17 2 2 3 4" xfId="12260"/>
    <cellStyle name="Normal 17 2 2 4" xfId="5777"/>
    <cellStyle name="Normal 17 2 2 4 2" xfId="9518"/>
    <cellStyle name="Normal 17 2 2 4 2 2" xfId="16020"/>
    <cellStyle name="Normal 17 2 2 4 3" xfId="7799"/>
    <cellStyle name="Normal 17 2 2 4 3 2" xfId="14439"/>
    <cellStyle name="Normal 17 2 2 4 4" xfId="12670"/>
    <cellStyle name="Normal 17 2 2 5" xfId="9908"/>
    <cellStyle name="Normal 17 2 2 5 2" xfId="16389"/>
    <cellStyle name="Normal 17 2 2 6" xfId="8276"/>
    <cellStyle name="Normal 17 2 2 6 2" xfId="14833"/>
    <cellStyle name="Normal 17 2 2 7" xfId="6557"/>
    <cellStyle name="Normal 17 2 2 7 2" xfId="13247"/>
    <cellStyle name="Normal 17 2 2 8" xfId="11457"/>
    <cellStyle name="Normal 17 2 3" xfId="4795"/>
    <cellStyle name="Normal 17 2 3 2" xfId="8538"/>
    <cellStyle name="Normal 17 2 3 2 2" xfId="15090"/>
    <cellStyle name="Normal 17 2 3 3" xfId="6819"/>
    <cellStyle name="Normal 17 2 3 3 2" xfId="13509"/>
    <cellStyle name="Normal 17 2 3 4" xfId="11724"/>
    <cellStyle name="Normal 17 2 4" xfId="5142"/>
    <cellStyle name="Normal 17 2 4 2" xfId="8885"/>
    <cellStyle name="Normal 17 2 4 2 2" xfId="15429"/>
    <cellStyle name="Normal 17 2 4 3" xfId="7166"/>
    <cellStyle name="Normal 17 2 4 3 2" xfId="13848"/>
    <cellStyle name="Normal 17 2 4 4" xfId="12063"/>
    <cellStyle name="Normal 17 2 5" xfId="5575"/>
    <cellStyle name="Normal 17 2 5 2" xfId="9316"/>
    <cellStyle name="Normal 17 2 5 2 2" xfId="15823"/>
    <cellStyle name="Normal 17 2 5 3" xfId="7597"/>
    <cellStyle name="Normal 17 2 5 3 2" xfId="14242"/>
    <cellStyle name="Normal 17 2 5 4" xfId="12468"/>
    <cellStyle name="Normal 17 2 6" xfId="9785"/>
    <cellStyle name="Normal 17 2 6 2" xfId="16276"/>
    <cellStyle name="Normal 17 2 7" xfId="8036"/>
    <cellStyle name="Normal 17 2 7 2" xfId="14636"/>
    <cellStyle name="Normal 17 2 8" xfId="6309"/>
    <cellStyle name="Normal 17 2 8 2" xfId="13032"/>
    <cellStyle name="Normal 17 2 9" xfId="11251"/>
    <cellStyle name="Normal 17 3" xfId="4511"/>
    <cellStyle name="Normal 17 3 2" xfId="4913"/>
    <cellStyle name="Normal 17 3 2 2" xfId="8656"/>
    <cellStyle name="Normal 17 3 2 2 2" xfId="15204"/>
    <cellStyle name="Normal 17 3 2 3" xfId="6937"/>
    <cellStyle name="Normal 17 3 2 3 2" xfId="13623"/>
    <cellStyle name="Normal 17 3 2 4" xfId="11838"/>
    <cellStyle name="Normal 17 3 3" xfId="5338"/>
    <cellStyle name="Normal 17 3 3 2" xfId="9081"/>
    <cellStyle name="Normal 17 3 3 2 2" xfId="15625"/>
    <cellStyle name="Normal 17 3 3 3" xfId="7362"/>
    <cellStyle name="Normal 17 3 3 3 2" xfId="14044"/>
    <cellStyle name="Normal 17 3 3 4" xfId="12259"/>
    <cellStyle name="Normal 17 3 4" xfId="5776"/>
    <cellStyle name="Normal 17 3 4 2" xfId="9517"/>
    <cellStyle name="Normal 17 3 4 2 2" xfId="16019"/>
    <cellStyle name="Normal 17 3 4 3" xfId="7798"/>
    <cellStyle name="Normal 17 3 4 3 2" xfId="14438"/>
    <cellStyle name="Normal 17 3 4 4" xfId="12669"/>
    <cellStyle name="Normal 17 3 5" xfId="9909"/>
    <cellStyle name="Normal 17 3 5 2" xfId="16390"/>
    <cellStyle name="Normal 17 3 6" xfId="8275"/>
    <cellStyle name="Normal 17 3 6 2" xfId="14832"/>
    <cellStyle name="Normal 17 3 7" xfId="6556"/>
    <cellStyle name="Normal 17 3 7 2" xfId="13246"/>
    <cellStyle name="Normal 17 3 8" xfId="11456"/>
    <cellStyle name="Normal 17 4" xfId="4713"/>
    <cellStyle name="Normal 17 4 2" xfId="8457"/>
    <cellStyle name="Normal 17 4 2 2" xfId="15009"/>
    <cellStyle name="Normal 17 4 3" xfId="6738"/>
    <cellStyle name="Normal 17 4 3 2" xfId="13428"/>
    <cellStyle name="Normal 17 4 4" xfId="11642"/>
    <cellStyle name="Normal 17 5" xfId="5141"/>
    <cellStyle name="Normal 17 5 2" xfId="8884"/>
    <cellStyle name="Normal 17 5 2 2" xfId="15428"/>
    <cellStyle name="Normal 17 5 3" xfId="7165"/>
    <cellStyle name="Normal 17 5 3 2" xfId="13847"/>
    <cellStyle name="Normal 17 5 4" xfId="12062"/>
    <cellStyle name="Normal 17 6" xfId="5574"/>
    <cellStyle name="Normal 17 6 2" xfId="9315"/>
    <cellStyle name="Normal 17 6 2 2" xfId="15822"/>
    <cellStyle name="Normal 17 6 3" xfId="7596"/>
    <cellStyle name="Normal 17 6 3 2" xfId="14241"/>
    <cellStyle name="Normal 17 6 4" xfId="12467"/>
    <cellStyle name="Normal 17 7" xfId="9701"/>
    <cellStyle name="Normal 17 7 2" xfId="16194"/>
    <cellStyle name="Normal 17 8" xfId="8035"/>
    <cellStyle name="Normal 17 8 2" xfId="14635"/>
    <cellStyle name="Normal 17 9" xfId="6308"/>
    <cellStyle name="Normal 17 9 2" xfId="13031"/>
    <cellStyle name="Normal 18" xfId="4101"/>
    <cellStyle name="Normal 18 10" xfId="11252"/>
    <cellStyle name="Normal 18 2" xfId="4102"/>
    <cellStyle name="Normal 18 2 2" xfId="4514"/>
    <cellStyle name="Normal 18 2 2 2" xfId="4914"/>
    <cellStyle name="Normal 18 2 2 2 2" xfId="8657"/>
    <cellStyle name="Normal 18 2 2 2 2 2" xfId="15205"/>
    <cellStyle name="Normal 18 2 2 2 3" xfId="6938"/>
    <cellStyle name="Normal 18 2 2 2 3 2" xfId="13624"/>
    <cellStyle name="Normal 18 2 2 2 4" xfId="11839"/>
    <cellStyle name="Normal 18 2 2 3" xfId="5341"/>
    <cellStyle name="Normal 18 2 2 3 2" xfId="9084"/>
    <cellStyle name="Normal 18 2 2 3 2 2" xfId="15628"/>
    <cellStyle name="Normal 18 2 2 3 3" xfId="7365"/>
    <cellStyle name="Normal 18 2 2 3 3 2" xfId="14047"/>
    <cellStyle name="Normal 18 2 2 3 4" xfId="12262"/>
    <cellStyle name="Normal 18 2 2 4" xfId="5779"/>
    <cellStyle name="Normal 18 2 2 4 2" xfId="9520"/>
    <cellStyle name="Normal 18 2 2 4 2 2" xfId="16022"/>
    <cellStyle name="Normal 18 2 2 4 3" xfId="7801"/>
    <cellStyle name="Normal 18 2 2 4 3 2" xfId="14441"/>
    <cellStyle name="Normal 18 2 2 4 4" xfId="12672"/>
    <cellStyle name="Normal 18 2 2 5" xfId="9910"/>
    <cellStyle name="Normal 18 2 2 5 2" xfId="16391"/>
    <cellStyle name="Normal 18 2 2 6" xfId="8278"/>
    <cellStyle name="Normal 18 2 2 6 2" xfId="14835"/>
    <cellStyle name="Normal 18 2 2 7" xfId="6559"/>
    <cellStyle name="Normal 18 2 2 7 2" xfId="13249"/>
    <cellStyle name="Normal 18 2 2 8" xfId="11459"/>
    <cellStyle name="Normal 18 2 3" xfId="4798"/>
    <cellStyle name="Normal 18 2 3 2" xfId="8541"/>
    <cellStyle name="Normal 18 2 3 2 2" xfId="15093"/>
    <cellStyle name="Normal 18 2 3 3" xfId="6822"/>
    <cellStyle name="Normal 18 2 3 3 2" xfId="13512"/>
    <cellStyle name="Normal 18 2 3 4" xfId="11727"/>
    <cellStyle name="Normal 18 2 4" xfId="5144"/>
    <cellStyle name="Normal 18 2 4 2" xfId="8887"/>
    <cellStyle name="Normal 18 2 4 2 2" xfId="15431"/>
    <cellStyle name="Normal 18 2 4 3" xfId="7168"/>
    <cellStyle name="Normal 18 2 4 3 2" xfId="13850"/>
    <cellStyle name="Normal 18 2 4 4" xfId="12065"/>
    <cellStyle name="Normal 18 2 5" xfId="5577"/>
    <cellStyle name="Normal 18 2 5 2" xfId="9318"/>
    <cellStyle name="Normal 18 2 5 2 2" xfId="15825"/>
    <cellStyle name="Normal 18 2 5 3" xfId="7599"/>
    <cellStyle name="Normal 18 2 5 3 2" xfId="14244"/>
    <cellStyle name="Normal 18 2 5 4" xfId="12470"/>
    <cellStyle name="Normal 18 2 6" xfId="9788"/>
    <cellStyle name="Normal 18 2 6 2" xfId="16279"/>
    <cellStyle name="Normal 18 2 7" xfId="8038"/>
    <cellStyle name="Normal 18 2 7 2" xfId="14638"/>
    <cellStyle name="Normal 18 2 8" xfId="6311"/>
    <cellStyle name="Normal 18 2 8 2" xfId="13034"/>
    <cellStyle name="Normal 18 2 9" xfId="11253"/>
    <cellStyle name="Normal 18 3" xfId="4513"/>
    <cellStyle name="Normal 18 3 2" xfId="4915"/>
    <cellStyle name="Normal 18 3 2 2" xfId="8658"/>
    <cellStyle name="Normal 18 3 2 2 2" xfId="15206"/>
    <cellStyle name="Normal 18 3 2 3" xfId="6939"/>
    <cellStyle name="Normal 18 3 2 3 2" xfId="13625"/>
    <cellStyle name="Normal 18 3 2 4" xfId="11840"/>
    <cellStyle name="Normal 18 3 3" xfId="5340"/>
    <cellStyle name="Normal 18 3 3 2" xfId="9083"/>
    <cellStyle name="Normal 18 3 3 2 2" xfId="15627"/>
    <cellStyle name="Normal 18 3 3 3" xfId="7364"/>
    <cellStyle name="Normal 18 3 3 3 2" xfId="14046"/>
    <cellStyle name="Normal 18 3 3 4" xfId="12261"/>
    <cellStyle name="Normal 18 3 4" xfId="5778"/>
    <cellStyle name="Normal 18 3 4 2" xfId="9519"/>
    <cellStyle name="Normal 18 3 4 2 2" xfId="16021"/>
    <cellStyle name="Normal 18 3 4 3" xfId="7800"/>
    <cellStyle name="Normal 18 3 4 3 2" xfId="14440"/>
    <cellStyle name="Normal 18 3 4 4" xfId="12671"/>
    <cellStyle name="Normal 18 3 5" xfId="9911"/>
    <cellStyle name="Normal 18 3 5 2" xfId="16392"/>
    <cellStyle name="Normal 18 3 6" xfId="8277"/>
    <cellStyle name="Normal 18 3 6 2" xfId="14834"/>
    <cellStyle name="Normal 18 3 7" xfId="6558"/>
    <cellStyle name="Normal 18 3 7 2" xfId="13248"/>
    <cellStyle name="Normal 18 3 8" xfId="11458"/>
    <cellStyle name="Normal 18 4" xfId="4716"/>
    <cellStyle name="Normal 18 4 2" xfId="8460"/>
    <cellStyle name="Normal 18 4 2 2" xfId="15012"/>
    <cellStyle name="Normal 18 4 3" xfId="6741"/>
    <cellStyle name="Normal 18 4 3 2" xfId="13431"/>
    <cellStyle name="Normal 18 4 4" xfId="11645"/>
    <cellStyle name="Normal 18 5" xfId="5143"/>
    <cellStyle name="Normal 18 5 2" xfId="8886"/>
    <cellStyle name="Normal 18 5 2 2" xfId="15430"/>
    <cellStyle name="Normal 18 5 3" xfId="7167"/>
    <cellStyle name="Normal 18 5 3 2" xfId="13849"/>
    <cellStyle name="Normal 18 5 4" xfId="12064"/>
    <cellStyle name="Normal 18 6" xfId="5576"/>
    <cellStyle name="Normal 18 6 2" xfId="9317"/>
    <cellStyle name="Normal 18 6 2 2" xfId="15824"/>
    <cellStyle name="Normal 18 6 3" xfId="7598"/>
    <cellStyle name="Normal 18 6 3 2" xfId="14243"/>
    <cellStyle name="Normal 18 6 4" xfId="12469"/>
    <cellStyle name="Normal 18 7" xfId="9704"/>
    <cellStyle name="Normal 18 7 2" xfId="16197"/>
    <cellStyle name="Normal 18 8" xfId="8037"/>
    <cellStyle name="Normal 18 8 2" xfId="14637"/>
    <cellStyle name="Normal 18 9" xfId="6310"/>
    <cellStyle name="Normal 18 9 2" xfId="13033"/>
    <cellStyle name="Normal 19" xfId="4103"/>
    <cellStyle name="Normal 19 10" xfId="11254"/>
    <cellStyle name="Normal 19 2" xfId="4104"/>
    <cellStyle name="Normal 19 2 2" xfId="4516"/>
    <cellStyle name="Normal 19 2 2 2" xfId="4916"/>
    <cellStyle name="Normal 19 2 2 2 2" xfId="8659"/>
    <cellStyle name="Normal 19 2 2 2 2 2" xfId="15207"/>
    <cellStyle name="Normal 19 2 2 2 3" xfId="6940"/>
    <cellStyle name="Normal 19 2 2 2 3 2" xfId="13626"/>
    <cellStyle name="Normal 19 2 2 2 4" xfId="11841"/>
    <cellStyle name="Normal 19 2 2 3" xfId="5343"/>
    <cellStyle name="Normal 19 2 2 3 2" xfId="9086"/>
    <cellStyle name="Normal 19 2 2 3 2 2" xfId="15630"/>
    <cellStyle name="Normal 19 2 2 3 3" xfId="7367"/>
    <cellStyle name="Normal 19 2 2 3 3 2" xfId="14049"/>
    <cellStyle name="Normal 19 2 2 3 4" xfId="12264"/>
    <cellStyle name="Normal 19 2 2 4" xfId="5781"/>
    <cellStyle name="Normal 19 2 2 4 2" xfId="9522"/>
    <cellStyle name="Normal 19 2 2 4 2 2" xfId="16024"/>
    <cellStyle name="Normal 19 2 2 4 3" xfId="7803"/>
    <cellStyle name="Normal 19 2 2 4 3 2" xfId="14443"/>
    <cellStyle name="Normal 19 2 2 4 4" xfId="12674"/>
    <cellStyle name="Normal 19 2 2 5" xfId="9912"/>
    <cellStyle name="Normal 19 2 2 5 2" xfId="16393"/>
    <cellStyle name="Normal 19 2 2 6" xfId="8280"/>
    <cellStyle name="Normal 19 2 2 6 2" xfId="14837"/>
    <cellStyle name="Normal 19 2 2 7" xfId="6561"/>
    <cellStyle name="Normal 19 2 2 7 2" xfId="13251"/>
    <cellStyle name="Normal 19 2 2 8" xfId="11461"/>
    <cellStyle name="Normal 19 2 3" xfId="4800"/>
    <cellStyle name="Normal 19 2 3 2" xfId="8543"/>
    <cellStyle name="Normal 19 2 3 2 2" xfId="15095"/>
    <cellStyle name="Normal 19 2 3 3" xfId="6824"/>
    <cellStyle name="Normal 19 2 3 3 2" xfId="13514"/>
    <cellStyle name="Normal 19 2 3 4" xfId="11729"/>
    <cellStyle name="Normal 19 2 4" xfId="5146"/>
    <cellStyle name="Normal 19 2 4 2" xfId="8889"/>
    <cellStyle name="Normal 19 2 4 2 2" xfId="15433"/>
    <cellStyle name="Normal 19 2 4 3" xfId="7170"/>
    <cellStyle name="Normal 19 2 4 3 2" xfId="13852"/>
    <cellStyle name="Normal 19 2 4 4" xfId="12067"/>
    <cellStyle name="Normal 19 2 5" xfId="5579"/>
    <cellStyle name="Normal 19 2 5 2" xfId="9320"/>
    <cellStyle name="Normal 19 2 5 2 2" xfId="15827"/>
    <cellStyle name="Normal 19 2 5 3" xfId="7601"/>
    <cellStyle name="Normal 19 2 5 3 2" xfId="14246"/>
    <cellStyle name="Normal 19 2 5 4" xfId="12472"/>
    <cellStyle name="Normal 19 2 6" xfId="9790"/>
    <cellStyle name="Normal 19 2 6 2" xfId="16281"/>
    <cellStyle name="Normal 19 2 7" xfId="8040"/>
    <cellStyle name="Normal 19 2 7 2" xfId="14640"/>
    <cellStyle name="Normal 19 2 8" xfId="6313"/>
    <cellStyle name="Normal 19 2 8 2" xfId="13036"/>
    <cellStyle name="Normal 19 2 9" xfId="11255"/>
    <cellStyle name="Normal 19 3" xfId="4515"/>
    <cellStyle name="Normal 19 3 2" xfId="4917"/>
    <cellStyle name="Normal 19 3 2 2" xfId="8660"/>
    <cellStyle name="Normal 19 3 2 2 2" xfId="15208"/>
    <cellStyle name="Normal 19 3 2 3" xfId="6941"/>
    <cellStyle name="Normal 19 3 2 3 2" xfId="13627"/>
    <cellStyle name="Normal 19 3 2 4" xfId="11842"/>
    <cellStyle name="Normal 19 3 3" xfId="5342"/>
    <cellStyle name="Normal 19 3 3 2" xfId="9085"/>
    <cellStyle name="Normal 19 3 3 2 2" xfId="15629"/>
    <cellStyle name="Normal 19 3 3 3" xfId="7366"/>
    <cellStyle name="Normal 19 3 3 3 2" xfId="14048"/>
    <cellStyle name="Normal 19 3 3 4" xfId="12263"/>
    <cellStyle name="Normal 19 3 4" xfId="5780"/>
    <cellStyle name="Normal 19 3 4 2" xfId="9521"/>
    <cellStyle name="Normal 19 3 4 2 2" xfId="16023"/>
    <cellStyle name="Normal 19 3 4 3" xfId="7802"/>
    <cellStyle name="Normal 19 3 4 3 2" xfId="14442"/>
    <cellStyle name="Normal 19 3 4 4" xfId="12673"/>
    <cellStyle name="Normal 19 3 5" xfId="9913"/>
    <cellStyle name="Normal 19 3 5 2" xfId="16394"/>
    <cellStyle name="Normal 19 3 6" xfId="8279"/>
    <cellStyle name="Normal 19 3 6 2" xfId="14836"/>
    <cellStyle name="Normal 19 3 7" xfId="6560"/>
    <cellStyle name="Normal 19 3 7 2" xfId="13250"/>
    <cellStyle name="Normal 19 3 8" xfId="11460"/>
    <cellStyle name="Normal 19 4" xfId="4718"/>
    <cellStyle name="Normal 19 4 2" xfId="8462"/>
    <cellStyle name="Normal 19 4 2 2" xfId="15014"/>
    <cellStyle name="Normal 19 4 3" xfId="6743"/>
    <cellStyle name="Normal 19 4 3 2" xfId="13433"/>
    <cellStyle name="Normal 19 4 4" xfId="11647"/>
    <cellStyle name="Normal 19 5" xfId="5145"/>
    <cellStyle name="Normal 19 5 2" xfId="8888"/>
    <cellStyle name="Normal 19 5 2 2" xfId="15432"/>
    <cellStyle name="Normal 19 5 3" xfId="7169"/>
    <cellStyle name="Normal 19 5 3 2" xfId="13851"/>
    <cellStyle name="Normal 19 5 4" xfId="12066"/>
    <cellStyle name="Normal 19 6" xfId="5578"/>
    <cellStyle name="Normal 19 6 2" xfId="9319"/>
    <cellStyle name="Normal 19 6 2 2" xfId="15826"/>
    <cellStyle name="Normal 19 6 3" xfId="7600"/>
    <cellStyle name="Normal 19 6 3 2" xfId="14245"/>
    <cellStyle name="Normal 19 6 4" xfId="12471"/>
    <cellStyle name="Normal 19 7" xfId="9706"/>
    <cellStyle name="Normal 19 7 2" xfId="16199"/>
    <cellStyle name="Normal 19 8" xfId="8039"/>
    <cellStyle name="Normal 19 8 2" xfId="14639"/>
    <cellStyle name="Normal 19 9" xfId="6312"/>
    <cellStyle name="Normal 19 9 2" xfId="13035"/>
    <cellStyle name="Normal 2" xfId="5"/>
    <cellStyle name="Normal 2 10" xfId="7933"/>
    <cellStyle name="Normal 2 10 2" xfId="14573"/>
    <cellStyle name="Normal 2 11" xfId="5912"/>
    <cellStyle name="Normal 2 11 2" xfId="12805"/>
    <cellStyle name="Normal 2 12" xfId="10244"/>
    <cellStyle name="Normal 2 2" xfId="6"/>
    <cellStyle name="Normal 2 2 10" xfId="5076"/>
    <cellStyle name="Normal 2 2 10 2" xfId="8819"/>
    <cellStyle name="Normal 2 2 10 2 2" xfId="15367"/>
    <cellStyle name="Normal 2 2 10 3" xfId="7100"/>
    <cellStyle name="Normal 2 2 10 3 2" xfId="13786"/>
    <cellStyle name="Normal 2 2 10 4" xfId="12001"/>
    <cellStyle name="Normal 2 2 11" xfId="5513"/>
    <cellStyle name="Normal 2 2 11 2" xfId="9254"/>
    <cellStyle name="Normal 2 2 11 2 2" xfId="15761"/>
    <cellStyle name="Normal 2 2 11 3" xfId="7535"/>
    <cellStyle name="Normal 2 2 11 3 2" xfId="14180"/>
    <cellStyle name="Normal 2 2 11 4" xfId="12406"/>
    <cellStyle name="Normal 2 2 12" xfId="9657"/>
    <cellStyle name="Normal 2 2 12 2" xfId="16159"/>
    <cellStyle name="Normal 2 2 13" xfId="7934"/>
    <cellStyle name="Normal 2 2 13 2" xfId="14574"/>
    <cellStyle name="Normal 2 2 14" xfId="5913"/>
    <cellStyle name="Normal 2 2 14 2" xfId="12806"/>
    <cellStyle name="Normal 2 2 15" xfId="10245"/>
    <cellStyle name="Normal 2 2 16" xfId="16628"/>
    <cellStyle name="Normal 2 2 2" xfId="17"/>
    <cellStyle name="Normal 2 2 2 10" xfId="7939"/>
    <cellStyle name="Normal 2 2 2 10 2" xfId="14579"/>
    <cellStyle name="Normal 2 2 2 11" xfId="5918"/>
    <cellStyle name="Normal 2 2 2 11 2" xfId="12811"/>
    <cellStyle name="Normal 2 2 2 12" xfId="10253"/>
    <cellStyle name="Normal 2 2 2 2" xfId="39"/>
    <cellStyle name="Normal 2 2 2 2 10" xfId="5937"/>
    <cellStyle name="Normal 2 2 2 2 10 2" xfId="12830"/>
    <cellStyle name="Normal 2 2 2 2 11" xfId="10272"/>
    <cellStyle name="Normal 2 2 2 2 2" xfId="4105"/>
    <cellStyle name="Normal 2 2 2 2 2 2" xfId="4517"/>
    <cellStyle name="Normal 2 2 2 2 2 2 2" xfId="4918"/>
    <cellStyle name="Normal 2 2 2 2 2 2 2 2" xfId="8661"/>
    <cellStyle name="Normal 2 2 2 2 2 2 2 2 2" xfId="15209"/>
    <cellStyle name="Normal 2 2 2 2 2 2 2 3" xfId="6942"/>
    <cellStyle name="Normal 2 2 2 2 2 2 2 3 2" xfId="13628"/>
    <cellStyle name="Normal 2 2 2 2 2 2 2 4" xfId="11843"/>
    <cellStyle name="Normal 2 2 2 2 2 2 3" xfId="5344"/>
    <cellStyle name="Normal 2 2 2 2 2 2 3 2" xfId="9087"/>
    <cellStyle name="Normal 2 2 2 2 2 2 3 2 2" xfId="15631"/>
    <cellStyle name="Normal 2 2 2 2 2 2 3 3" xfId="7368"/>
    <cellStyle name="Normal 2 2 2 2 2 2 3 3 2" xfId="14050"/>
    <cellStyle name="Normal 2 2 2 2 2 2 3 4" xfId="12265"/>
    <cellStyle name="Normal 2 2 2 2 2 2 4" xfId="5782"/>
    <cellStyle name="Normal 2 2 2 2 2 2 4 2" xfId="9523"/>
    <cellStyle name="Normal 2 2 2 2 2 2 4 2 2" xfId="16025"/>
    <cellStyle name="Normal 2 2 2 2 2 2 4 3" xfId="7804"/>
    <cellStyle name="Normal 2 2 2 2 2 2 4 3 2" xfId="14444"/>
    <cellStyle name="Normal 2 2 2 2 2 2 4 4" xfId="12675"/>
    <cellStyle name="Normal 2 2 2 2 2 2 5" xfId="9914"/>
    <cellStyle name="Normal 2 2 2 2 2 2 5 2" xfId="16395"/>
    <cellStyle name="Normal 2 2 2 2 2 2 6" xfId="8281"/>
    <cellStyle name="Normal 2 2 2 2 2 2 6 2" xfId="14838"/>
    <cellStyle name="Normal 2 2 2 2 2 2 7" xfId="6562"/>
    <cellStyle name="Normal 2 2 2 2 2 2 7 2" xfId="13252"/>
    <cellStyle name="Normal 2 2 2 2 2 2 8" xfId="11462"/>
    <cellStyle name="Normal 2 2 2 2 2 24" xfId="4106"/>
    <cellStyle name="Normal 2 2 2 2 2 24 10" xfId="9680"/>
    <cellStyle name="Normal 2 2 2 2 2 24 10 2" xfId="16180"/>
    <cellStyle name="Normal 2 2 2 2 2 24 11" xfId="8042"/>
    <cellStyle name="Normal 2 2 2 2 2 24 11 2" xfId="14642"/>
    <cellStyle name="Normal 2 2 2 2 2 24 12" xfId="6315"/>
    <cellStyle name="Normal 2 2 2 2 2 24 12 2" xfId="13038"/>
    <cellStyle name="Normal 2 2 2 2 2 24 13" xfId="11257"/>
    <cellStyle name="Normal 2 2 2 2 2 24 2" xfId="4107"/>
    <cellStyle name="Normal 2 2 2 2 2 24 2 2" xfId="4519"/>
    <cellStyle name="Normal 2 2 2 2 2 24 2 2 2" xfId="4919"/>
    <cellStyle name="Normal 2 2 2 2 2 24 2 2 2 2" xfId="8662"/>
    <cellStyle name="Normal 2 2 2 2 2 24 2 2 2 2 2" xfId="15210"/>
    <cellStyle name="Normal 2 2 2 2 2 24 2 2 2 3" xfId="6943"/>
    <cellStyle name="Normal 2 2 2 2 2 24 2 2 2 3 2" xfId="13629"/>
    <cellStyle name="Normal 2 2 2 2 2 24 2 2 2 4" xfId="11844"/>
    <cellStyle name="Normal 2 2 2 2 2 24 2 2 3" xfId="5346"/>
    <cellStyle name="Normal 2 2 2 2 2 24 2 2 3 2" xfId="9089"/>
    <cellStyle name="Normal 2 2 2 2 2 24 2 2 3 2 2" xfId="15633"/>
    <cellStyle name="Normal 2 2 2 2 2 24 2 2 3 3" xfId="7370"/>
    <cellStyle name="Normal 2 2 2 2 2 24 2 2 3 3 2" xfId="14052"/>
    <cellStyle name="Normal 2 2 2 2 2 24 2 2 3 4" xfId="12267"/>
    <cellStyle name="Normal 2 2 2 2 2 24 2 2 4" xfId="5784"/>
    <cellStyle name="Normal 2 2 2 2 2 24 2 2 4 2" xfId="9525"/>
    <cellStyle name="Normal 2 2 2 2 2 24 2 2 4 2 2" xfId="16027"/>
    <cellStyle name="Normal 2 2 2 2 2 24 2 2 4 3" xfId="7806"/>
    <cellStyle name="Normal 2 2 2 2 2 24 2 2 4 3 2" xfId="14446"/>
    <cellStyle name="Normal 2 2 2 2 2 24 2 2 4 4" xfId="12677"/>
    <cellStyle name="Normal 2 2 2 2 2 24 2 2 5" xfId="9915"/>
    <cellStyle name="Normal 2 2 2 2 2 24 2 2 5 2" xfId="16396"/>
    <cellStyle name="Normal 2 2 2 2 2 24 2 2 6" xfId="8283"/>
    <cellStyle name="Normal 2 2 2 2 2 24 2 2 6 2" xfId="14840"/>
    <cellStyle name="Normal 2 2 2 2 2 24 2 2 7" xfId="6564"/>
    <cellStyle name="Normal 2 2 2 2 2 24 2 2 7 2" xfId="13254"/>
    <cellStyle name="Normal 2 2 2 2 2 24 2 2 8" xfId="11464"/>
    <cellStyle name="Normal 2 2 2 2 2 24 2 3" xfId="4760"/>
    <cellStyle name="Normal 2 2 2 2 2 24 2 3 2" xfId="8503"/>
    <cellStyle name="Normal 2 2 2 2 2 24 2 3 2 2" xfId="15055"/>
    <cellStyle name="Normal 2 2 2 2 2 24 2 3 3" xfId="6784"/>
    <cellStyle name="Normal 2 2 2 2 2 24 2 3 3 2" xfId="13474"/>
    <cellStyle name="Normal 2 2 2 2 2 24 2 3 4" xfId="11689"/>
    <cellStyle name="Normal 2 2 2 2 2 24 2 4" xfId="5149"/>
    <cellStyle name="Normal 2 2 2 2 2 24 2 4 2" xfId="8892"/>
    <cellStyle name="Normal 2 2 2 2 2 24 2 4 2 2" xfId="15436"/>
    <cellStyle name="Normal 2 2 2 2 2 24 2 4 3" xfId="7173"/>
    <cellStyle name="Normal 2 2 2 2 2 24 2 4 3 2" xfId="13855"/>
    <cellStyle name="Normal 2 2 2 2 2 24 2 4 4" xfId="12070"/>
    <cellStyle name="Normal 2 2 2 2 2 24 2 5" xfId="5582"/>
    <cellStyle name="Normal 2 2 2 2 2 24 2 5 2" xfId="9323"/>
    <cellStyle name="Normal 2 2 2 2 2 24 2 5 2 2" xfId="15830"/>
    <cellStyle name="Normal 2 2 2 2 2 24 2 5 3" xfId="7604"/>
    <cellStyle name="Normal 2 2 2 2 2 24 2 5 3 2" xfId="14249"/>
    <cellStyle name="Normal 2 2 2 2 2 24 2 5 4" xfId="12475"/>
    <cellStyle name="Normal 2 2 2 2 2 24 2 6" xfId="9750"/>
    <cellStyle name="Normal 2 2 2 2 2 24 2 6 2" xfId="16241"/>
    <cellStyle name="Normal 2 2 2 2 2 24 2 7" xfId="8043"/>
    <cellStyle name="Normal 2 2 2 2 2 24 2 7 2" xfId="14643"/>
    <cellStyle name="Normal 2 2 2 2 2 24 2 8" xfId="6316"/>
    <cellStyle name="Normal 2 2 2 2 2 24 2 8 2" xfId="13039"/>
    <cellStyle name="Normal 2 2 2 2 2 24 2 9" xfId="11258"/>
    <cellStyle name="Normal 2 2 2 2 2 24 3" xfId="4108"/>
    <cellStyle name="Normal 2 2 2 2 2 24 3 2" xfId="4520"/>
    <cellStyle name="Normal 2 2 2 2 2 24 3 2 2" xfId="4920"/>
    <cellStyle name="Normal 2 2 2 2 2 24 3 2 2 2" xfId="8663"/>
    <cellStyle name="Normal 2 2 2 2 2 24 3 2 2 2 2" xfId="15211"/>
    <cellStyle name="Normal 2 2 2 2 2 24 3 2 2 3" xfId="6944"/>
    <cellStyle name="Normal 2 2 2 2 2 24 3 2 2 3 2" xfId="13630"/>
    <cellStyle name="Normal 2 2 2 2 2 24 3 2 2 4" xfId="11845"/>
    <cellStyle name="Normal 2 2 2 2 2 24 3 2 3" xfId="5347"/>
    <cellStyle name="Normal 2 2 2 2 2 24 3 2 3 2" xfId="9090"/>
    <cellStyle name="Normal 2 2 2 2 2 24 3 2 3 2 2" xfId="15634"/>
    <cellStyle name="Normal 2 2 2 2 2 24 3 2 3 3" xfId="7371"/>
    <cellStyle name="Normal 2 2 2 2 2 24 3 2 3 3 2" xfId="14053"/>
    <cellStyle name="Normal 2 2 2 2 2 24 3 2 3 4" xfId="12268"/>
    <cellStyle name="Normal 2 2 2 2 2 24 3 2 4" xfId="5785"/>
    <cellStyle name="Normal 2 2 2 2 2 24 3 2 4 2" xfId="9526"/>
    <cellStyle name="Normal 2 2 2 2 2 24 3 2 4 2 2" xfId="16028"/>
    <cellStyle name="Normal 2 2 2 2 2 24 3 2 4 3" xfId="7807"/>
    <cellStyle name="Normal 2 2 2 2 2 24 3 2 4 3 2" xfId="14447"/>
    <cellStyle name="Normal 2 2 2 2 2 24 3 2 4 4" xfId="12678"/>
    <cellStyle name="Normal 2 2 2 2 2 24 3 2 5" xfId="9916"/>
    <cellStyle name="Normal 2 2 2 2 2 24 3 2 5 2" xfId="16397"/>
    <cellStyle name="Normal 2 2 2 2 2 24 3 2 6" xfId="8284"/>
    <cellStyle name="Normal 2 2 2 2 2 24 3 2 6 2" xfId="14841"/>
    <cellStyle name="Normal 2 2 2 2 2 24 3 2 7" xfId="6565"/>
    <cellStyle name="Normal 2 2 2 2 2 24 3 2 7 2" xfId="13255"/>
    <cellStyle name="Normal 2 2 2 2 2 24 3 2 8" xfId="11465"/>
    <cellStyle name="Normal 2 2 2 2 2 24 3 3" xfId="4842"/>
    <cellStyle name="Normal 2 2 2 2 2 24 3 3 2" xfId="8585"/>
    <cellStyle name="Normal 2 2 2 2 2 24 3 3 2 2" xfId="15133"/>
    <cellStyle name="Normal 2 2 2 2 2 24 3 3 3" xfId="6866"/>
    <cellStyle name="Normal 2 2 2 2 2 24 3 3 3 2" xfId="13552"/>
    <cellStyle name="Normal 2 2 2 2 2 24 3 3 4" xfId="11767"/>
    <cellStyle name="Normal 2 2 2 2 2 24 3 4" xfId="5150"/>
    <cellStyle name="Normal 2 2 2 2 2 24 3 4 2" xfId="8893"/>
    <cellStyle name="Normal 2 2 2 2 2 24 3 4 2 2" xfId="15437"/>
    <cellStyle name="Normal 2 2 2 2 2 24 3 4 3" xfId="7174"/>
    <cellStyle name="Normal 2 2 2 2 2 24 3 4 3 2" xfId="13856"/>
    <cellStyle name="Normal 2 2 2 2 2 24 3 4 4" xfId="12071"/>
    <cellStyle name="Normal 2 2 2 2 2 24 3 5" xfId="5583"/>
    <cellStyle name="Normal 2 2 2 2 2 24 3 5 2" xfId="9324"/>
    <cellStyle name="Normal 2 2 2 2 2 24 3 5 2 2" xfId="15831"/>
    <cellStyle name="Normal 2 2 2 2 2 24 3 5 3" xfId="7605"/>
    <cellStyle name="Normal 2 2 2 2 2 24 3 5 3 2" xfId="14250"/>
    <cellStyle name="Normal 2 2 2 2 2 24 3 5 4" xfId="12476"/>
    <cellStyle name="Normal 2 2 2 2 2 24 3 6" xfId="9833"/>
    <cellStyle name="Normal 2 2 2 2 2 24 3 6 2" xfId="16319"/>
    <cellStyle name="Normal 2 2 2 2 2 24 3 7" xfId="8044"/>
    <cellStyle name="Normal 2 2 2 2 2 24 3 7 2" xfId="14644"/>
    <cellStyle name="Normal 2 2 2 2 2 24 3 8" xfId="6317"/>
    <cellStyle name="Normal 2 2 2 2 2 24 3 8 2" xfId="13040"/>
    <cellStyle name="Normal 2 2 2 2 2 24 3 9" xfId="11259"/>
    <cellStyle name="Normal 2 2 2 2 2 24 4" xfId="4419"/>
    <cellStyle name="Normal 2 2 2 2 2 24 4 2" xfId="4629"/>
    <cellStyle name="Normal 2 2 2 2 2 24 4 2 2" xfId="4922"/>
    <cellStyle name="Normal 2 2 2 2 2 24 4 2 2 2" xfId="8665"/>
    <cellStyle name="Normal 2 2 2 2 2 24 4 2 2 2 2" xfId="15213"/>
    <cellStyle name="Normal 2 2 2 2 2 24 4 2 2 3" xfId="6946"/>
    <cellStyle name="Normal 2 2 2 2 2 24 4 2 2 3 2" xfId="13632"/>
    <cellStyle name="Normal 2 2 2 2 2 24 4 2 2 4" xfId="11847"/>
    <cellStyle name="Normal 2 2 2 2 2 24 4 2 3" xfId="5456"/>
    <cellStyle name="Normal 2 2 2 2 2 24 4 2 3 2" xfId="9199"/>
    <cellStyle name="Normal 2 2 2 2 2 24 4 2 3 2 2" xfId="15743"/>
    <cellStyle name="Normal 2 2 2 2 2 24 4 2 3 3" xfId="7480"/>
    <cellStyle name="Normal 2 2 2 2 2 24 4 2 3 3 2" xfId="14162"/>
    <cellStyle name="Normal 2 2 2 2 2 24 4 2 3 4" xfId="12377"/>
    <cellStyle name="Normal 2 2 2 2 2 24 4 2 4" xfId="5894"/>
    <cellStyle name="Normal 2 2 2 2 2 24 4 2 4 2" xfId="9635"/>
    <cellStyle name="Normal 2 2 2 2 2 24 4 2 4 2 2" xfId="16137"/>
    <cellStyle name="Normal 2 2 2 2 2 24 4 2 4 3" xfId="7916"/>
    <cellStyle name="Normal 2 2 2 2 2 24 4 2 4 3 2" xfId="14556"/>
    <cellStyle name="Normal 2 2 2 2 2 24 4 2 4 4" xfId="12787"/>
    <cellStyle name="Normal 2 2 2 2 2 24 4 2 5" xfId="9918"/>
    <cellStyle name="Normal 2 2 2 2 2 24 4 2 5 2" xfId="16399"/>
    <cellStyle name="Normal 2 2 2 2 2 24 4 2 6" xfId="8393"/>
    <cellStyle name="Normal 2 2 2 2 2 24 4 2 6 2" xfId="14950"/>
    <cellStyle name="Normal 2 2 2 2 2 24 4 2 7" xfId="6674"/>
    <cellStyle name="Normal 2 2 2 2 2 24 4 2 7 2" xfId="13364"/>
    <cellStyle name="Normal 2 2 2 2 2 24 4 2 8" xfId="11574"/>
    <cellStyle name="Normal 2 2 2 2 2 24 4 3" xfId="4921"/>
    <cellStyle name="Normal 2 2 2 2 2 24 4 3 2" xfId="8664"/>
    <cellStyle name="Normal 2 2 2 2 2 24 4 3 2 2" xfId="15212"/>
    <cellStyle name="Normal 2 2 2 2 2 24 4 3 3" xfId="6945"/>
    <cellStyle name="Normal 2 2 2 2 2 24 4 3 3 2" xfId="13631"/>
    <cellStyle name="Normal 2 2 2 2 2 24 4 3 4" xfId="11846"/>
    <cellStyle name="Normal 2 2 2 2 2 24 4 4" xfId="5259"/>
    <cellStyle name="Normal 2 2 2 2 2 24 4 4 2" xfId="9002"/>
    <cellStyle name="Normal 2 2 2 2 2 24 4 4 2 2" xfId="15546"/>
    <cellStyle name="Normal 2 2 2 2 2 24 4 4 3" xfId="7283"/>
    <cellStyle name="Normal 2 2 2 2 2 24 4 4 3 2" xfId="13965"/>
    <cellStyle name="Normal 2 2 2 2 2 24 4 4 4" xfId="12180"/>
    <cellStyle name="Normal 2 2 2 2 2 24 4 5" xfId="5697"/>
    <cellStyle name="Normal 2 2 2 2 2 24 4 5 2" xfId="9438"/>
    <cellStyle name="Normal 2 2 2 2 2 24 4 5 2 2" xfId="15940"/>
    <cellStyle name="Normal 2 2 2 2 2 24 4 5 3" xfId="7719"/>
    <cellStyle name="Normal 2 2 2 2 2 24 4 5 3 2" xfId="14359"/>
    <cellStyle name="Normal 2 2 2 2 2 24 4 5 4" xfId="12590"/>
    <cellStyle name="Normal 2 2 2 2 2 24 4 6" xfId="9917"/>
    <cellStyle name="Normal 2 2 2 2 2 24 4 6 2" xfId="16398"/>
    <cellStyle name="Normal 2 2 2 2 2 24 4 7" xfId="8196"/>
    <cellStyle name="Normal 2 2 2 2 2 24 4 7 2" xfId="14753"/>
    <cellStyle name="Normal 2 2 2 2 2 24 4 8" xfId="6477"/>
    <cellStyle name="Normal 2 2 2 2 2 24 4 8 2" xfId="13167"/>
    <cellStyle name="Normal 2 2 2 2 2 24 4 9" xfId="11375"/>
    <cellStyle name="Normal 2 2 2 2 2 24 5" xfId="4432"/>
    <cellStyle name="Normal 2 2 2 2 2 24 5 2" xfId="4641"/>
    <cellStyle name="Normal 2 2 2 2 2 24 5 2 2" xfId="4924"/>
    <cellStyle name="Normal 2 2 2 2 2 24 5 2 2 2" xfId="8667"/>
    <cellStyle name="Normal 2 2 2 2 2 24 5 2 2 2 2" xfId="15215"/>
    <cellStyle name="Normal 2 2 2 2 2 24 5 2 2 3" xfId="6948"/>
    <cellStyle name="Normal 2 2 2 2 2 24 5 2 2 3 2" xfId="13634"/>
    <cellStyle name="Normal 2 2 2 2 2 24 5 2 2 4" xfId="11849"/>
    <cellStyle name="Normal 2 2 2 2 2 24 5 2 3" xfId="5468"/>
    <cellStyle name="Normal 2 2 2 2 2 24 5 2 3 2" xfId="9211"/>
    <cellStyle name="Normal 2 2 2 2 2 24 5 2 3 2 2" xfId="15755"/>
    <cellStyle name="Normal 2 2 2 2 2 24 5 2 3 3" xfId="7492"/>
    <cellStyle name="Normal 2 2 2 2 2 24 5 2 3 3 2" xfId="14174"/>
    <cellStyle name="Normal 2 2 2 2 2 24 5 2 3 4" xfId="12389"/>
    <cellStyle name="Normal 2 2 2 2 2 24 5 2 4" xfId="5906"/>
    <cellStyle name="Normal 2 2 2 2 2 24 5 2 4 2" xfId="9647"/>
    <cellStyle name="Normal 2 2 2 2 2 24 5 2 4 2 2" xfId="16149"/>
    <cellStyle name="Normal 2 2 2 2 2 24 5 2 4 3" xfId="7928"/>
    <cellStyle name="Normal 2 2 2 2 2 24 5 2 4 3 2" xfId="14568"/>
    <cellStyle name="Normal 2 2 2 2 2 24 5 2 4 4" xfId="12799"/>
    <cellStyle name="Normal 2 2 2 2 2 24 5 2 5" xfId="9920"/>
    <cellStyle name="Normal 2 2 2 2 2 24 5 2 5 2" xfId="16401"/>
    <cellStyle name="Normal 2 2 2 2 2 24 5 2 6" xfId="8405"/>
    <cellStyle name="Normal 2 2 2 2 2 24 5 2 6 2" xfId="14962"/>
    <cellStyle name="Normal 2 2 2 2 2 24 5 2 7" xfId="6686"/>
    <cellStyle name="Normal 2 2 2 2 2 24 5 2 7 2" xfId="13376"/>
    <cellStyle name="Normal 2 2 2 2 2 24 5 2 8" xfId="11586"/>
    <cellStyle name="Normal 2 2 2 2 2 24 5 3" xfId="4923"/>
    <cellStyle name="Normal 2 2 2 2 2 24 5 3 2" xfId="8666"/>
    <cellStyle name="Normal 2 2 2 2 2 24 5 3 2 2" xfId="15214"/>
    <cellStyle name="Normal 2 2 2 2 2 24 5 3 3" xfId="6947"/>
    <cellStyle name="Normal 2 2 2 2 2 24 5 3 3 2" xfId="13633"/>
    <cellStyle name="Normal 2 2 2 2 2 24 5 3 4" xfId="11848"/>
    <cellStyle name="Normal 2 2 2 2 2 24 5 4" xfId="5271"/>
    <cellStyle name="Normal 2 2 2 2 2 24 5 4 2" xfId="9014"/>
    <cellStyle name="Normal 2 2 2 2 2 24 5 4 2 2" xfId="15558"/>
    <cellStyle name="Normal 2 2 2 2 2 24 5 4 3" xfId="7295"/>
    <cellStyle name="Normal 2 2 2 2 2 24 5 4 3 2" xfId="13977"/>
    <cellStyle name="Normal 2 2 2 2 2 24 5 4 4" xfId="12192"/>
    <cellStyle name="Normal 2 2 2 2 2 24 5 5" xfId="5709"/>
    <cellStyle name="Normal 2 2 2 2 2 24 5 5 2" xfId="9450"/>
    <cellStyle name="Normal 2 2 2 2 2 24 5 5 2 2" xfId="15952"/>
    <cellStyle name="Normal 2 2 2 2 2 24 5 5 3" xfId="7731"/>
    <cellStyle name="Normal 2 2 2 2 2 24 5 5 3 2" xfId="14371"/>
    <cellStyle name="Normal 2 2 2 2 2 24 5 5 4" xfId="12602"/>
    <cellStyle name="Normal 2 2 2 2 2 24 5 6" xfId="9919"/>
    <cellStyle name="Normal 2 2 2 2 2 24 5 6 2" xfId="16400"/>
    <cellStyle name="Normal 2 2 2 2 2 24 5 7" xfId="8208"/>
    <cellStyle name="Normal 2 2 2 2 2 24 5 7 2" xfId="14765"/>
    <cellStyle name="Normal 2 2 2 2 2 24 5 8" xfId="6489"/>
    <cellStyle name="Normal 2 2 2 2 2 24 5 8 2" xfId="13179"/>
    <cellStyle name="Normal 2 2 2 2 2 24 5 9" xfId="11387"/>
    <cellStyle name="Normal 2 2 2 2 2 24 6" xfId="4518"/>
    <cellStyle name="Normal 2 2 2 2 2 24 6 2" xfId="4925"/>
    <cellStyle name="Normal 2 2 2 2 2 24 6 2 2" xfId="8668"/>
    <cellStyle name="Normal 2 2 2 2 2 24 6 2 2 2" xfId="15216"/>
    <cellStyle name="Normal 2 2 2 2 2 24 6 2 3" xfId="6949"/>
    <cellStyle name="Normal 2 2 2 2 2 24 6 2 3 2" xfId="13635"/>
    <cellStyle name="Normal 2 2 2 2 2 24 6 2 4" xfId="11850"/>
    <cellStyle name="Normal 2 2 2 2 2 24 6 3" xfId="5345"/>
    <cellStyle name="Normal 2 2 2 2 2 24 6 3 2" xfId="9088"/>
    <cellStyle name="Normal 2 2 2 2 2 24 6 3 2 2" xfId="15632"/>
    <cellStyle name="Normal 2 2 2 2 2 24 6 3 3" xfId="7369"/>
    <cellStyle name="Normal 2 2 2 2 2 24 6 3 3 2" xfId="14051"/>
    <cellStyle name="Normal 2 2 2 2 2 24 6 3 4" xfId="12266"/>
    <cellStyle name="Normal 2 2 2 2 2 24 6 4" xfId="5783"/>
    <cellStyle name="Normal 2 2 2 2 2 24 6 4 2" xfId="9524"/>
    <cellStyle name="Normal 2 2 2 2 2 24 6 4 2 2" xfId="16026"/>
    <cellStyle name="Normal 2 2 2 2 2 24 6 4 3" xfId="7805"/>
    <cellStyle name="Normal 2 2 2 2 2 24 6 4 3 2" xfId="14445"/>
    <cellStyle name="Normal 2 2 2 2 2 24 6 4 4" xfId="12676"/>
    <cellStyle name="Normal 2 2 2 2 2 24 6 5" xfId="9921"/>
    <cellStyle name="Normal 2 2 2 2 2 24 6 5 2" xfId="16402"/>
    <cellStyle name="Normal 2 2 2 2 2 24 6 6" xfId="8282"/>
    <cellStyle name="Normal 2 2 2 2 2 24 6 6 2" xfId="14839"/>
    <cellStyle name="Normal 2 2 2 2 2 24 6 7" xfId="6563"/>
    <cellStyle name="Normal 2 2 2 2 2 24 6 7 2" xfId="13253"/>
    <cellStyle name="Normal 2 2 2 2 2 24 6 8" xfId="11463"/>
    <cellStyle name="Normal 2 2 2 2 2 24 7" xfId="4698"/>
    <cellStyle name="Normal 2 2 2 2 2 24 7 2" xfId="8443"/>
    <cellStyle name="Normal 2 2 2 2 2 24 7 2 2" xfId="14995"/>
    <cellStyle name="Normal 2 2 2 2 2 24 7 3" xfId="6724"/>
    <cellStyle name="Normal 2 2 2 2 2 24 7 3 2" xfId="13414"/>
    <cellStyle name="Normal 2 2 2 2 2 24 7 4" xfId="11628"/>
    <cellStyle name="Normal 2 2 2 2 2 24 8" xfId="5148"/>
    <cellStyle name="Normal 2 2 2 2 2 24 8 2" xfId="8891"/>
    <cellStyle name="Normal 2 2 2 2 2 24 8 2 2" xfId="15435"/>
    <cellStyle name="Normal 2 2 2 2 2 24 8 3" xfId="7172"/>
    <cellStyle name="Normal 2 2 2 2 2 24 8 3 2" xfId="13854"/>
    <cellStyle name="Normal 2 2 2 2 2 24 8 4" xfId="12069"/>
    <cellStyle name="Normal 2 2 2 2 2 24 9" xfId="5581"/>
    <cellStyle name="Normal 2 2 2 2 2 24 9 2" xfId="9322"/>
    <cellStyle name="Normal 2 2 2 2 2 24 9 2 2" xfId="15829"/>
    <cellStyle name="Normal 2 2 2 2 2 24 9 3" xfId="7603"/>
    <cellStyle name="Normal 2 2 2 2 2 24 9 3 2" xfId="14248"/>
    <cellStyle name="Normal 2 2 2 2 2 24 9 4" xfId="12474"/>
    <cellStyle name="Normal 2 2 2 2 2 3" xfId="4770"/>
    <cellStyle name="Normal 2 2 2 2 2 3 2" xfId="8513"/>
    <cellStyle name="Normal 2 2 2 2 2 3 2 2" xfId="15065"/>
    <cellStyle name="Normal 2 2 2 2 2 3 3" xfId="6794"/>
    <cellStyle name="Normal 2 2 2 2 2 3 3 2" xfId="13484"/>
    <cellStyle name="Normal 2 2 2 2 2 3 4" xfId="11699"/>
    <cellStyle name="Normal 2 2 2 2 2 4" xfId="5147"/>
    <cellStyle name="Normal 2 2 2 2 2 4 2" xfId="8890"/>
    <cellStyle name="Normal 2 2 2 2 2 4 2 2" xfId="15434"/>
    <cellStyle name="Normal 2 2 2 2 2 4 3" xfId="7171"/>
    <cellStyle name="Normal 2 2 2 2 2 4 3 2" xfId="13853"/>
    <cellStyle name="Normal 2 2 2 2 2 4 4" xfId="12068"/>
    <cellStyle name="Normal 2 2 2 2 2 5" xfId="5580"/>
    <cellStyle name="Normal 2 2 2 2 2 5 2" xfId="9321"/>
    <cellStyle name="Normal 2 2 2 2 2 5 2 2" xfId="15828"/>
    <cellStyle name="Normal 2 2 2 2 2 5 3" xfId="7602"/>
    <cellStyle name="Normal 2 2 2 2 2 5 3 2" xfId="14247"/>
    <cellStyle name="Normal 2 2 2 2 2 5 4" xfId="12473"/>
    <cellStyle name="Normal 2 2 2 2 2 6" xfId="9760"/>
    <cellStyle name="Normal 2 2 2 2 2 6 2" xfId="16251"/>
    <cellStyle name="Normal 2 2 2 2 2 7" xfId="8041"/>
    <cellStyle name="Normal 2 2 2 2 2 7 2" xfId="14641"/>
    <cellStyle name="Normal 2 2 2 2 2 8" xfId="6314"/>
    <cellStyle name="Normal 2 2 2 2 2 8 2" xfId="13037"/>
    <cellStyle name="Normal 2 2 2 2 2 9" xfId="11256"/>
    <cellStyle name="Normal 2 2 2 2 3" xfId="4109"/>
    <cellStyle name="Normal 2 2 2 2 3 2" xfId="4521"/>
    <cellStyle name="Normal 2 2 2 2 3 2 2" xfId="4926"/>
    <cellStyle name="Normal 2 2 2 2 3 2 2 2" xfId="8669"/>
    <cellStyle name="Normal 2 2 2 2 3 2 2 2 2" xfId="15217"/>
    <cellStyle name="Normal 2 2 2 2 3 2 2 3" xfId="6950"/>
    <cellStyle name="Normal 2 2 2 2 3 2 2 3 2" xfId="13636"/>
    <cellStyle name="Normal 2 2 2 2 3 2 2 4" xfId="11851"/>
    <cellStyle name="Normal 2 2 2 2 3 2 3" xfId="5348"/>
    <cellStyle name="Normal 2 2 2 2 3 2 3 2" xfId="9091"/>
    <cellStyle name="Normal 2 2 2 2 3 2 3 2 2" xfId="15635"/>
    <cellStyle name="Normal 2 2 2 2 3 2 3 3" xfId="7372"/>
    <cellStyle name="Normal 2 2 2 2 3 2 3 3 2" xfId="14054"/>
    <cellStyle name="Normal 2 2 2 2 3 2 3 4" xfId="12269"/>
    <cellStyle name="Normal 2 2 2 2 3 2 4" xfId="5786"/>
    <cellStyle name="Normal 2 2 2 2 3 2 4 2" xfId="9527"/>
    <cellStyle name="Normal 2 2 2 2 3 2 4 2 2" xfId="16029"/>
    <cellStyle name="Normal 2 2 2 2 3 2 4 3" xfId="7808"/>
    <cellStyle name="Normal 2 2 2 2 3 2 4 3 2" xfId="14448"/>
    <cellStyle name="Normal 2 2 2 2 3 2 4 4" xfId="12679"/>
    <cellStyle name="Normal 2 2 2 2 3 2 5" xfId="9922"/>
    <cellStyle name="Normal 2 2 2 2 3 2 5 2" xfId="16403"/>
    <cellStyle name="Normal 2 2 2 2 3 2 6" xfId="8285"/>
    <cellStyle name="Normal 2 2 2 2 3 2 6 2" xfId="14842"/>
    <cellStyle name="Normal 2 2 2 2 3 2 7" xfId="6566"/>
    <cellStyle name="Normal 2 2 2 2 3 2 7 2" xfId="13256"/>
    <cellStyle name="Normal 2 2 2 2 3 2 8" xfId="11466"/>
    <cellStyle name="Normal 2 2 2 2 3 3" xfId="4838"/>
    <cellStyle name="Normal 2 2 2 2 3 3 2" xfId="8581"/>
    <cellStyle name="Normal 2 2 2 2 3 3 2 2" xfId="15129"/>
    <cellStyle name="Normal 2 2 2 2 3 3 3" xfId="6862"/>
    <cellStyle name="Normal 2 2 2 2 3 3 3 2" xfId="13548"/>
    <cellStyle name="Normal 2 2 2 2 3 3 4" xfId="11763"/>
    <cellStyle name="Normal 2 2 2 2 3 4" xfId="5151"/>
    <cellStyle name="Normal 2 2 2 2 3 4 2" xfId="8894"/>
    <cellStyle name="Normal 2 2 2 2 3 4 2 2" xfId="15438"/>
    <cellStyle name="Normal 2 2 2 2 3 4 3" xfId="7175"/>
    <cellStyle name="Normal 2 2 2 2 3 4 3 2" xfId="13857"/>
    <cellStyle name="Normal 2 2 2 2 3 4 4" xfId="12072"/>
    <cellStyle name="Normal 2 2 2 2 3 5" xfId="5584"/>
    <cellStyle name="Normal 2 2 2 2 3 5 2" xfId="9325"/>
    <cellStyle name="Normal 2 2 2 2 3 5 2 2" xfId="15832"/>
    <cellStyle name="Normal 2 2 2 2 3 5 3" xfId="7606"/>
    <cellStyle name="Normal 2 2 2 2 3 5 3 2" xfId="14251"/>
    <cellStyle name="Normal 2 2 2 2 3 5 4" xfId="12477"/>
    <cellStyle name="Normal 2 2 2 2 3 6" xfId="9829"/>
    <cellStyle name="Normal 2 2 2 2 3 6 2" xfId="16315"/>
    <cellStyle name="Normal 2 2 2 2 3 7" xfId="8045"/>
    <cellStyle name="Normal 2 2 2 2 3 7 2" xfId="14645"/>
    <cellStyle name="Normal 2 2 2 2 3 8" xfId="6318"/>
    <cellStyle name="Normal 2 2 2 2 3 8 2" xfId="13041"/>
    <cellStyle name="Normal 2 2 2 2 3 9" xfId="11260"/>
    <cellStyle name="Normal 2 2 2 2 4" xfId="4473"/>
    <cellStyle name="Normal 2 2 2 2 4 2" xfId="4927"/>
    <cellStyle name="Normal 2 2 2 2 4 2 2" xfId="8670"/>
    <cellStyle name="Normal 2 2 2 2 4 2 2 2" xfId="15218"/>
    <cellStyle name="Normal 2 2 2 2 4 2 3" xfId="6951"/>
    <cellStyle name="Normal 2 2 2 2 4 2 3 2" xfId="13637"/>
    <cellStyle name="Normal 2 2 2 2 4 2 4" xfId="11852"/>
    <cellStyle name="Normal 2 2 2 2 4 3" xfId="5301"/>
    <cellStyle name="Normal 2 2 2 2 4 3 2" xfId="9044"/>
    <cellStyle name="Normal 2 2 2 2 4 3 2 2" xfId="15588"/>
    <cellStyle name="Normal 2 2 2 2 4 3 3" xfId="7325"/>
    <cellStyle name="Normal 2 2 2 2 4 3 3 2" xfId="14007"/>
    <cellStyle name="Normal 2 2 2 2 4 3 4" xfId="12222"/>
    <cellStyle name="Normal 2 2 2 2 4 4" xfId="5739"/>
    <cellStyle name="Normal 2 2 2 2 4 4 2" xfId="9480"/>
    <cellStyle name="Normal 2 2 2 2 4 4 2 2" xfId="15982"/>
    <cellStyle name="Normal 2 2 2 2 4 4 3" xfId="7761"/>
    <cellStyle name="Normal 2 2 2 2 4 4 3 2" xfId="14401"/>
    <cellStyle name="Normal 2 2 2 2 4 4 4" xfId="12632"/>
    <cellStyle name="Normal 2 2 2 2 4 5" xfId="9923"/>
    <cellStyle name="Normal 2 2 2 2 4 5 2" xfId="16404"/>
    <cellStyle name="Normal 2 2 2 2 4 6" xfId="8238"/>
    <cellStyle name="Normal 2 2 2 2 4 6 2" xfId="14795"/>
    <cellStyle name="Normal 2 2 2 2 4 7" xfId="6519"/>
    <cellStyle name="Normal 2 2 2 2 4 7 2" xfId="13209"/>
    <cellStyle name="Normal 2 2 2 2 4 8" xfId="11418"/>
    <cellStyle name="Normal 2 2 2 2 5" xfId="4679"/>
    <cellStyle name="Normal 2 2 2 2 5 2" xfId="8425"/>
    <cellStyle name="Normal 2 2 2 2 5 2 2" xfId="14977"/>
    <cellStyle name="Normal 2 2 2 2 5 3" xfId="6706"/>
    <cellStyle name="Normal 2 2 2 2 5 3 2" xfId="13396"/>
    <cellStyle name="Normal 2 2 2 2 5 4" xfId="11610"/>
    <cellStyle name="Normal 2 2 2 2 6" xfId="5100"/>
    <cellStyle name="Normal 2 2 2 2 6 2" xfId="8843"/>
    <cellStyle name="Normal 2 2 2 2 6 2 2" xfId="15391"/>
    <cellStyle name="Normal 2 2 2 2 6 3" xfId="7124"/>
    <cellStyle name="Normal 2 2 2 2 6 3 2" xfId="13810"/>
    <cellStyle name="Normal 2 2 2 2 6 4" xfId="12025"/>
    <cellStyle name="Normal 2 2 2 2 7" xfId="5537"/>
    <cellStyle name="Normal 2 2 2 2 7 2" xfId="9278"/>
    <cellStyle name="Normal 2 2 2 2 7 2 2" xfId="15785"/>
    <cellStyle name="Normal 2 2 2 2 7 3" xfId="7559"/>
    <cellStyle name="Normal 2 2 2 2 7 3 2" xfId="14204"/>
    <cellStyle name="Normal 2 2 2 2 7 4" xfId="12430"/>
    <cellStyle name="Normal 2 2 2 2 8" xfId="9659"/>
    <cellStyle name="Normal 2 2 2 2 8 2" xfId="16161"/>
    <cellStyle name="Normal 2 2 2 2 9" xfId="7958"/>
    <cellStyle name="Normal 2 2 2 2 9 2" xfId="14598"/>
    <cellStyle name="Normal 2 2 2 3" xfId="27"/>
    <cellStyle name="Normal 2 2 2 3 2" xfId="4462"/>
    <cellStyle name="Normal 2 2 2 3 2 2" xfId="4928"/>
    <cellStyle name="Normal 2 2 2 3 2 2 2" xfId="8671"/>
    <cellStyle name="Normal 2 2 2 3 2 2 2 2" xfId="15219"/>
    <cellStyle name="Normal 2 2 2 3 2 2 3" xfId="6952"/>
    <cellStyle name="Normal 2 2 2 3 2 2 3 2" xfId="13638"/>
    <cellStyle name="Normal 2 2 2 3 2 2 4" xfId="11853"/>
    <cellStyle name="Normal 2 2 2 3 2 3" xfId="5290"/>
    <cellStyle name="Normal 2 2 2 3 2 3 2" xfId="9033"/>
    <cellStyle name="Normal 2 2 2 3 2 3 2 2" xfId="15577"/>
    <cellStyle name="Normal 2 2 2 3 2 3 3" xfId="7314"/>
    <cellStyle name="Normal 2 2 2 3 2 3 3 2" xfId="13996"/>
    <cellStyle name="Normal 2 2 2 3 2 3 4" xfId="12211"/>
    <cellStyle name="Normal 2 2 2 3 2 4" xfId="5728"/>
    <cellStyle name="Normal 2 2 2 3 2 4 2" xfId="9469"/>
    <cellStyle name="Normal 2 2 2 3 2 4 2 2" xfId="15971"/>
    <cellStyle name="Normal 2 2 2 3 2 4 3" xfId="7750"/>
    <cellStyle name="Normal 2 2 2 3 2 4 3 2" xfId="14390"/>
    <cellStyle name="Normal 2 2 2 3 2 4 4" xfId="12621"/>
    <cellStyle name="Normal 2 2 2 3 2 5" xfId="9924"/>
    <cellStyle name="Normal 2 2 2 3 2 5 2" xfId="16405"/>
    <cellStyle name="Normal 2 2 2 3 2 6" xfId="8227"/>
    <cellStyle name="Normal 2 2 2 3 2 6 2" xfId="14784"/>
    <cellStyle name="Normal 2 2 2 3 2 7" xfId="6508"/>
    <cellStyle name="Normal 2 2 2 3 2 7 2" xfId="13198"/>
    <cellStyle name="Normal 2 2 2 3 2 8" xfId="11407"/>
    <cellStyle name="Normal 2 2 2 3 3" xfId="4769"/>
    <cellStyle name="Normal 2 2 2 3 3 2" xfId="8512"/>
    <cellStyle name="Normal 2 2 2 3 3 2 2" xfId="15064"/>
    <cellStyle name="Normal 2 2 2 3 3 3" xfId="6793"/>
    <cellStyle name="Normal 2 2 2 3 3 3 2" xfId="13483"/>
    <cellStyle name="Normal 2 2 2 3 3 4" xfId="11698"/>
    <cellStyle name="Normal 2 2 2 3 4" xfId="5089"/>
    <cellStyle name="Normal 2 2 2 3 4 2" xfId="8832"/>
    <cellStyle name="Normal 2 2 2 3 4 2 2" xfId="15380"/>
    <cellStyle name="Normal 2 2 2 3 4 3" xfId="7113"/>
    <cellStyle name="Normal 2 2 2 3 4 3 2" xfId="13799"/>
    <cellStyle name="Normal 2 2 2 3 4 4" xfId="12014"/>
    <cellStyle name="Normal 2 2 2 3 5" xfId="5526"/>
    <cellStyle name="Normal 2 2 2 3 5 2" xfId="9267"/>
    <cellStyle name="Normal 2 2 2 3 5 2 2" xfId="15774"/>
    <cellStyle name="Normal 2 2 2 3 5 3" xfId="7548"/>
    <cellStyle name="Normal 2 2 2 3 5 3 2" xfId="14193"/>
    <cellStyle name="Normal 2 2 2 3 5 4" xfId="12419"/>
    <cellStyle name="Normal 2 2 2 3 6" xfId="9759"/>
    <cellStyle name="Normal 2 2 2 3 6 2" xfId="16250"/>
    <cellStyle name="Normal 2 2 2 3 7" xfId="7947"/>
    <cellStyle name="Normal 2 2 2 3 7 2" xfId="14587"/>
    <cellStyle name="Normal 2 2 2 3 8" xfId="5926"/>
    <cellStyle name="Normal 2 2 2 3 8 2" xfId="12819"/>
    <cellStyle name="Normal 2 2 2 3 9" xfId="10261"/>
    <cellStyle name="Normal 2 2 2 4" xfId="4110"/>
    <cellStyle name="Normal 2 2 2 4 2" xfId="4522"/>
    <cellStyle name="Normal 2 2 2 4 2 2" xfId="4929"/>
    <cellStyle name="Normal 2 2 2 4 2 2 2" xfId="8672"/>
    <cellStyle name="Normal 2 2 2 4 2 2 2 2" xfId="15220"/>
    <cellStyle name="Normal 2 2 2 4 2 2 3" xfId="6953"/>
    <cellStyle name="Normal 2 2 2 4 2 2 3 2" xfId="13639"/>
    <cellStyle name="Normal 2 2 2 4 2 2 4" xfId="11854"/>
    <cellStyle name="Normal 2 2 2 4 2 3" xfId="5349"/>
    <cellStyle name="Normal 2 2 2 4 2 3 2" xfId="9092"/>
    <cellStyle name="Normal 2 2 2 4 2 3 2 2" xfId="15636"/>
    <cellStyle name="Normal 2 2 2 4 2 3 3" xfId="7373"/>
    <cellStyle name="Normal 2 2 2 4 2 3 3 2" xfId="14055"/>
    <cellStyle name="Normal 2 2 2 4 2 3 4" xfId="12270"/>
    <cellStyle name="Normal 2 2 2 4 2 4" xfId="5787"/>
    <cellStyle name="Normal 2 2 2 4 2 4 2" xfId="9528"/>
    <cellStyle name="Normal 2 2 2 4 2 4 2 2" xfId="16030"/>
    <cellStyle name="Normal 2 2 2 4 2 4 3" xfId="7809"/>
    <cellStyle name="Normal 2 2 2 4 2 4 3 2" xfId="14449"/>
    <cellStyle name="Normal 2 2 2 4 2 4 4" xfId="12680"/>
    <cellStyle name="Normal 2 2 2 4 2 5" xfId="9925"/>
    <cellStyle name="Normal 2 2 2 4 2 5 2" xfId="16406"/>
    <cellStyle name="Normal 2 2 2 4 2 6" xfId="8286"/>
    <cellStyle name="Normal 2 2 2 4 2 6 2" xfId="14843"/>
    <cellStyle name="Normal 2 2 2 4 2 7" xfId="6567"/>
    <cellStyle name="Normal 2 2 2 4 2 7 2" xfId="13257"/>
    <cellStyle name="Normal 2 2 2 4 2 8" xfId="11467"/>
    <cellStyle name="Normal 2 2 2 4 3" xfId="4827"/>
    <cellStyle name="Normal 2 2 2 4 3 2" xfId="8570"/>
    <cellStyle name="Normal 2 2 2 4 3 2 2" xfId="15118"/>
    <cellStyle name="Normal 2 2 2 4 3 3" xfId="6851"/>
    <cellStyle name="Normal 2 2 2 4 3 3 2" xfId="13537"/>
    <cellStyle name="Normal 2 2 2 4 3 4" xfId="11752"/>
    <cellStyle name="Normal 2 2 2 4 4" xfId="5152"/>
    <cellStyle name="Normal 2 2 2 4 4 2" xfId="8895"/>
    <cellStyle name="Normal 2 2 2 4 4 2 2" xfId="15439"/>
    <cellStyle name="Normal 2 2 2 4 4 3" xfId="7176"/>
    <cellStyle name="Normal 2 2 2 4 4 3 2" xfId="13858"/>
    <cellStyle name="Normal 2 2 2 4 4 4" xfId="12073"/>
    <cellStyle name="Normal 2 2 2 4 5" xfId="5585"/>
    <cellStyle name="Normal 2 2 2 4 5 2" xfId="9326"/>
    <cellStyle name="Normal 2 2 2 4 5 2 2" xfId="15833"/>
    <cellStyle name="Normal 2 2 2 4 5 3" xfId="7607"/>
    <cellStyle name="Normal 2 2 2 4 5 3 2" xfId="14252"/>
    <cellStyle name="Normal 2 2 2 4 5 4" xfId="12478"/>
    <cellStyle name="Normal 2 2 2 4 6" xfId="9818"/>
    <cellStyle name="Normal 2 2 2 4 6 2" xfId="16304"/>
    <cellStyle name="Normal 2 2 2 4 7" xfId="8046"/>
    <cellStyle name="Normal 2 2 2 4 7 2" xfId="14646"/>
    <cellStyle name="Normal 2 2 2 4 8" xfId="6319"/>
    <cellStyle name="Normal 2 2 2 4 8 2" xfId="13042"/>
    <cellStyle name="Normal 2 2 2 4 9" xfId="11261"/>
    <cellStyle name="Normal 2 2 2 5" xfId="4454"/>
    <cellStyle name="Normal 2 2 2 5 2" xfId="4930"/>
    <cellStyle name="Normal 2 2 2 5 2 2" xfId="8673"/>
    <cellStyle name="Normal 2 2 2 5 2 2 2" xfId="15221"/>
    <cellStyle name="Normal 2 2 2 5 2 3" xfId="6954"/>
    <cellStyle name="Normal 2 2 2 5 2 3 2" xfId="13640"/>
    <cellStyle name="Normal 2 2 2 5 2 4" xfId="11855"/>
    <cellStyle name="Normal 2 2 2 5 3" xfId="5282"/>
    <cellStyle name="Normal 2 2 2 5 3 2" xfId="9025"/>
    <cellStyle name="Normal 2 2 2 5 3 2 2" xfId="15569"/>
    <cellStyle name="Normal 2 2 2 5 3 3" xfId="7306"/>
    <cellStyle name="Normal 2 2 2 5 3 3 2" xfId="13988"/>
    <cellStyle name="Normal 2 2 2 5 3 4" xfId="12203"/>
    <cellStyle name="Normal 2 2 2 5 4" xfId="5720"/>
    <cellStyle name="Normal 2 2 2 5 4 2" xfId="9461"/>
    <cellStyle name="Normal 2 2 2 5 4 2 2" xfId="15963"/>
    <cellStyle name="Normal 2 2 2 5 4 3" xfId="7742"/>
    <cellStyle name="Normal 2 2 2 5 4 3 2" xfId="14382"/>
    <cellStyle name="Normal 2 2 2 5 4 4" xfId="12613"/>
    <cellStyle name="Normal 2 2 2 5 5" xfId="9926"/>
    <cellStyle name="Normal 2 2 2 5 5 2" xfId="16407"/>
    <cellStyle name="Normal 2 2 2 5 6" xfId="8219"/>
    <cellStyle name="Normal 2 2 2 5 6 2" xfId="14776"/>
    <cellStyle name="Normal 2 2 2 5 7" xfId="6500"/>
    <cellStyle name="Normal 2 2 2 5 7 2" xfId="13190"/>
    <cellStyle name="Normal 2 2 2 5 8" xfId="11399"/>
    <cellStyle name="Normal 2 2 2 6" xfId="4678"/>
    <cellStyle name="Normal 2 2 2 6 2" xfId="8424"/>
    <cellStyle name="Normal 2 2 2 6 2 2" xfId="14976"/>
    <cellStyle name="Normal 2 2 2 6 3" xfId="6705"/>
    <cellStyle name="Normal 2 2 2 6 3 2" xfId="13395"/>
    <cellStyle name="Normal 2 2 2 6 4" xfId="11609"/>
    <cellStyle name="Normal 2 2 2 7" xfId="5081"/>
    <cellStyle name="Normal 2 2 2 7 2" xfId="8824"/>
    <cellStyle name="Normal 2 2 2 7 2 2" xfId="15372"/>
    <cellStyle name="Normal 2 2 2 7 3" xfId="7105"/>
    <cellStyle name="Normal 2 2 2 7 3 2" xfId="13791"/>
    <cellStyle name="Normal 2 2 2 7 4" xfId="12006"/>
    <cellStyle name="Normal 2 2 2 8" xfId="5518"/>
    <cellStyle name="Normal 2 2 2 8 2" xfId="9259"/>
    <cellStyle name="Normal 2 2 2 8 2 2" xfId="15766"/>
    <cellStyle name="Normal 2 2 2 8 3" xfId="7540"/>
    <cellStyle name="Normal 2 2 2 8 3 2" xfId="14185"/>
    <cellStyle name="Normal 2 2 2 8 4" xfId="12411"/>
    <cellStyle name="Normal 2 2 2 9" xfId="9658"/>
    <cellStyle name="Normal 2 2 2 9 2" xfId="16160"/>
    <cellStyle name="Normal 2 2 3" xfId="33"/>
    <cellStyle name="Normal 2 2 3 10" xfId="5932"/>
    <cellStyle name="Normal 2 2 3 10 2" xfId="12825"/>
    <cellStyle name="Normal 2 2 3 11" xfId="10267"/>
    <cellStyle name="Normal 2 2 3 2" xfId="4111"/>
    <cellStyle name="Normal 2 2 3 2 2" xfId="4523"/>
    <cellStyle name="Normal 2 2 3 2 2 2" xfId="4931"/>
    <cellStyle name="Normal 2 2 3 2 2 2 2" xfId="8674"/>
    <cellStyle name="Normal 2 2 3 2 2 2 2 2" xfId="15222"/>
    <cellStyle name="Normal 2 2 3 2 2 2 3" xfId="6955"/>
    <cellStyle name="Normal 2 2 3 2 2 2 3 2" xfId="13641"/>
    <cellStyle name="Normal 2 2 3 2 2 2 4" xfId="11856"/>
    <cellStyle name="Normal 2 2 3 2 2 3" xfId="5350"/>
    <cellStyle name="Normal 2 2 3 2 2 3 2" xfId="9093"/>
    <cellStyle name="Normal 2 2 3 2 2 3 2 2" xfId="15637"/>
    <cellStyle name="Normal 2 2 3 2 2 3 3" xfId="7374"/>
    <cellStyle name="Normal 2 2 3 2 2 3 3 2" xfId="14056"/>
    <cellStyle name="Normal 2 2 3 2 2 3 4" xfId="12271"/>
    <cellStyle name="Normal 2 2 3 2 2 4" xfId="5788"/>
    <cellStyle name="Normal 2 2 3 2 2 4 2" xfId="9529"/>
    <cellStyle name="Normal 2 2 3 2 2 4 2 2" xfId="16031"/>
    <cellStyle name="Normal 2 2 3 2 2 4 3" xfId="7810"/>
    <cellStyle name="Normal 2 2 3 2 2 4 3 2" xfId="14450"/>
    <cellStyle name="Normal 2 2 3 2 2 4 4" xfId="12681"/>
    <cellStyle name="Normal 2 2 3 2 2 5" xfId="9927"/>
    <cellStyle name="Normal 2 2 3 2 2 5 2" xfId="16408"/>
    <cellStyle name="Normal 2 2 3 2 2 6" xfId="8287"/>
    <cellStyle name="Normal 2 2 3 2 2 6 2" xfId="14844"/>
    <cellStyle name="Normal 2 2 3 2 2 7" xfId="6568"/>
    <cellStyle name="Normal 2 2 3 2 2 7 2" xfId="13258"/>
    <cellStyle name="Normal 2 2 3 2 2 8" xfId="11468"/>
    <cellStyle name="Normal 2 2 3 2 3" xfId="4771"/>
    <cellStyle name="Normal 2 2 3 2 3 2" xfId="8514"/>
    <cellStyle name="Normal 2 2 3 2 3 2 2" xfId="15066"/>
    <cellStyle name="Normal 2 2 3 2 3 3" xfId="6795"/>
    <cellStyle name="Normal 2 2 3 2 3 3 2" xfId="13485"/>
    <cellStyle name="Normal 2 2 3 2 3 4" xfId="11700"/>
    <cellStyle name="Normal 2 2 3 2 4" xfId="5153"/>
    <cellStyle name="Normal 2 2 3 2 4 2" xfId="8896"/>
    <cellStyle name="Normal 2 2 3 2 4 2 2" xfId="15440"/>
    <cellStyle name="Normal 2 2 3 2 4 3" xfId="7177"/>
    <cellStyle name="Normal 2 2 3 2 4 3 2" xfId="13859"/>
    <cellStyle name="Normal 2 2 3 2 4 4" xfId="12074"/>
    <cellStyle name="Normal 2 2 3 2 5" xfId="5586"/>
    <cellStyle name="Normal 2 2 3 2 5 2" xfId="9327"/>
    <cellStyle name="Normal 2 2 3 2 5 2 2" xfId="15834"/>
    <cellStyle name="Normal 2 2 3 2 5 3" xfId="7608"/>
    <cellStyle name="Normal 2 2 3 2 5 3 2" xfId="14253"/>
    <cellStyle name="Normal 2 2 3 2 5 4" xfId="12479"/>
    <cellStyle name="Normal 2 2 3 2 6" xfId="9761"/>
    <cellStyle name="Normal 2 2 3 2 6 2" xfId="16252"/>
    <cellStyle name="Normal 2 2 3 2 7" xfId="8047"/>
    <cellStyle name="Normal 2 2 3 2 7 2" xfId="14647"/>
    <cellStyle name="Normal 2 2 3 2 8" xfId="6320"/>
    <cellStyle name="Normal 2 2 3 2 8 2" xfId="13043"/>
    <cellStyle name="Normal 2 2 3 2 9" xfId="11262"/>
    <cellStyle name="Normal 2 2 3 3" xfId="4112"/>
    <cellStyle name="Normal 2 2 3 3 2" xfId="4524"/>
    <cellStyle name="Normal 2 2 3 3 2 2" xfId="4932"/>
    <cellStyle name="Normal 2 2 3 3 2 2 2" xfId="8675"/>
    <cellStyle name="Normal 2 2 3 3 2 2 2 2" xfId="15223"/>
    <cellStyle name="Normal 2 2 3 3 2 2 3" xfId="6956"/>
    <cellStyle name="Normal 2 2 3 3 2 2 3 2" xfId="13642"/>
    <cellStyle name="Normal 2 2 3 3 2 2 4" xfId="11857"/>
    <cellStyle name="Normal 2 2 3 3 2 3" xfId="5351"/>
    <cellStyle name="Normal 2 2 3 3 2 3 2" xfId="9094"/>
    <cellStyle name="Normal 2 2 3 3 2 3 2 2" xfId="15638"/>
    <cellStyle name="Normal 2 2 3 3 2 3 3" xfId="7375"/>
    <cellStyle name="Normal 2 2 3 3 2 3 3 2" xfId="14057"/>
    <cellStyle name="Normal 2 2 3 3 2 3 4" xfId="12272"/>
    <cellStyle name="Normal 2 2 3 3 2 4" xfId="5789"/>
    <cellStyle name="Normal 2 2 3 3 2 4 2" xfId="9530"/>
    <cellStyle name="Normal 2 2 3 3 2 4 2 2" xfId="16032"/>
    <cellStyle name="Normal 2 2 3 3 2 4 3" xfId="7811"/>
    <cellStyle name="Normal 2 2 3 3 2 4 3 2" xfId="14451"/>
    <cellStyle name="Normal 2 2 3 3 2 4 4" xfId="12682"/>
    <cellStyle name="Normal 2 2 3 3 2 5" xfId="9928"/>
    <cellStyle name="Normal 2 2 3 3 2 5 2" xfId="16409"/>
    <cellStyle name="Normal 2 2 3 3 2 6" xfId="8288"/>
    <cellStyle name="Normal 2 2 3 3 2 6 2" xfId="14845"/>
    <cellStyle name="Normal 2 2 3 3 2 7" xfId="6569"/>
    <cellStyle name="Normal 2 2 3 3 2 7 2" xfId="13259"/>
    <cellStyle name="Normal 2 2 3 3 2 8" xfId="11469"/>
    <cellStyle name="Normal 2 2 3 3 3" xfId="4833"/>
    <cellStyle name="Normal 2 2 3 3 3 2" xfId="8576"/>
    <cellStyle name="Normal 2 2 3 3 3 2 2" xfId="15124"/>
    <cellStyle name="Normal 2 2 3 3 3 3" xfId="6857"/>
    <cellStyle name="Normal 2 2 3 3 3 3 2" xfId="13543"/>
    <cellStyle name="Normal 2 2 3 3 3 4" xfId="11758"/>
    <cellStyle name="Normal 2 2 3 3 4" xfId="5154"/>
    <cellStyle name="Normal 2 2 3 3 4 2" xfId="8897"/>
    <cellStyle name="Normal 2 2 3 3 4 2 2" xfId="15441"/>
    <cellStyle name="Normal 2 2 3 3 4 3" xfId="7178"/>
    <cellStyle name="Normal 2 2 3 3 4 3 2" xfId="13860"/>
    <cellStyle name="Normal 2 2 3 3 4 4" xfId="12075"/>
    <cellStyle name="Normal 2 2 3 3 5" xfId="5587"/>
    <cellStyle name="Normal 2 2 3 3 5 2" xfId="9328"/>
    <cellStyle name="Normal 2 2 3 3 5 2 2" xfId="15835"/>
    <cellStyle name="Normal 2 2 3 3 5 3" xfId="7609"/>
    <cellStyle name="Normal 2 2 3 3 5 3 2" xfId="14254"/>
    <cellStyle name="Normal 2 2 3 3 5 4" xfId="12480"/>
    <cellStyle name="Normal 2 2 3 3 6" xfId="9824"/>
    <cellStyle name="Normal 2 2 3 3 6 2" xfId="16310"/>
    <cellStyle name="Normal 2 2 3 3 7" xfId="8048"/>
    <cellStyle name="Normal 2 2 3 3 7 2" xfId="14648"/>
    <cellStyle name="Normal 2 2 3 3 8" xfId="6321"/>
    <cellStyle name="Normal 2 2 3 3 8 2" xfId="13044"/>
    <cellStyle name="Normal 2 2 3 3 9" xfId="11263"/>
    <cellStyle name="Normal 2 2 3 4" xfId="4468"/>
    <cellStyle name="Normal 2 2 3 4 2" xfId="4933"/>
    <cellStyle name="Normal 2 2 3 4 2 2" xfId="8676"/>
    <cellStyle name="Normal 2 2 3 4 2 2 2" xfId="15224"/>
    <cellStyle name="Normal 2 2 3 4 2 3" xfId="6957"/>
    <cellStyle name="Normal 2 2 3 4 2 3 2" xfId="13643"/>
    <cellStyle name="Normal 2 2 3 4 2 4" xfId="11858"/>
    <cellStyle name="Normal 2 2 3 4 3" xfId="5296"/>
    <cellStyle name="Normal 2 2 3 4 3 2" xfId="9039"/>
    <cellStyle name="Normal 2 2 3 4 3 2 2" xfId="15583"/>
    <cellStyle name="Normal 2 2 3 4 3 3" xfId="7320"/>
    <cellStyle name="Normal 2 2 3 4 3 3 2" xfId="14002"/>
    <cellStyle name="Normal 2 2 3 4 3 4" xfId="12217"/>
    <cellStyle name="Normal 2 2 3 4 4" xfId="5734"/>
    <cellStyle name="Normal 2 2 3 4 4 2" xfId="9475"/>
    <cellStyle name="Normal 2 2 3 4 4 2 2" xfId="15977"/>
    <cellStyle name="Normal 2 2 3 4 4 3" xfId="7756"/>
    <cellStyle name="Normal 2 2 3 4 4 3 2" xfId="14396"/>
    <cellStyle name="Normal 2 2 3 4 4 4" xfId="12627"/>
    <cellStyle name="Normal 2 2 3 4 5" xfId="9929"/>
    <cellStyle name="Normal 2 2 3 4 5 2" xfId="16410"/>
    <cellStyle name="Normal 2 2 3 4 6" xfId="8233"/>
    <cellStyle name="Normal 2 2 3 4 6 2" xfId="14790"/>
    <cellStyle name="Normal 2 2 3 4 7" xfId="6514"/>
    <cellStyle name="Normal 2 2 3 4 7 2" xfId="13204"/>
    <cellStyle name="Normal 2 2 3 4 8" xfId="11413"/>
    <cellStyle name="Normal 2 2 3 5" xfId="4680"/>
    <cellStyle name="Normal 2 2 3 5 2" xfId="8426"/>
    <cellStyle name="Normal 2 2 3 5 2 2" xfId="14978"/>
    <cellStyle name="Normal 2 2 3 5 3" xfId="6707"/>
    <cellStyle name="Normal 2 2 3 5 3 2" xfId="13397"/>
    <cellStyle name="Normal 2 2 3 5 4" xfId="11611"/>
    <cellStyle name="Normal 2 2 3 6" xfId="5095"/>
    <cellStyle name="Normal 2 2 3 6 2" xfId="8838"/>
    <cellStyle name="Normal 2 2 3 6 2 2" xfId="15386"/>
    <cellStyle name="Normal 2 2 3 6 3" xfId="7119"/>
    <cellStyle name="Normal 2 2 3 6 3 2" xfId="13805"/>
    <cellStyle name="Normal 2 2 3 6 4" xfId="12020"/>
    <cellStyle name="Normal 2 2 3 7" xfId="5532"/>
    <cellStyle name="Normal 2 2 3 7 2" xfId="9273"/>
    <cellStyle name="Normal 2 2 3 7 2 2" xfId="15780"/>
    <cellStyle name="Normal 2 2 3 7 3" xfId="7554"/>
    <cellStyle name="Normal 2 2 3 7 3 2" xfId="14199"/>
    <cellStyle name="Normal 2 2 3 7 4" xfId="12425"/>
    <cellStyle name="Normal 2 2 3 8" xfId="9660"/>
    <cellStyle name="Normal 2 2 3 8 2" xfId="16162"/>
    <cellStyle name="Normal 2 2 3 9" xfId="7953"/>
    <cellStyle name="Normal 2 2 3 9 2" xfId="14593"/>
    <cellStyle name="Normal 2 2 4" xfId="22"/>
    <cellStyle name="Normal 2 2 4 2" xfId="4458"/>
    <cellStyle name="Normal 2 2 4 2 2" xfId="4934"/>
    <cellStyle name="Normal 2 2 4 2 2 2" xfId="8677"/>
    <cellStyle name="Normal 2 2 4 2 2 2 2" xfId="15225"/>
    <cellStyle name="Normal 2 2 4 2 2 3" xfId="6958"/>
    <cellStyle name="Normal 2 2 4 2 2 3 2" xfId="13644"/>
    <cellStyle name="Normal 2 2 4 2 2 4" xfId="11859"/>
    <cellStyle name="Normal 2 2 4 2 3" xfId="5286"/>
    <cellStyle name="Normal 2 2 4 2 3 2" xfId="9029"/>
    <cellStyle name="Normal 2 2 4 2 3 2 2" xfId="15573"/>
    <cellStyle name="Normal 2 2 4 2 3 3" xfId="7310"/>
    <cellStyle name="Normal 2 2 4 2 3 3 2" xfId="13992"/>
    <cellStyle name="Normal 2 2 4 2 3 4" xfId="12207"/>
    <cellStyle name="Normal 2 2 4 2 4" xfId="5724"/>
    <cellStyle name="Normal 2 2 4 2 4 2" xfId="9465"/>
    <cellStyle name="Normal 2 2 4 2 4 2 2" xfId="15967"/>
    <cellStyle name="Normal 2 2 4 2 4 3" xfId="7746"/>
    <cellStyle name="Normal 2 2 4 2 4 3 2" xfId="14386"/>
    <cellStyle name="Normal 2 2 4 2 4 4" xfId="12617"/>
    <cellStyle name="Normal 2 2 4 2 5" xfId="9930"/>
    <cellStyle name="Normal 2 2 4 2 5 2" xfId="16411"/>
    <cellStyle name="Normal 2 2 4 2 6" xfId="8223"/>
    <cellStyle name="Normal 2 2 4 2 6 2" xfId="14780"/>
    <cellStyle name="Normal 2 2 4 2 7" xfId="6504"/>
    <cellStyle name="Normal 2 2 4 2 7 2" xfId="13194"/>
    <cellStyle name="Normal 2 2 4 2 8" xfId="11403"/>
    <cellStyle name="Normal 2 2 4 3" xfId="4768"/>
    <cellStyle name="Normal 2 2 4 3 2" xfId="8511"/>
    <cellStyle name="Normal 2 2 4 3 2 2" xfId="15063"/>
    <cellStyle name="Normal 2 2 4 3 3" xfId="6792"/>
    <cellStyle name="Normal 2 2 4 3 3 2" xfId="13482"/>
    <cellStyle name="Normal 2 2 4 3 4" xfId="11697"/>
    <cellStyle name="Normal 2 2 4 4" xfId="5085"/>
    <cellStyle name="Normal 2 2 4 4 2" xfId="8828"/>
    <cellStyle name="Normal 2 2 4 4 2 2" xfId="15376"/>
    <cellStyle name="Normal 2 2 4 4 3" xfId="7109"/>
    <cellStyle name="Normal 2 2 4 4 3 2" xfId="13795"/>
    <cellStyle name="Normal 2 2 4 4 4" xfId="12010"/>
    <cellStyle name="Normal 2 2 4 5" xfId="5522"/>
    <cellStyle name="Normal 2 2 4 5 2" xfId="9263"/>
    <cellStyle name="Normal 2 2 4 5 2 2" xfId="15770"/>
    <cellStyle name="Normal 2 2 4 5 3" xfId="7544"/>
    <cellStyle name="Normal 2 2 4 5 3 2" xfId="14189"/>
    <cellStyle name="Normal 2 2 4 5 4" xfId="12415"/>
    <cellStyle name="Normal 2 2 4 6" xfId="9758"/>
    <cellStyle name="Normal 2 2 4 6 2" xfId="16249"/>
    <cellStyle name="Normal 2 2 4 7" xfId="7943"/>
    <cellStyle name="Normal 2 2 4 7 2" xfId="14583"/>
    <cellStyle name="Normal 2 2 4 8" xfId="5922"/>
    <cellStyle name="Normal 2 2 4 8 2" xfId="12815"/>
    <cellStyle name="Normal 2 2 4 9" xfId="10257"/>
    <cellStyle name="Normal 2 2 5" xfId="4113"/>
    <cellStyle name="Normal 2 2 5 2" xfId="4525"/>
    <cellStyle name="Normal 2 2 5 2 2" xfId="4935"/>
    <cellStyle name="Normal 2 2 5 2 2 2" xfId="8678"/>
    <cellStyle name="Normal 2 2 5 2 2 2 2" xfId="15226"/>
    <cellStyle name="Normal 2 2 5 2 2 3" xfId="6959"/>
    <cellStyle name="Normal 2 2 5 2 2 3 2" xfId="13645"/>
    <cellStyle name="Normal 2 2 5 2 2 4" xfId="11860"/>
    <cellStyle name="Normal 2 2 5 2 3" xfId="5352"/>
    <cellStyle name="Normal 2 2 5 2 3 2" xfId="9095"/>
    <cellStyle name="Normal 2 2 5 2 3 2 2" xfId="15639"/>
    <cellStyle name="Normal 2 2 5 2 3 3" xfId="7376"/>
    <cellStyle name="Normal 2 2 5 2 3 3 2" xfId="14058"/>
    <cellStyle name="Normal 2 2 5 2 3 4" xfId="12273"/>
    <cellStyle name="Normal 2 2 5 2 4" xfId="5790"/>
    <cellStyle name="Normal 2 2 5 2 4 2" xfId="9531"/>
    <cellStyle name="Normal 2 2 5 2 4 2 2" xfId="16033"/>
    <cellStyle name="Normal 2 2 5 2 4 3" xfId="7812"/>
    <cellStyle name="Normal 2 2 5 2 4 3 2" xfId="14452"/>
    <cellStyle name="Normal 2 2 5 2 4 4" xfId="12683"/>
    <cellStyle name="Normal 2 2 5 2 5" xfId="9931"/>
    <cellStyle name="Normal 2 2 5 2 5 2" xfId="16412"/>
    <cellStyle name="Normal 2 2 5 2 6" xfId="8289"/>
    <cellStyle name="Normal 2 2 5 2 6 2" xfId="14846"/>
    <cellStyle name="Normal 2 2 5 2 7" xfId="6570"/>
    <cellStyle name="Normal 2 2 5 2 7 2" xfId="13260"/>
    <cellStyle name="Normal 2 2 5 2 8" xfId="11470"/>
    <cellStyle name="Normal 2 2 5 3" xfId="4823"/>
    <cellStyle name="Normal 2 2 5 3 2" xfId="8566"/>
    <cellStyle name="Normal 2 2 5 3 2 2" xfId="15114"/>
    <cellStyle name="Normal 2 2 5 3 3" xfId="6847"/>
    <cellStyle name="Normal 2 2 5 3 3 2" xfId="13533"/>
    <cellStyle name="Normal 2 2 5 3 4" xfId="11748"/>
    <cellStyle name="Normal 2 2 5 4" xfId="5155"/>
    <cellStyle name="Normal 2 2 5 4 2" xfId="8898"/>
    <cellStyle name="Normal 2 2 5 4 2 2" xfId="15442"/>
    <cellStyle name="Normal 2 2 5 4 3" xfId="7179"/>
    <cellStyle name="Normal 2 2 5 4 3 2" xfId="13861"/>
    <cellStyle name="Normal 2 2 5 4 4" xfId="12076"/>
    <cellStyle name="Normal 2 2 5 5" xfId="5588"/>
    <cellStyle name="Normal 2 2 5 5 2" xfId="9329"/>
    <cellStyle name="Normal 2 2 5 5 2 2" xfId="15836"/>
    <cellStyle name="Normal 2 2 5 5 3" xfId="7610"/>
    <cellStyle name="Normal 2 2 5 5 3 2" xfId="14255"/>
    <cellStyle name="Normal 2 2 5 5 4" xfId="12481"/>
    <cellStyle name="Normal 2 2 5 6" xfId="9814"/>
    <cellStyle name="Normal 2 2 5 6 2" xfId="16300"/>
    <cellStyle name="Normal 2 2 5 7" xfId="8049"/>
    <cellStyle name="Normal 2 2 5 7 2" xfId="14649"/>
    <cellStyle name="Normal 2 2 5 8" xfId="6322"/>
    <cellStyle name="Normal 2 2 5 8 2" xfId="13045"/>
    <cellStyle name="Normal 2 2 5 9" xfId="11264"/>
    <cellStyle name="Normal 2 2 6" xfId="4405"/>
    <cellStyle name="Normal 2 2 6 2" xfId="4619"/>
    <cellStyle name="Normal 2 2 6 2 2" xfId="4937"/>
    <cellStyle name="Normal 2 2 6 2 2 2" xfId="8680"/>
    <cellStyle name="Normal 2 2 6 2 2 2 2" xfId="15228"/>
    <cellStyle name="Normal 2 2 6 2 2 3" xfId="6961"/>
    <cellStyle name="Normal 2 2 6 2 2 3 2" xfId="13647"/>
    <cellStyle name="Normal 2 2 6 2 2 4" xfId="11862"/>
    <cellStyle name="Normal 2 2 6 2 3" xfId="5446"/>
    <cellStyle name="Normal 2 2 6 2 3 2" xfId="9189"/>
    <cellStyle name="Normal 2 2 6 2 3 2 2" xfId="15733"/>
    <cellStyle name="Normal 2 2 6 2 3 3" xfId="7470"/>
    <cellStyle name="Normal 2 2 6 2 3 3 2" xfId="14152"/>
    <cellStyle name="Normal 2 2 6 2 3 4" xfId="12367"/>
    <cellStyle name="Normal 2 2 6 2 4" xfId="5884"/>
    <cellStyle name="Normal 2 2 6 2 4 2" xfId="9625"/>
    <cellStyle name="Normal 2 2 6 2 4 2 2" xfId="16127"/>
    <cellStyle name="Normal 2 2 6 2 4 3" xfId="7906"/>
    <cellStyle name="Normal 2 2 6 2 4 3 2" xfId="14546"/>
    <cellStyle name="Normal 2 2 6 2 4 4" xfId="12777"/>
    <cellStyle name="Normal 2 2 6 2 5" xfId="9933"/>
    <cellStyle name="Normal 2 2 6 2 5 2" xfId="16414"/>
    <cellStyle name="Normal 2 2 6 2 6" xfId="8383"/>
    <cellStyle name="Normal 2 2 6 2 6 2" xfId="14940"/>
    <cellStyle name="Normal 2 2 6 2 7" xfId="6664"/>
    <cellStyle name="Normal 2 2 6 2 7 2" xfId="13354"/>
    <cellStyle name="Normal 2 2 6 2 8" xfId="11564"/>
    <cellStyle name="Normal 2 2 6 3" xfId="4936"/>
    <cellStyle name="Normal 2 2 6 3 2" xfId="8679"/>
    <cellStyle name="Normal 2 2 6 3 2 2" xfId="15227"/>
    <cellStyle name="Normal 2 2 6 3 3" xfId="6960"/>
    <cellStyle name="Normal 2 2 6 3 3 2" xfId="13646"/>
    <cellStyle name="Normal 2 2 6 3 4" xfId="11861"/>
    <cellStyle name="Normal 2 2 6 4" xfId="5249"/>
    <cellStyle name="Normal 2 2 6 4 2" xfId="8992"/>
    <cellStyle name="Normal 2 2 6 4 2 2" xfId="15536"/>
    <cellStyle name="Normal 2 2 6 4 3" xfId="7273"/>
    <cellStyle name="Normal 2 2 6 4 3 2" xfId="13955"/>
    <cellStyle name="Normal 2 2 6 4 4" xfId="12170"/>
    <cellStyle name="Normal 2 2 6 5" xfId="5687"/>
    <cellStyle name="Normal 2 2 6 5 2" xfId="9428"/>
    <cellStyle name="Normal 2 2 6 5 2 2" xfId="15930"/>
    <cellStyle name="Normal 2 2 6 5 3" xfId="7709"/>
    <cellStyle name="Normal 2 2 6 5 3 2" xfId="14349"/>
    <cellStyle name="Normal 2 2 6 5 4" xfId="12580"/>
    <cellStyle name="Normal 2 2 6 6" xfId="9932"/>
    <cellStyle name="Normal 2 2 6 6 2" xfId="16413"/>
    <cellStyle name="Normal 2 2 6 7" xfId="8186"/>
    <cellStyle name="Normal 2 2 6 7 2" xfId="14743"/>
    <cellStyle name="Normal 2 2 6 8" xfId="6467"/>
    <cellStyle name="Normal 2 2 6 8 2" xfId="13157"/>
    <cellStyle name="Normal 2 2 6 9" xfId="11363"/>
    <cellStyle name="Normal 2 2 7" xfId="4422"/>
    <cellStyle name="Normal 2 2 7 2" xfId="4631"/>
    <cellStyle name="Normal 2 2 7 2 2" xfId="4939"/>
    <cellStyle name="Normal 2 2 7 2 2 2" xfId="8682"/>
    <cellStyle name="Normal 2 2 7 2 2 2 2" xfId="15230"/>
    <cellStyle name="Normal 2 2 7 2 2 3" xfId="6963"/>
    <cellStyle name="Normal 2 2 7 2 2 3 2" xfId="13649"/>
    <cellStyle name="Normal 2 2 7 2 2 4" xfId="11864"/>
    <cellStyle name="Normal 2 2 7 2 3" xfId="5458"/>
    <cellStyle name="Normal 2 2 7 2 3 2" xfId="9201"/>
    <cellStyle name="Normal 2 2 7 2 3 2 2" xfId="15745"/>
    <cellStyle name="Normal 2 2 7 2 3 3" xfId="7482"/>
    <cellStyle name="Normal 2 2 7 2 3 3 2" xfId="14164"/>
    <cellStyle name="Normal 2 2 7 2 3 4" xfId="12379"/>
    <cellStyle name="Normal 2 2 7 2 4" xfId="5896"/>
    <cellStyle name="Normal 2 2 7 2 4 2" xfId="9637"/>
    <cellStyle name="Normal 2 2 7 2 4 2 2" xfId="16139"/>
    <cellStyle name="Normal 2 2 7 2 4 3" xfId="7918"/>
    <cellStyle name="Normal 2 2 7 2 4 3 2" xfId="14558"/>
    <cellStyle name="Normal 2 2 7 2 4 4" xfId="12789"/>
    <cellStyle name="Normal 2 2 7 2 5" xfId="9935"/>
    <cellStyle name="Normal 2 2 7 2 5 2" xfId="16416"/>
    <cellStyle name="Normal 2 2 7 2 6" xfId="8395"/>
    <cellStyle name="Normal 2 2 7 2 6 2" xfId="14952"/>
    <cellStyle name="Normal 2 2 7 2 7" xfId="6676"/>
    <cellStyle name="Normal 2 2 7 2 7 2" xfId="13366"/>
    <cellStyle name="Normal 2 2 7 2 8" xfId="11576"/>
    <cellStyle name="Normal 2 2 7 3" xfId="4938"/>
    <cellStyle name="Normal 2 2 7 3 2" xfId="8681"/>
    <cellStyle name="Normal 2 2 7 3 2 2" xfId="15229"/>
    <cellStyle name="Normal 2 2 7 3 3" xfId="6962"/>
    <cellStyle name="Normal 2 2 7 3 3 2" xfId="13648"/>
    <cellStyle name="Normal 2 2 7 3 4" xfId="11863"/>
    <cellStyle name="Normal 2 2 7 4" xfId="5261"/>
    <cellStyle name="Normal 2 2 7 4 2" xfId="9004"/>
    <cellStyle name="Normal 2 2 7 4 2 2" xfId="15548"/>
    <cellStyle name="Normal 2 2 7 4 3" xfId="7285"/>
    <cellStyle name="Normal 2 2 7 4 3 2" xfId="13967"/>
    <cellStyle name="Normal 2 2 7 4 4" xfId="12182"/>
    <cellStyle name="Normal 2 2 7 5" xfId="5699"/>
    <cellStyle name="Normal 2 2 7 5 2" xfId="9440"/>
    <cellStyle name="Normal 2 2 7 5 2 2" xfId="15942"/>
    <cellStyle name="Normal 2 2 7 5 3" xfId="7721"/>
    <cellStyle name="Normal 2 2 7 5 3 2" xfId="14361"/>
    <cellStyle name="Normal 2 2 7 5 4" xfId="12592"/>
    <cellStyle name="Normal 2 2 7 6" xfId="9934"/>
    <cellStyle name="Normal 2 2 7 6 2" xfId="16415"/>
    <cellStyle name="Normal 2 2 7 7" xfId="8198"/>
    <cellStyle name="Normal 2 2 7 7 2" xfId="14755"/>
    <cellStyle name="Normal 2 2 7 8" xfId="6479"/>
    <cellStyle name="Normal 2 2 7 8 2" xfId="13169"/>
    <cellStyle name="Normal 2 2 7 9" xfId="11377"/>
    <cellStyle name="Normal 2 2 8" xfId="4449"/>
    <cellStyle name="Normal 2 2 8 2" xfId="4940"/>
    <cellStyle name="Normal 2 2 8 2 2" xfId="8683"/>
    <cellStyle name="Normal 2 2 8 2 2 2" xfId="15231"/>
    <cellStyle name="Normal 2 2 8 2 3" xfId="6964"/>
    <cellStyle name="Normal 2 2 8 2 3 2" xfId="13650"/>
    <cellStyle name="Normal 2 2 8 2 4" xfId="11865"/>
    <cellStyle name="Normal 2 2 8 3" xfId="5277"/>
    <cellStyle name="Normal 2 2 8 3 2" xfId="9020"/>
    <cellStyle name="Normal 2 2 8 3 2 2" xfId="15564"/>
    <cellStyle name="Normal 2 2 8 3 3" xfId="7301"/>
    <cellStyle name="Normal 2 2 8 3 3 2" xfId="13983"/>
    <cellStyle name="Normal 2 2 8 3 4" xfId="12198"/>
    <cellStyle name="Normal 2 2 8 4" xfId="5715"/>
    <cellStyle name="Normal 2 2 8 4 2" xfId="9456"/>
    <cellStyle name="Normal 2 2 8 4 2 2" xfId="15958"/>
    <cellStyle name="Normal 2 2 8 4 3" xfId="7737"/>
    <cellStyle name="Normal 2 2 8 4 3 2" xfId="14377"/>
    <cellStyle name="Normal 2 2 8 4 4" xfId="12608"/>
    <cellStyle name="Normal 2 2 8 5" xfId="9936"/>
    <cellStyle name="Normal 2 2 8 5 2" xfId="16417"/>
    <cellStyle name="Normal 2 2 8 6" xfId="8214"/>
    <cellStyle name="Normal 2 2 8 6 2" xfId="14771"/>
    <cellStyle name="Normal 2 2 8 7" xfId="6495"/>
    <cellStyle name="Normal 2 2 8 7 2" xfId="13185"/>
    <cellStyle name="Normal 2 2 8 8" xfId="11394"/>
    <cellStyle name="Normal 2 2 9" xfId="4677"/>
    <cellStyle name="Normal 2 2 9 2" xfId="8423"/>
    <cellStyle name="Normal 2 2 9 2 2" xfId="14975"/>
    <cellStyle name="Normal 2 2 9 3" xfId="6704"/>
    <cellStyle name="Normal 2 2 9 3 2" xfId="13394"/>
    <cellStyle name="Normal 2 2 9 4" xfId="11608"/>
    <cellStyle name="Normal 2 3" xfId="15"/>
    <cellStyle name="Normal 2 3 2" xfId="37"/>
    <cellStyle name="Normal 2 3 3" xfId="26"/>
    <cellStyle name="Normal 2 3 3 2" xfId="4461"/>
    <cellStyle name="Normal 2 3 3 2 2" xfId="4941"/>
    <cellStyle name="Normal 2 3 3 2 2 2" xfId="8684"/>
    <cellStyle name="Normal 2 3 3 2 2 2 2" xfId="15232"/>
    <cellStyle name="Normal 2 3 3 2 2 3" xfId="6965"/>
    <cellStyle name="Normal 2 3 3 2 2 3 2" xfId="13651"/>
    <cellStyle name="Normal 2 3 3 2 2 4" xfId="11866"/>
    <cellStyle name="Normal 2 3 3 2 3" xfId="5289"/>
    <cellStyle name="Normal 2 3 3 2 3 2" xfId="9032"/>
    <cellStyle name="Normal 2 3 3 2 3 2 2" xfId="15576"/>
    <cellStyle name="Normal 2 3 3 2 3 3" xfId="7313"/>
    <cellStyle name="Normal 2 3 3 2 3 3 2" xfId="13995"/>
    <cellStyle name="Normal 2 3 3 2 3 4" xfId="12210"/>
    <cellStyle name="Normal 2 3 3 2 4" xfId="5727"/>
    <cellStyle name="Normal 2 3 3 2 4 2" xfId="9468"/>
    <cellStyle name="Normal 2 3 3 2 4 2 2" xfId="15970"/>
    <cellStyle name="Normal 2 3 3 2 4 3" xfId="7749"/>
    <cellStyle name="Normal 2 3 3 2 4 3 2" xfId="14389"/>
    <cellStyle name="Normal 2 3 3 2 4 4" xfId="12620"/>
    <cellStyle name="Normal 2 3 3 2 5" xfId="9937"/>
    <cellStyle name="Normal 2 3 3 2 5 2" xfId="16418"/>
    <cellStyle name="Normal 2 3 3 2 6" xfId="8226"/>
    <cellStyle name="Normal 2 3 3 2 6 2" xfId="14783"/>
    <cellStyle name="Normal 2 3 3 2 7" xfId="6507"/>
    <cellStyle name="Normal 2 3 3 2 7 2" xfId="13197"/>
    <cellStyle name="Normal 2 3 3 2 8" xfId="11406"/>
    <cellStyle name="Normal 2 3 3 3" xfId="4772"/>
    <cellStyle name="Normal 2 3 3 3 2" xfId="8515"/>
    <cellStyle name="Normal 2 3 3 3 2 2" xfId="15067"/>
    <cellStyle name="Normal 2 3 3 3 3" xfId="6796"/>
    <cellStyle name="Normal 2 3 3 3 3 2" xfId="13486"/>
    <cellStyle name="Normal 2 3 3 3 4" xfId="11701"/>
    <cellStyle name="Normal 2 3 3 4" xfId="5088"/>
    <cellStyle name="Normal 2 3 3 4 2" xfId="8831"/>
    <cellStyle name="Normal 2 3 3 4 2 2" xfId="15379"/>
    <cellStyle name="Normal 2 3 3 4 3" xfId="7112"/>
    <cellStyle name="Normal 2 3 3 4 3 2" xfId="13798"/>
    <cellStyle name="Normal 2 3 3 4 4" xfId="12013"/>
    <cellStyle name="Normal 2 3 3 5" xfId="5525"/>
    <cellStyle name="Normal 2 3 3 5 2" xfId="9266"/>
    <cellStyle name="Normal 2 3 3 5 2 2" xfId="15773"/>
    <cellStyle name="Normal 2 3 3 5 3" xfId="7547"/>
    <cellStyle name="Normal 2 3 3 5 3 2" xfId="14192"/>
    <cellStyle name="Normal 2 3 3 5 4" xfId="12418"/>
    <cellStyle name="Normal 2 3 3 6" xfId="9762"/>
    <cellStyle name="Normal 2 3 3 6 2" xfId="16253"/>
    <cellStyle name="Normal 2 3 3 7" xfId="7946"/>
    <cellStyle name="Normal 2 3 3 7 2" xfId="14586"/>
    <cellStyle name="Normal 2 3 3 8" xfId="5925"/>
    <cellStyle name="Normal 2 3 3 8 2" xfId="12818"/>
    <cellStyle name="Normal 2 3 3 9" xfId="10260"/>
    <cellStyle name="Normal 2 3 4" xfId="4114"/>
    <cellStyle name="Normal 2 3 4 2" xfId="4526"/>
    <cellStyle name="Normal 2 3 4 2 2" xfId="4942"/>
    <cellStyle name="Normal 2 3 4 2 2 2" xfId="8685"/>
    <cellStyle name="Normal 2 3 4 2 2 2 2" xfId="15233"/>
    <cellStyle name="Normal 2 3 4 2 2 3" xfId="6966"/>
    <cellStyle name="Normal 2 3 4 2 2 3 2" xfId="13652"/>
    <cellStyle name="Normal 2 3 4 2 2 4" xfId="11867"/>
    <cellStyle name="Normal 2 3 4 2 3" xfId="5353"/>
    <cellStyle name="Normal 2 3 4 2 3 2" xfId="9096"/>
    <cellStyle name="Normal 2 3 4 2 3 2 2" xfId="15640"/>
    <cellStyle name="Normal 2 3 4 2 3 3" xfId="7377"/>
    <cellStyle name="Normal 2 3 4 2 3 3 2" xfId="14059"/>
    <cellStyle name="Normal 2 3 4 2 3 4" xfId="12274"/>
    <cellStyle name="Normal 2 3 4 2 4" xfId="5791"/>
    <cellStyle name="Normal 2 3 4 2 4 2" xfId="9532"/>
    <cellStyle name="Normal 2 3 4 2 4 2 2" xfId="16034"/>
    <cellStyle name="Normal 2 3 4 2 4 3" xfId="7813"/>
    <cellStyle name="Normal 2 3 4 2 4 3 2" xfId="14453"/>
    <cellStyle name="Normal 2 3 4 2 4 4" xfId="12684"/>
    <cellStyle name="Normal 2 3 4 2 5" xfId="9938"/>
    <cellStyle name="Normal 2 3 4 2 5 2" xfId="16419"/>
    <cellStyle name="Normal 2 3 4 2 6" xfId="8290"/>
    <cellStyle name="Normal 2 3 4 2 6 2" xfId="14847"/>
    <cellStyle name="Normal 2 3 4 2 7" xfId="6571"/>
    <cellStyle name="Normal 2 3 4 2 7 2" xfId="13261"/>
    <cellStyle name="Normal 2 3 4 2 8" xfId="11471"/>
    <cellStyle name="Normal 2 3 4 3" xfId="4826"/>
    <cellStyle name="Normal 2 3 4 3 2" xfId="8569"/>
    <cellStyle name="Normal 2 3 4 3 2 2" xfId="15117"/>
    <cellStyle name="Normal 2 3 4 3 3" xfId="6850"/>
    <cellStyle name="Normal 2 3 4 3 3 2" xfId="13536"/>
    <cellStyle name="Normal 2 3 4 3 4" xfId="11751"/>
    <cellStyle name="Normal 2 3 4 4" xfId="5156"/>
    <cellStyle name="Normal 2 3 4 4 2" xfId="8899"/>
    <cellStyle name="Normal 2 3 4 4 2 2" xfId="15443"/>
    <cellStyle name="Normal 2 3 4 4 3" xfId="7180"/>
    <cellStyle name="Normal 2 3 4 4 3 2" xfId="13862"/>
    <cellStyle name="Normal 2 3 4 4 4" xfId="12077"/>
    <cellStyle name="Normal 2 3 4 5" xfId="5589"/>
    <cellStyle name="Normal 2 3 4 5 2" xfId="9330"/>
    <cellStyle name="Normal 2 3 4 5 2 2" xfId="15837"/>
    <cellStyle name="Normal 2 3 4 5 3" xfId="7611"/>
    <cellStyle name="Normal 2 3 4 5 3 2" xfId="14256"/>
    <cellStyle name="Normal 2 3 4 5 4" xfId="12482"/>
    <cellStyle name="Normal 2 3 4 6" xfId="9817"/>
    <cellStyle name="Normal 2 3 4 6 2" xfId="16303"/>
    <cellStyle name="Normal 2 3 4 7" xfId="8050"/>
    <cellStyle name="Normal 2 3 4 7 2" xfId="14650"/>
    <cellStyle name="Normal 2 3 4 8" xfId="6323"/>
    <cellStyle name="Normal 2 3 4 8 2" xfId="13046"/>
    <cellStyle name="Normal 2 3 4 9" xfId="11265"/>
    <cellStyle name="Normal 2 3 5" xfId="4681"/>
    <cellStyle name="Normal 2 3 5 2" xfId="8427"/>
    <cellStyle name="Normal 2 3 5 2 2" xfId="14979"/>
    <cellStyle name="Normal 2 3 5 3" xfId="6708"/>
    <cellStyle name="Normal 2 3 5 3 2" xfId="13398"/>
    <cellStyle name="Normal 2 3 5 4" xfId="11612"/>
    <cellStyle name="Normal 2 3 6" xfId="9661"/>
    <cellStyle name="Normal 2 3 6 2" xfId="16163"/>
    <cellStyle name="Normal 2 4" xfId="32"/>
    <cellStyle name="Normal 2 4 10" xfId="5931"/>
    <cellStyle name="Normal 2 4 10 2" xfId="12824"/>
    <cellStyle name="Normal 2 4 11" xfId="10266"/>
    <cellStyle name="Normal 2 4 2" xfId="4115"/>
    <cellStyle name="Normal 2 4 2 2" xfId="4527"/>
    <cellStyle name="Normal 2 4 2 2 2" xfId="4943"/>
    <cellStyle name="Normal 2 4 2 2 2 2" xfId="8686"/>
    <cellStyle name="Normal 2 4 2 2 2 2 2" xfId="15234"/>
    <cellStyle name="Normal 2 4 2 2 2 3" xfId="6967"/>
    <cellStyle name="Normal 2 4 2 2 2 3 2" xfId="13653"/>
    <cellStyle name="Normal 2 4 2 2 2 4" xfId="11868"/>
    <cellStyle name="Normal 2 4 2 2 3" xfId="5354"/>
    <cellStyle name="Normal 2 4 2 2 3 2" xfId="9097"/>
    <cellStyle name="Normal 2 4 2 2 3 2 2" xfId="15641"/>
    <cellStyle name="Normal 2 4 2 2 3 3" xfId="7378"/>
    <cellStyle name="Normal 2 4 2 2 3 3 2" xfId="14060"/>
    <cellStyle name="Normal 2 4 2 2 3 4" xfId="12275"/>
    <cellStyle name="Normal 2 4 2 2 4" xfId="5792"/>
    <cellStyle name="Normal 2 4 2 2 4 2" xfId="9533"/>
    <cellStyle name="Normal 2 4 2 2 4 2 2" xfId="16035"/>
    <cellStyle name="Normal 2 4 2 2 4 3" xfId="7814"/>
    <cellStyle name="Normal 2 4 2 2 4 3 2" xfId="14454"/>
    <cellStyle name="Normal 2 4 2 2 4 4" xfId="12685"/>
    <cellStyle name="Normal 2 4 2 2 5" xfId="9939"/>
    <cellStyle name="Normal 2 4 2 2 5 2" xfId="16420"/>
    <cellStyle name="Normal 2 4 2 2 6" xfId="8291"/>
    <cellStyle name="Normal 2 4 2 2 6 2" xfId="14848"/>
    <cellStyle name="Normal 2 4 2 2 7" xfId="6572"/>
    <cellStyle name="Normal 2 4 2 2 7 2" xfId="13262"/>
    <cellStyle name="Normal 2 4 2 2 8" xfId="11472"/>
    <cellStyle name="Normal 2 4 2 3" xfId="4773"/>
    <cellStyle name="Normal 2 4 2 3 2" xfId="8516"/>
    <cellStyle name="Normal 2 4 2 3 2 2" xfId="15068"/>
    <cellStyle name="Normal 2 4 2 3 3" xfId="6797"/>
    <cellStyle name="Normal 2 4 2 3 3 2" xfId="13487"/>
    <cellStyle name="Normal 2 4 2 3 4" xfId="11702"/>
    <cellStyle name="Normal 2 4 2 4" xfId="5157"/>
    <cellStyle name="Normal 2 4 2 4 2" xfId="8900"/>
    <cellStyle name="Normal 2 4 2 4 2 2" xfId="15444"/>
    <cellStyle name="Normal 2 4 2 4 3" xfId="7181"/>
    <cellStyle name="Normal 2 4 2 4 3 2" xfId="13863"/>
    <cellStyle name="Normal 2 4 2 4 4" xfId="12078"/>
    <cellStyle name="Normal 2 4 2 5" xfId="5590"/>
    <cellStyle name="Normal 2 4 2 5 2" xfId="9331"/>
    <cellStyle name="Normal 2 4 2 5 2 2" xfId="15838"/>
    <cellStyle name="Normal 2 4 2 5 3" xfId="7612"/>
    <cellStyle name="Normal 2 4 2 5 3 2" xfId="14257"/>
    <cellStyle name="Normal 2 4 2 5 4" xfId="12483"/>
    <cellStyle name="Normal 2 4 2 6" xfId="9763"/>
    <cellStyle name="Normal 2 4 2 6 2" xfId="16254"/>
    <cellStyle name="Normal 2 4 2 7" xfId="8051"/>
    <cellStyle name="Normal 2 4 2 7 2" xfId="14651"/>
    <cellStyle name="Normal 2 4 2 8" xfId="6324"/>
    <cellStyle name="Normal 2 4 2 8 2" xfId="13047"/>
    <cellStyle name="Normal 2 4 2 9" xfId="11266"/>
    <cellStyle name="Normal 2 4 3" xfId="4116"/>
    <cellStyle name="Normal 2 4 3 2" xfId="4528"/>
    <cellStyle name="Normal 2 4 3 2 2" xfId="4944"/>
    <cellStyle name="Normal 2 4 3 2 2 2" xfId="8687"/>
    <cellStyle name="Normal 2 4 3 2 2 2 2" xfId="15235"/>
    <cellStyle name="Normal 2 4 3 2 2 3" xfId="6968"/>
    <cellStyle name="Normal 2 4 3 2 2 3 2" xfId="13654"/>
    <cellStyle name="Normal 2 4 3 2 2 4" xfId="11869"/>
    <cellStyle name="Normal 2 4 3 2 3" xfId="5355"/>
    <cellStyle name="Normal 2 4 3 2 3 2" xfId="9098"/>
    <cellStyle name="Normal 2 4 3 2 3 2 2" xfId="15642"/>
    <cellStyle name="Normal 2 4 3 2 3 3" xfId="7379"/>
    <cellStyle name="Normal 2 4 3 2 3 3 2" xfId="14061"/>
    <cellStyle name="Normal 2 4 3 2 3 4" xfId="12276"/>
    <cellStyle name="Normal 2 4 3 2 4" xfId="5793"/>
    <cellStyle name="Normal 2 4 3 2 4 2" xfId="9534"/>
    <cellStyle name="Normal 2 4 3 2 4 2 2" xfId="16036"/>
    <cellStyle name="Normal 2 4 3 2 4 3" xfId="7815"/>
    <cellStyle name="Normal 2 4 3 2 4 3 2" xfId="14455"/>
    <cellStyle name="Normal 2 4 3 2 4 4" xfId="12686"/>
    <cellStyle name="Normal 2 4 3 2 5" xfId="9940"/>
    <cellStyle name="Normal 2 4 3 2 5 2" xfId="16421"/>
    <cellStyle name="Normal 2 4 3 2 6" xfId="8292"/>
    <cellStyle name="Normal 2 4 3 2 6 2" xfId="14849"/>
    <cellStyle name="Normal 2 4 3 2 7" xfId="6573"/>
    <cellStyle name="Normal 2 4 3 2 7 2" xfId="13263"/>
    <cellStyle name="Normal 2 4 3 2 8" xfId="11473"/>
    <cellStyle name="Normal 2 4 3 3" xfId="4832"/>
    <cellStyle name="Normal 2 4 3 3 2" xfId="8575"/>
    <cellStyle name="Normal 2 4 3 3 2 2" xfId="15123"/>
    <cellStyle name="Normal 2 4 3 3 3" xfId="6856"/>
    <cellStyle name="Normal 2 4 3 3 3 2" xfId="13542"/>
    <cellStyle name="Normal 2 4 3 3 4" xfId="11757"/>
    <cellStyle name="Normal 2 4 3 4" xfId="5158"/>
    <cellStyle name="Normal 2 4 3 4 2" xfId="8901"/>
    <cellStyle name="Normal 2 4 3 4 2 2" xfId="15445"/>
    <cellStyle name="Normal 2 4 3 4 3" xfId="7182"/>
    <cellStyle name="Normal 2 4 3 4 3 2" xfId="13864"/>
    <cellStyle name="Normal 2 4 3 4 4" xfId="12079"/>
    <cellStyle name="Normal 2 4 3 5" xfId="5591"/>
    <cellStyle name="Normal 2 4 3 5 2" xfId="9332"/>
    <cellStyle name="Normal 2 4 3 5 2 2" xfId="15839"/>
    <cellStyle name="Normal 2 4 3 5 3" xfId="7613"/>
    <cellStyle name="Normal 2 4 3 5 3 2" xfId="14258"/>
    <cellStyle name="Normal 2 4 3 5 4" xfId="12484"/>
    <cellStyle name="Normal 2 4 3 6" xfId="9823"/>
    <cellStyle name="Normal 2 4 3 6 2" xfId="16309"/>
    <cellStyle name="Normal 2 4 3 7" xfId="8052"/>
    <cellStyle name="Normal 2 4 3 7 2" xfId="14652"/>
    <cellStyle name="Normal 2 4 3 8" xfId="6325"/>
    <cellStyle name="Normal 2 4 3 8 2" xfId="13048"/>
    <cellStyle name="Normal 2 4 3 9" xfId="11267"/>
    <cellStyle name="Normal 2 4 4" xfId="4467"/>
    <cellStyle name="Normal 2 4 4 2" xfId="4945"/>
    <cellStyle name="Normal 2 4 4 2 2" xfId="8688"/>
    <cellStyle name="Normal 2 4 4 2 2 2" xfId="15236"/>
    <cellStyle name="Normal 2 4 4 2 3" xfId="6969"/>
    <cellStyle name="Normal 2 4 4 2 3 2" xfId="13655"/>
    <cellStyle name="Normal 2 4 4 2 4" xfId="11870"/>
    <cellStyle name="Normal 2 4 4 3" xfId="5295"/>
    <cellStyle name="Normal 2 4 4 3 2" xfId="9038"/>
    <cellStyle name="Normal 2 4 4 3 2 2" xfId="15582"/>
    <cellStyle name="Normal 2 4 4 3 3" xfId="7319"/>
    <cellStyle name="Normal 2 4 4 3 3 2" xfId="14001"/>
    <cellStyle name="Normal 2 4 4 3 4" xfId="12216"/>
    <cellStyle name="Normal 2 4 4 4" xfId="5733"/>
    <cellStyle name="Normal 2 4 4 4 2" xfId="9474"/>
    <cellStyle name="Normal 2 4 4 4 2 2" xfId="15976"/>
    <cellStyle name="Normal 2 4 4 4 3" xfId="7755"/>
    <cellStyle name="Normal 2 4 4 4 3 2" xfId="14395"/>
    <cellStyle name="Normal 2 4 4 4 4" xfId="12626"/>
    <cellStyle name="Normal 2 4 4 5" xfId="9941"/>
    <cellStyle name="Normal 2 4 4 5 2" xfId="16422"/>
    <cellStyle name="Normal 2 4 4 6" xfId="8232"/>
    <cellStyle name="Normal 2 4 4 6 2" xfId="14789"/>
    <cellStyle name="Normal 2 4 4 7" xfId="6513"/>
    <cellStyle name="Normal 2 4 4 7 2" xfId="13203"/>
    <cellStyle name="Normal 2 4 4 8" xfId="11412"/>
    <cellStyle name="Normal 2 4 5" xfId="4682"/>
    <cellStyle name="Normal 2 4 5 2" xfId="8428"/>
    <cellStyle name="Normal 2 4 5 2 2" xfId="14980"/>
    <cellStyle name="Normal 2 4 5 3" xfId="6709"/>
    <cellStyle name="Normal 2 4 5 3 2" xfId="13399"/>
    <cellStyle name="Normal 2 4 5 4" xfId="11613"/>
    <cellStyle name="Normal 2 4 6" xfId="5094"/>
    <cellStyle name="Normal 2 4 6 2" xfId="8837"/>
    <cellStyle name="Normal 2 4 6 2 2" xfId="15385"/>
    <cellStyle name="Normal 2 4 6 3" xfId="7118"/>
    <cellStyle name="Normal 2 4 6 3 2" xfId="13804"/>
    <cellStyle name="Normal 2 4 6 4" xfId="12019"/>
    <cellStyle name="Normal 2 4 7" xfId="5531"/>
    <cellStyle name="Normal 2 4 7 2" xfId="9272"/>
    <cellStyle name="Normal 2 4 7 2 2" xfId="15779"/>
    <cellStyle name="Normal 2 4 7 3" xfId="7553"/>
    <cellStyle name="Normal 2 4 7 3 2" xfId="14198"/>
    <cellStyle name="Normal 2 4 7 4" xfId="12424"/>
    <cellStyle name="Normal 2 4 8" xfId="9662"/>
    <cellStyle name="Normal 2 4 8 2" xfId="16164"/>
    <cellStyle name="Normal 2 4 9" xfId="7952"/>
    <cellStyle name="Normal 2 4 9 2" xfId="14592"/>
    <cellStyle name="Normal 2 5" xfId="4404"/>
    <cellStyle name="Normal 2 5 2" xfId="4618"/>
    <cellStyle name="Normal 2 5 2 2" xfId="4947"/>
    <cellStyle name="Normal 2 5 2 2 2" xfId="8690"/>
    <cellStyle name="Normal 2 5 2 2 2 2" xfId="15238"/>
    <cellStyle name="Normal 2 5 2 2 3" xfId="6971"/>
    <cellStyle name="Normal 2 5 2 2 3 2" xfId="13657"/>
    <cellStyle name="Normal 2 5 2 2 4" xfId="11872"/>
    <cellStyle name="Normal 2 5 2 3" xfId="5445"/>
    <cellStyle name="Normal 2 5 2 3 2" xfId="9188"/>
    <cellStyle name="Normal 2 5 2 3 2 2" xfId="15732"/>
    <cellStyle name="Normal 2 5 2 3 3" xfId="7469"/>
    <cellStyle name="Normal 2 5 2 3 3 2" xfId="14151"/>
    <cellStyle name="Normal 2 5 2 3 4" xfId="12366"/>
    <cellStyle name="Normal 2 5 2 4" xfId="5883"/>
    <cellStyle name="Normal 2 5 2 4 15 2 4" xfId="4117"/>
    <cellStyle name="Normal 2 5 2 4 2" xfId="9624"/>
    <cellStyle name="Normal 2 5 2 4 2 2" xfId="16126"/>
    <cellStyle name="Normal 2 5 2 4 3" xfId="7905"/>
    <cellStyle name="Normal 2 5 2 4 3 2" xfId="14545"/>
    <cellStyle name="Normal 2 5 2 4 4" xfId="12776"/>
    <cellStyle name="Normal 2 5 2 5" xfId="9943"/>
    <cellStyle name="Normal 2 5 2 5 2" xfId="16424"/>
    <cellStyle name="Normal 2 5 2 6" xfId="8382"/>
    <cellStyle name="Normal 2 5 2 6 2" xfId="14939"/>
    <cellStyle name="Normal 2 5 2 7" xfId="6663"/>
    <cellStyle name="Normal 2 5 2 7 2" xfId="13353"/>
    <cellStyle name="Normal 2 5 2 8" xfId="11563"/>
    <cellStyle name="Normal 2 5 3" xfId="4946"/>
    <cellStyle name="Normal 2 5 3 2" xfId="8689"/>
    <cellStyle name="Normal 2 5 3 2 2" xfId="15237"/>
    <cellStyle name="Normal 2 5 3 3" xfId="6970"/>
    <cellStyle name="Normal 2 5 3 3 2" xfId="13656"/>
    <cellStyle name="Normal 2 5 3 4" xfId="11871"/>
    <cellStyle name="Normal 2 5 4" xfId="5248"/>
    <cellStyle name="Normal 2 5 4 2" xfId="8991"/>
    <cellStyle name="Normal 2 5 4 2 2" xfId="15535"/>
    <cellStyle name="Normal 2 5 4 3" xfId="7272"/>
    <cellStyle name="Normal 2 5 4 3 2" xfId="13954"/>
    <cellStyle name="Normal 2 5 4 4" xfId="12169"/>
    <cellStyle name="Normal 2 5 5" xfId="5686"/>
    <cellStyle name="Normal 2 5 5 2" xfId="9427"/>
    <cellStyle name="Normal 2 5 5 2 2" xfId="15929"/>
    <cellStyle name="Normal 2 5 5 3" xfId="7708"/>
    <cellStyle name="Normal 2 5 5 3 2" xfId="14348"/>
    <cellStyle name="Normal 2 5 5 4" xfId="12579"/>
    <cellStyle name="Normal 2 5 6" xfId="9942"/>
    <cellStyle name="Normal 2 5 6 2" xfId="16423"/>
    <cellStyle name="Normal 2 5 7" xfId="8185"/>
    <cellStyle name="Normal 2 5 7 2" xfId="14742"/>
    <cellStyle name="Normal 2 5 8" xfId="6466"/>
    <cellStyle name="Normal 2 5 8 2" xfId="13156"/>
    <cellStyle name="Normal 2 5 9" xfId="11362"/>
    <cellStyle name="Normal 2 6" xfId="4421"/>
    <cellStyle name="Normal 2 6 2" xfId="4630"/>
    <cellStyle name="Normal 2 6 2 2" xfId="4949"/>
    <cellStyle name="Normal 2 6 2 2 2" xfId="8692"/>
    <cellStyle name="Normal 2 6 2 2 2 2" xfId="15240"/>
    <cellStyle name="Normal 2 6 2 2 3" xfId="6973"/>
    <cellStyle name="Normal 2 6 2 2 3 2" xfId="13659"/>
    <cellStyle name="Normal 2 6 2 2 4" xfId="11874"/>
    <cellStyle name="Normal 2 6 2 3" xfId="5457"/>
    <cellStyle name="Normal 2 6 2 3 2" xfId="9200"/>
    <cellStyle name="Normal 2 6 2 3 2 2" xfId="15744"/>
    <cellStyle name="Normal 2 6 2 3 3" xfId="7481"/>
    <cellStyle name="Normal 2 6 2 3 3 2" xfId="14163"/>
    <cellStyle name="Normal 2 6 2 3 4" xfId="12378"/>
    <cellStyle name="Normal 2 6 2 4" xfId="5895"/>
    <cellStyle name="Normal 2 6 2 4 2" xfId="9636"/>
    <cellStyle name="Normal 2 6 2 4 2 2" xfId="16138"/>
    <cellStyle name="Normal 2 6 2 4 3" xfId="7917"/>
    <cellStyle name="Normal 2 6 2 4 3 2" xfId="14557"/>
    <cellStyle name="Normal 2 6 2 4 4" xfId="12788"/>
    <cellStyle name="Normal 2 6 2 5" xfId="9945"/>
    <cellStyle name="Normal 2 6 2 5 2" xfId="16426"/>
    <cellStyle name="Normal 2 6 2 6" xfId="8394"/>
    <cellStyle name="Normal 2 6 2 6 2" xfId="14951"/>
    <cellStyle name="Normal 2 6 2 7" xfId="6675"/>
    <cellStyle name="Normal 2 6 2 7 2" xfId="13365"/>
    <cellStyle name="Normal 2 6 2 8" xfId="11575"/>
    <cellStyle name="Normal 2 6 3" xfId="4948"/>
    <cellStyle name="Normal 2 6 3 2" xfId="8691"/>
    <cellStyle name="Normal 2 6 3 2 2" xfId="15239"/>
    <cellStyle name="Normal 2 6 3 3" xfId="6972"/>
    <cellStyle name="Normal 2 6 3 3 2" xfId="13658"/>
    <cellStyle name="Normal 2 6 3 4" xfId="11873"/>
    <cellStyle name="Normal 2 6 4" xfId="5260"/>
    <cellStyle name="Normal 2 6 4 2" xfId="9003"/>
    <cellStyle name="Normal 2 6 4 2 2" xfId="15547"/>
    <cellStyle name="Normal 2 6 4 3" xfId="7284"/>
    <cellStyle name="Normal 2 6 4 3 2" xfId="13966"/>
    <cellStyle name="Normal 2 6 4 4" xfId="12181"/>
    <cellStyle name="Normal 2 6 5" xfId="5698"/>
    <cellStyle name="Normal 2 6 5 2" xfId="9439"/>
    <cellStyle name="Normal 2 6 5 2 2" xfId="15941"/>
    <cellStyle name="Normal 2 6 5 3" xfId="7720"/>
    <cellStyle name="Normal 2 6 5 3 2" xfId="14360"/>
    <cellStyle name="Normal 2 6 5 4" xfId="12591"/>
    <cellStyle name="Normal 2 6 6" xfId="9944"/>
    <cellStyle name="Normal 2 6 6 2" xfId="16425"/>
    <cellStyle name="Normal 2 6 7" xfId="8197"/>
    <cellStyle name="Normal 2 6 7 2" xfId="14754"/>
    <cellStyle name="Normal 2 6 8" xfId="6478"/>
    <cellStyle name="Normal 2 6 8 2" xfId="13168"/>
    <cellStyle name="Normal 2 6 9" xfId="11376"/>
    <cellStyle name="Normal 2 7" xfId="4448"/>
    <cellStyle name="Normal 2 7 2" xfId="4950"/>
    <cellStyle name="Normal 2 7 2 2" xfId="8693"/>
    <cellStyle name="Normal 2 7 2 2 2" xfId="15241"/>
    <cellStyle name="Normal 2 7 2 3" xfId="6974"/>
    <cellStyle name="Normal 2 7 2 3 2" xfId="13660"/>
    <cellStyle name="Normal 2 7 2 4" xfId="11875"/>
    <cellStyle name="Normal 2 7 3" xfId="5276"/>
    <cellStyle name="Normal 2 7 3 2" xfId="9019"/>
    <cellStyle name="Normal 2 7 3 2 2" xfId="15563"/>
    <cellStyle name="Normal 2 7 3 3" xfId="7300"/>
    <cellStyle name="Normal 2 7 3 3 2" xfId="13982"/>
    <cellStyle name="Normal 2 7 3 4" xfId="12197"/>
    <cellStyle name="Normal 2 7 4" xfId="5714"/>
    <cellStyle name="Normal 2 7 4 2" xfId="9455"/>
    <cellStyle name="Normal 2 7 4 2 2" xfId="15957"/>
    <cellStyle name="Normal 2 7 4 3" xfId="7736"/>
    <cellStyle name="Normal 2 7 4 3 2" xfId="14376"/>
    <cellStyle name="Normal 2 7 4 4" xfId="12607"/>
    <cellStyle name="Normal 2 7 5" xfId="9946"/>
    <cellStyle name="Normal 2 7 5 2" xfId="16427"/>
    <cellStyle name="Normal 2 7 6" xfId="8213"/>
    <cellStyle name="Normal 2 7 6 2" xfId="14770"/>
    <cellStyle name="Normal 2 7 7" xfId="6494"/>
    <cellStyle name="Normal 2 7 7 2" xfId="13184"/>
    <cellStyle name="Normal 2 7 8" xfId="11393"/>
    <cellStyle name="Normal 2 8" xfId="5075"/>
    <cellStyle name="Normal 2 8 2" xfId="8818"/>
    <cellStyle name="Normal 2 8 2 2" xfId="15366"/>
    <cellStyle name="Normal 2 8 3" xfId="7099"/>
    <cellStyle name="Normal 2 8 3 2" xfId="13785"/>
    <cellStyle name="Normal 2 8 4" xfId="12000"/>
    <cellStyle name="Normal 2 9" xfId="5512"/>
    <cellStyle name="Normal 2 9 2" xfId="9253"/>
    <cellStyle name="Normal 2 9 2 2" xfId="15760"/>
    <cellStyle name="Normal 2 9 3" xfId="7534"/>
    <cellStyle name="Normal 2 9 3 2" xfId="14179"/>
    <cellStyle name="Normal 2 9 4" xfId="12405"/>
    <cellStyle name="Normal 20" xfId="4118"/>
    <cellStyle name="Normal 20 10" xfId="6326"/>
    <cellStyle name="Normal 20 10 2" xfId="13049"/>
    <cellStyle name="Normal 20 11" xfId="11268"/>
    <cellStyle name="Normal 20 2" xfId="4119"/>
    <cellStyle name="Normal 20 2 2" xfId="4530"/>
    <cellStyle name="Normal 20 2 2 2" xfId="4951"/>
    <cellStyle name="Normal 20 2 2 2 2" xfId="8694"/>
    <cellStyle name="Normal 20 2 2 2 2 2" xfId="15242"/>
    <cellStyle name="Normal 20 2 2 2 3" xfId="6975"/>
    <cellStyle name="Normal 20 2 2 2 3 2" xfId="13661"/>
    <cellStyle name="Normal 20 2 2 2 4" xfId="11876"/>
    <cellStyle name="Normal 20 2 2 3" xfId="5357"/>
    <cellStyle name="Normal 20 2 2 3 2" xfId="9100"/>
    <cellStyle name="Normal 20 2 2 3 2 2" xfId="15644"/>
    <cellStyle name="Normal 20 2 2 3 3" xfId="7381"/>
    <cellStyle name="Normal 20 2 2 3 3 2" xfId="14063"/>
    <cellStyle name="Normal 20 2 2 3 4" xfId="12278"/>
    <cellStyle name="Normal 20 2 2 4" xfId="5795"/>
    <cellStyle name="Normal 20 2 2 4 2" xfId="9536"/>
    <cellStyle name="Normal 20 2 2 4 2 2" xfId="16038"/>
    <cellStyle name="Normal 20 2 2 4 3" xfId="7817"/>
    <cellStyle name="Normal 20 2 2 4 3 2" xfId="14457"/>
    <cellStyle name="Normal 20 2 2 4 4" xfId="12688"/>
    <cellStyle name="Normal 20 2 2 5" xfId="9947"/>
    <cellStyle name="Normal 20 2 2 5 2" xfId="16428"/>
    <cellStyle name="Normal 20 2 2 6" xfId="8294"/>
    <cellStyle name="Normal 20 2 2 6 2" xfId="14851"/>
    <cellStyle name="Normal 20 2 2 7" xfId="6575"/>
    <cellStyle name="Normal 20 2 2 7 2" xfId="13265"/>
    <cellStyle name="Normal 20 2 2 8" xfId="11475"/>
    <cellStyle name="Normal 20 2 3" xfId="4802"/>
    <cellStyle name="Normal 20 2 3 2" xfId="8545"/>
    <cellStyle name="Normal 20 2 3 2 2" xfId="15097"/>
    <cellStyle name="Normal 20 2 3 3" xfId="6826"/>
    <cellStyle name="Normal 20 2 3 3 2" xfId="13516"/>
    <cellStyle name="Normal 20 2 3 4" xfId="11731"/>
    <cellStyle name="Normal 20 2 4" xfId="5160"/>
    <cellStyle name="Normal 20 2 4 2" xfId="8903"/>
    <cellStyle name="Normal 20 2 4 2 2" xfId="15447"/>
    <cellStyle name="Normal 20 2 4 3" xfId="7184"/>
    <cellStyle name="Normal 20 2 4 3 2" xfId="13866"/>
    <cellStyle name="Normal 20 2 4 4" xfId="12081"/>
    <cellStyle name="Normal 20 2 5" xfId="5593"/>
    <cellStyle name="Normal 20 2 5 2" xfId="9334"/>
    <cellStyle name="Normal 20 2 5 2 2" xfId="15841"/>
    <cellStyle name="Normal 20 2 5 3" xfId="7615"/>
    <cellStyle name="Normal 20 2 5 3 2" xfId="14260"/>
    <cellStyle name="Normal 20 2 5 4" xfId="12486"/>
    <cellStyle name="Normal 20 2 6" xfId="9792"/>
    <cellStyle name="Normal 20 2 6 2" xfId="16283"/>
    <cellStyle name="Normal 20 2 7" xfId="8054"/>
    <cellStyle name="Normal 20 2 7 2" xfId="14654"/>
    <cellStyle name="Normal 20 2 8" xfId="6327"/>
    <cellStyle name="Normal 20 2 8 2" xfId="13050"/>
    <cellStyle name="Normal 20 2 9" xfId="11269"/>
    <cellStyle name="Normal 20 3" xfId="4120"/>
    <cellStyle name="Normal 20 4" xfId="4529"/>
    <cellStyle name="Normal 20 4 2" xfId="4952"/>
    <cellStyle name="Normal 20 4 2 2" xfId="8695"/>
    <cellStyle name="Normal 20 4 2 2 2" xfId="15243"/>
    <cellStyle name="Normal 20 4 2 3" xfId="6976"/>
    <cellStyle name="Normal 20 4 2 3 2" xfId="13662"/>
    <cellStyle name="Normal 20 4 2 4" xfId="11877"/>
    <cellStyle name="Normal 20 4 3" xfId="5356"/>
    <cellStyle name="Normal 20 4 3 2" xfId="9099"/>
    <cellStyle name="Normal 20 4 3 2 2" xfId="15643"/>
    <cellStyle name="Normal 20 4 3 3" xfId="7380"/>
    <cellStyle name="Normal 20 4 3 3 2" xfId="14062"/>
    <cellStyle name="Normal 20 4 3 4" xfId="12277"/>
    <cellStyle name="Normal 20 4 4" xfId="5794"/>
    <cellStyle name="Normal 20 4 4 2" xfId="9535"/>
    <cellStyle name="Normal 20 4 4 2 2" xfId="16037"/>
    <cellStyle name="Normal 20 4 4 3" xfId="7816"/>
    <cellStyle name="Normal 20 4 4 3 2" xfId="14456"/>
    <cellStyle name="Normal 20 4 4 4" xfId="12687"/>
    <cellStyle name="Normal 20 4 5" xfId="9948"/>
    <cellStyle name="Normal 20 4 5 2" xfId="16429"/>
    <cellStyle name="Normal 20 4 6" xfId="8293"/>
    <cellStyle name="Normal 20 4 6 2" xfId="14850"/>
    <cellStyle name="Normal 20 4 7" xfId="6574"/>
    <cellStyle name="Normal 20 4 7 2" xfId="13264"/>
    <cellStyle name="Normal 20 4 8" xfId="11474"/>
    <cellStyle name="Normal 20 5" xfId="4720"/>
    <cellStyle name="Normal 20 5 2" xfId="8464"/>
    <cellStyle name="Normal 20 5 2 2" xfId="15016"/>
    <cellStyle name="Normal 20 5 3" xfId="6745"/>
    <cellStyle name="Normal 20 5 3 2" xfId="13435"/>
    <cellStyle name="Normal 20 5 4" xfId="11649"/>
    <cellStyle name="Normal 20 6" xfId="5159"/>
    <cellStyle name="Normal 20 6 2" xfId="8902"/>
    <cellStyle name="Normal 20 6 2 2" xfId="15446"/>
    <cellStyle name="Normal 20 6 3" xfId="7183"/>
    <cellStyle name="Normal 20 6 3 2" xfId="13865"/>
    <cellStyle name="Normal 20 6 4" xfId="12080"/>
    <cellStyle name="Normal 20 7" xfId="5592"/>
    <cellStyle name="Normal 20 7 2" xfId="9333"/>
    <cellStyle name="Normal 20 7 2 2" xfId="15840"/>
    <cellStyle name="Normal 20 7 3" xfId="7614"/>
    <cellStyle name="Normal 20 7 3 2" xfId="14259"/>
    <cellStyle name="Normal 20 7 4" xfId="12485"/>
    <cellStyle name="Normal 20 8" xfId="9708"/>
    <cellStyle name="Normal 20 8 2" xfId="16201"/>
    <cellStyle name="Normal 20 9" xfId="8053"/>
    <cellStyle name="Normal 20 9 2" xfId="14653"/>
    <cellStyle name="Normal 21" xfId="4121"/>
    <cellStyle name="Normal 21 10" xfId="11270"/>
    <cellStyle name="Normal 21 2" xfId="4122"/>
    <cellStyle name="Normal 21 2 2" xfId="4532"/>
    <cellStyle name="Normal 21 2 2 2" xfId="4953"/>
    <cellStyle name="Normal 21 2 2 2 2" xfId="8696"/>
    <cellStyle name="Normal 21 2 2 2 2 2" xfId="15244"/>
    <cellStyle name="Normal 21 2 2 2 3" xfId="6977"/>
    <cellStyle name="Normal 21 2 2 2 3 2" xfId="13663"/>
    <cellStyle name="Normal 21 2 2 2 4" xfId="11878"/>
    <cellStyle name="Normal 21 2 2 3" xfId="5359"/>
    <cellStyle name="Normal 21 2 2 3 2" xfId="9102"/>
    <cellStyle name="Normal 21 2 2 3 2 2" xfId="15646"/>
    <cellStyle name="Normal 21 2 2 3 3" xfId="7383"/>
    <cellStyle name="Normal 21 2 2 3 3 2" xfId="14065"/>
    <cellStyle name="Normal 21 2 2 3 4" xfId="12280"/>
    <cellStyle name="Normal 21 2 2 4" xfId="5797"/>
    <cellStyle name="Normal 21 2 2 4 2" xfId="9538"/>
    <cellStyle name="Normal 21 2 2 4 2 2" xfId="16040"/>
    <cellStyle name="Normal 21 2 2 4 3" xfId="7819"/>
    <cellStyle name="Normal 21 2 2 4 3 2" xfId="14459"/>
    <cellStyle name="Normal 21 2 2 4 4" xfId="12690"/>
    <cellStyle name="Normal 21 2 2 5" xfId="9949"/>
    <cellStyle name="Normal 21 2 2 5 2" xfId="16430"/>
    <cellStyle name="Normal 21 2 2 6" xfId="8296"/>
    <cellStyle name="Normal 21 2 2 6 2" xfId="14853"/>
    <cellStyle name="Normal 21 2 2 7" xfId="6577"/>
    <cellStyle name="Normal 21 2 2 7 2" xfId="13267"/>
    <cellStyle name="Normal 21 2 2 8" xfId="11477"/>
    <cellStyle name="Normal 21 2 3" xfId="4804"/>
    <cellStyle name="Normal 21 2 3 2" xfId="8547"/>
    <cellStyle name="Normal 21 2 3 2 2" xfId="15099"/>
    <cellStyle name="Normal 21 2 3 3" xfId="6828"/>
    <cellStyle name="Normal 21 2 3 3 2" xfId="13518"/>
    <cellStyle name="Normal 21 2 3 4" xfId="11733"/>
    <cellStyle name="Normal 21 2 4" xfId="5162"/>
    <cellStyle name="Normal 21 2 4 2" xfId="8905"/>
    <cellStyle name="Normal 21 2 4 2 2" xfId="15449"/>
    <cellStyle name="Normal 21 2 4 3" xfId="7186"/>
    <cellStyle name="Normal 21 2 4 3 2" xfId="13868"/>
    <cellStyle name="Normal 21 2 4 4" xfId="12083"/>
    <cellStyle name="Normal 21 2 5" xfId="5595"/>
    <cellStyle name="Normal 21 2 5 2" xfId="9336"/>
    <cellStyle name="Normal 21 2 5 2 2" xfId="15843"/>
    <cellStyle name="Normal 21 2 5 3" xfId="7617"/>
    <cellStyle name="Normal 21 2 5 3 2" xfId="14262"/>
    <cellStyle name="Normal 21 2 5 4" xfId="12488"/>
    <cellStyle name="Normal 21 2 6" xfId="9794"/>
    <cellStyle name="Normal 21 2 6 2" xfId="16285"/>
    <cellStyle name="Normal 21 2 7" xfId="8056"/>
    <cellStyle name="Normal 21 2 7 2" xfId="14656"/>
    <cellStyle name="Normal 21 2 8" xfId="6329"/>
    <cellStyle name="Normal 21 2 8 2" xfId="13052"/>
    <cellStyle name="Normal 21 2 9" xfId="11271"/>
    <cellStyle name="Normal 21 3" xfId="4531"/>
    <cellStyle name="Normal 21 3 2" xfId="4954"/>
    <cellStyle name="Normal 21 3 2 2" xfId="8697"/>
    <cellStyle name="Normal 21 3 2 2 2" xfId="15245"/>
    <cellStyle name="Normal 21 3 2 3" xfId="6978"/>
    <cellStyle name="Normal 21 3 2 3 2" xfId="13664"/>
    <cellStyle name="Normal 21 3 2 4" xfId="11879"/>
    <cellStyle name="Normal 21 3 3" xfId="5358"/>
    <cellStyle name="Normal 21 3 3 2" xfId="9101"/>
    <cellStyle name="Normal 21 3 3 2 2" xfId="15645"/>
    <cellStyle name="Normal 21 3 3 3" xfId="7382"/>
    <cellStyle name="Normal 21 3 3 3 2" xfId="14064"/>
    <cellStyle name="Normal 21 3 3 4" xfId="12279"/>
    <cellStyle name="Normal 21 3 4" xfId="5796"/>
    <cellStyle name="Normal 21 3 4 2" xfId="9537"/>
    <cellStyle name="Normal 21 3 4 2 2" xfId="16039"/>
    <cellStyle name="Normal 21 3 4 3" xfId="7818"/>
    <cellStyle name="Normal 21 3 4 3 2" xfId="14458"/>
    <cellStyle name="Normal 21 3 4 4" xfId="12689"/>
    <cellStyle name="Normal 21 3 5" xfId="9950"/>
    <cellStyle name="Normal 21 3 5 2" xfId="16431"/>
    <cellStyle name="Normal 21 3 6" xfId="8295"/>
    <cellStyle name="Normal 21 3 6 2" xfId="14852"/>
    <cellStyle name="Normal 21 3 7" xfId="6576"/>
    <cellStyle name="Normal 21 3 7 2" xfId="13266"/>
    <cellStyle name="Normal 21 3 8" xfId="11476"/>
    <cellStyle name="Normal 21 4" xfId="4722"/>
    <cellStyle name="Normal 21 4 2" xfId="8466"/>
    <cellStyle name="Normal 21 4 2 2" xfId="15018"/>
    <cellStyle name="Normal 21 4 3" xfId="6747"/>
    <cellStyle name="Normal 21 4 3 2" xfId="13437"/>
    <cellStyle name="Normal 21 4 4" xfId="11651"/>
    <cellStyle name="Normal 21 5" xfId="5161"/>
    <cellStyle name="Normal 21 5 2" xfId="8904"/>
    <cellStyle name="Normal 21 5 2 2" xfId="15448"/>
    <cellStyle name="Normal 21 5 3" xfId="7185"/>
    <cellStyle name="Normal 21 5 3 2" xfId="13867"/>
    <cellStyle name="Normal 21 5 4" xfId="12082"/>
    <cellStyle name="Normal 21 6" xfId="5594"/>
    <cellStyle name="Normal 21 6 2" xfId="9335"/>
    <cellStyle name="Normal 21 6 2 2" xfId="15842"/>
    <cellStyle name="Normal 21 6 3" xfId="7616"/>
    <cellStyle name="Normal 21 6 3 2" xfId="14261"/>
    <cellStyle name="Normal 21 6 4" xfId="12487"/>
    <cellStyle name="Normal 21 7" xfId="9710"/>
    <cellStyle name="Normal 21 7 2" xfId="16203"/>
    <cellStyle name="Normal 21 8" xfId="8055"/>
    <cellStyle name="Normal 21 8 2" xfId="14655"/>
    <cellStyle name="Normal 21 9" xfId="6328"/>
    <cellStyle name="Normal 21 9 2" xfId="13051"/>
    <cellStyle name="Normal 22" xfId="4123"/>
    <cellStyle name="Normal 22 10" xfId="11272"/>
    <cellStyle name="Normal 22 2" xfId="4124"/>
    <cellStyle name="Normal 22 2 2" xfId="4534"/>
    <cellStyle name="Normal 22 2 2 2" xfId="4955"/>
    <cellStyle name="Normal 22 2 2 2 2" xfId="8698"/>
    <cellStyle name="Normal 22 2 2 2 2 2" xfId="15246"/>
    <cellStyle name="Normal 22 2 2 2 3" xfId="6979"/>
    <cellStyle name="Normal 22 2 2 2 3 2" xfId="13665"/>
    <cellStyle name="Normal 22 2 2 2 4" xfId="11880"/>
    <cellStyle name="Normal 22 2 2 3" xfId="5361"/>
    <cellStyle name="Normal 22 2 2 3 2" xfId="9104"/>
    <cellStyle name="Normal 22 2 2 3 2 2" xfId="15648"/>
    <cellStyle name="Normal 22 2 2 3 3" xfId="7385"/>
    <cellStyle name="Normal 22 2 2 3 3 2" xfId="14067"/>
    <cellStyle name="Normal 22 2 2 3 4" xfId="12282"/>
    <cellStyle name="Normal 22 2 2 4" xfId="5799"/>
    <cellStyle name="Normal 22 2 2 4 2" xfId="9540"/>
    <cellStyle name="Normal 22 2 2 4 2 2" xfId="16042"/>
    <cellStyle name="Normal 22 2 2 4 3" xfId="7821"/>
    <cellStyle name="Normal 22 2 2 4 3 2" xfId="14461"/>
    <cellStyle name="Normal 22 2 2 4 4" xfId="12692"/>
    <cellStyle name="Normal 22 2 2 5" xfId="9951"/>
    <cellStyle name="Normal 22 2 2 5 2" xfId="16432"/>
    <cellStyle name="Normal 22 2 2 6" xfId="8298"/>
    <cellStyle name="Normal 22 2 2 6 2" xfId="14855"/>
    <cellStyle name="Normal 22 2 2 7" xfId="6579"/>
    <cellStyle name="Normal 22 2 2 7 2" xfId="13269"/>
    <cellStyle name="Normal 22 2 2 8" xfId="11479"/>
    <cellStyle name="Normal 22 2 3" xfId="4805"/>
    <cellStyle name="Normal 22 2 3 2" xfId="8548"/>
    <cellStyle name="Normal 22 2 3 2 2" xfId="15100"/>
    <cellStyle name="Normal 22 2 3 3" xfId="6829"/>
    <cellStyle name="Normal 22 2 3 3 2" xfId="13519"/>
    <cellStyle name="Normal 22 2 3 4" xfId="11734"/>
    <cellStyle name="Normal 22 2 4" xfId="5164"/>
    <cellStyle name="Normal 22 2 4 2" xfId="8907"/>
    <cellStyle name="Normal 22 2 4 2 2" xfId="15451"/>
    <cellStyle name="Normal 22 2 4 3" xfId="7188"/>
    <cellStyle name="Normal 22 2 4 3 2" xfId="13870"/>
    <cellStyle name="Normal 22 2 4 4" xfId="12085"/>
    <cellStyle name="Normal 22 2 5" xfId="5597"/>
    <cellStyle name="Normal 22 2 5 2" xfId="9338"/>
    <cellStyle name="Normal 22 2 5 2 2" xfId="15845"/>
    <cellStyle name="Normal 22 2 5 3" xfId="7619"/>
    <cellStyle name="Normal 22 2 5 3 2" xfId="14264"/>
    <cellStyle name="Normal 22 2 5 4" xfId="12490"/>
    <cellStyle name="Normal 22 2 6" xfId="9795"/>
    <cellStyle name="Normal 22 2 6 2" xfId="16286"/>
    <cellStyle name="Normal 22 2 7" xfId="8058"/>
    <cellStyle name="Normal 22 2 7 2" xfId="14658"/>
    <cellStyle name="Normal 22 2 8" xfId="6331"/>
    <cellStyle name="Normal 22 2 8 2" xfId="13054"/>
    <cellStyle name="Normal 22 2 9" xfId="11273"/>
    <cellStyle name="Normal 22 3" xfId="4533"/>
    <cellStyle name="Normal 22 3 2" xfId="4956"/>
    <cellStyle name="Normal 22 3 2 2" xfId="8699"/>
    <cellStyle name="Normal 22 3 2 2 2" xfId="15247"/>
    <cellStyle name="Normal 22 3 2 3" xfId="6980"/>
    <cellStyle name="Normal 22 3 2 3 2" xfId="13666"/>
    <cellStyle name="Normal 22 3 2 4" xfId="11881"/>
    <cellStyle name="Normal 22 3 3" xfId="5360"/>
    <cellStyle name="Normal 22 3 3 2" xfId="9103"/>
    <cellStyle name="Normal 22 3 3 2 2" xfId="15647"/>
    <cellStyle name="Normal 22 3 3 3" xfId="7384"/>
    <cellStyle name="Normal 22 3 3 3 2" xfId="14066"/>
    <cellStyle name="Normal 22 3 3 4" xfId="12281"/>
    <cellStyle name="Normal 22 3 4" xfId="5798"/>
    <cellStyle name="Normal 22 3 4 2" xfId="9539"/>
    <cellStyle name="Normal 22 3 4 2 2" xfId="16041"/>
    <cellStyle name="Normal 22 3 4 3" xfId="7820"/>
    <cellStyle name="Normal 22 3 4 3 2" xfId="14460"/>
    <cellStyle name="Normal 22 3 4 4" xfId="12691"/>
    <cellStyle name="Normal 22 3 5" xfId="9952"/>
    <cellStyle name="Normal 22 3 5 2" xfId="16433"/>
    <cellStyle name="Normal 22 3 6" xfId="8297"/>
    <cellStyle name="Normal 22 3 6 2" xfId="14854"/>
    <cellStyle name="Normal 22 3 7" xfId="6578"/>
    <cellStyle name="Normal 22 3 7 2" xfId="13268"/>
    <cellStyle name="Normal 22 3 8" xfId="11478"/>
    <cellStyle name="Normal 22 4" xfId="4723"/>
    <cellStyle name="Normal 22 4 2" xfId="8467"/>
    <cellStyle name="Normal 22 4 2 2" xfId="15019"/>
    <cellStyle name="Normal 22 4 3" xfId="6748"/>
    <cellStyle name="Normal 22 4 3 2" xfId="13438"/>
    <cellStyle name="Normal 22 4 4" xfId="11652"/>
    <cellStyle name="Normal 22 5" xfId="5163"/>
    <cellStyle name="Normal 22 5 2" xfId="8906"/>
    <cellStyle name="Normal 22 5 2 2" xfId="15450"/>
    <cellStyle name="Normal 22 5 3" xfId="7187"/>
    <cellStyle name="Normal 22 5 3 2" xfId="13869"/>
    <cellStyle name="Normal 22 5 4" xfId="12084"/>
    <cellStyle name="Normal 22 6" xfId="5596"/>
    <cellStyle name="Normal 22 6 2" xfId="9337"/>
    <cellStyle name="Normal 22 6 2 2" xfId="15844"/>
    <cellStyle name="Normal 22 6 3" xfId="7618"/>
    <cellStyle name="Normal 22 6 3 2" xfId="14263"/>
    <cellStyle name="Normal 22 6 4" xfId="12489"/>
    <cellStyle name="Normal 22 7" xfId="9711"/>
    <cellStyle name="Normal 22 7 2" xfId="16204"/>
    <cellStyle name="Normal 22 8" xfId="8057"/>
    <cellStyle name="Normal 22 8 2" xfId="14657"/>
    <cellStyle name="Normal 22 9" xfId="6330"/>
    <cellStyle name="Normal 22 9 2" xfId="13053"/>
    <cellStyle name="Normal 23" xfId="4125"/>
    <cellStyle name="Normal 23 10" xfId="11274"/>
    <cellStyle name="Normal 23 2" xfId="4126"/>
    <cellStyle name="Normal 23 2 2" xfId="4536"/>
    <cellStyle name="Normal 23 2 2 2" xfId="4957"/>
    <cellStyle name="Normal 23 2 2 2 2" xfId="8700"/>
    <cellStyle name="Normal 23 2 2 2 2 2" xfId="15248"/>
    <cellStyle name="Normal 23 2 2 2 3" xfId="6981"/>
    <cellStyle name="Normal 23 2 2 2 3 2" xfId="13667"/>
    <cellStyle name="Normal 23 2 2 2 4" xfId="11882"/>
    <cellStyle name="Normal 23 2 2 3" xfId="5363"/>
    <cellStyle name="Normal 23 2 2 3 2" xfId="9106"/>
    <cellStyle name="Normal 23 2 2 3 2 2" xfId="15650"/>
    <cellStyle name="Normal 23 2 2 3 3" xfId="7387"/>
    <cellStyle name="Normal 23 2 2 3 3 2" xfId="14069"/>
    <cellStyle name="Normal 23 2 2 3 4" xfId="12284"/>
    <cellStyle name="Normal 23 2 2 4" xfId="5801"/>
    <cellStyle name="Normal 23 2 2 4 2" xfId="9542"/>
    <cellStyle name="Normal 23 2 2 4 2 2" xfId="16044"/>
    <cellStyle name="Normal 23 2 2 4 3" xfId="7823"/>
    <cellStyle name="Normal 23 2 2 4 3 2" xfId="14463"/>
    <cellStyle name="Normal 23 2 2 4 4" xfId="12694"/>
    <cellStyle name="Normal 23 2 2 5" xfId="9953"/>
    <cellStyle name="Normal 23 2 2 5 2" xfId="16434"/>
    <cellStyle name="Normal 23 2 2 6" xfId="8300"/>
    <cellStyle name="Normal 23 2 2 6 2" xfId="14857"/>
    <cellStyle name="Normal 23 2 2 7" xfId="6581"/>
    <cellStyle name="Normal 23 2 2 7 2" xfId="13271"/>
    <cellStyle name="Normal 23 2 2 8" xfId="11481"/>
    <cellStyle name="Normal 23 2 3" xfId="4808"/>
    <cellStyle name="Normal 23 2 3 2" xfId="8551"/>
    <cellStyle name="Normal 23 2 3 2 2" xfId="15103"/>
    <cellStyle name="Normal 23 2 3 3" xfId="6832"/>
    <cellStyle name="Normal 23 2 3 3 2" xfId="13522"/>
    <cellStyle name="Normal 23 2 3 4" xfId="11737"/>
    <cellStyle name="Normal 23 2 4" xfId="5166"/>
    <cellStyle name="Normal 23 2 4 2" xfId="8909"/>
    <cellStyle name="Normal 23 2 4 2 2" xfId="15453"/>
    <cellStyle name="Normal 23 2 4 3" xfId="7190"/>
    <cellStyle name="Normal 23 2 4 3 2" xfId="13872"/>
    <cellStyle name="Normal 23 2 4 4" xfId="12087"/>
    <cellStyle name="Normal 23 2 5" xfId="5599"/>
    <cellStyle name="Normal 23 2 5 2" xfId="9340"/>
    <cellStyle name="Normal 23 2 5 2 2" xfId="15847"/>
    <cellStyle name="Normal 23 2 5 3" xfId="7621"/>
    <cellStyle name="Normal 23 2 5 3 2" xfId="14266"/>
    <cellStyle name="Normal 23 2 5 4" xfId="12492"/>
    <cellStyle name="Normal 23 2 6" xfId="9798"/>
    <cellStyle name="Normal 23 2 6 2" xfId="16289"/>
    <cellStyle name="Normal 23 2 7" xfId="8060"/>
    <cellStyle name="Normal 23 2 7 2" xfId="14660"/>
    <cellStyle name="Normal 23 2 8" xfId="6333"/>
    <cellStyle name="Normal 23 2 8 2" xfId="13056"/>
    <cellStyle name="Normal 23 2 9" xfId="11275"/>
    <cellStyle name="Normal 23 3" xfId="4535"/>
    <cellStyle name="Normal 23 3 2" xfId="4958"/>
    <cellStyle name="Normal 23 3 2 2" xfId="8701"/>
    <cellStyle name="Normal 23 3 2 2 2" xfId="15249"/>
    <cellStyle name="Normal 23 3 2 3" xfId="6982"/>
    <cellStyle name="Normal 23 3 2 3 2" xfId="13668"/>
    <cellStyle name="Normal 23 3 2 4" xfId="11883"/>
    <cellStyle name="Normal 23 3 3" xfId="5362"/>
    <cellStyle name="Normal 23 3 3 2" xfId="9105"/>
    <cellStyle name="Normal 23 3 3 2 2" xfId="15649"/>
    <cellStyle name="Normal 23 3 3 3" xfId="7386"/>
    <cellStyle name="Normal 23 3 3 3 2" xfId="14068"/>
    <cellStyle name="Normal 23 3 3 4" xfId="12283"/>
    <cellStyle name="Normal 23 3 4" xfId="5800"/>
    <cellStyle name="Normal 23 3 4 2" xfId="9541"/>
    <cellStyle name="Normal 23 3 4 2 2" xfId="16043"/>
    <cellStyle name="Normal 23 3 4 3" xfId="7822"/>
    <cellStyle name="Normal 23 3 4 3 2" xfId="14462"/>
    <cellStyle name="Normal 23 3 4 4" xfId="12693"/>
    <cellStyle name="Normal 23 3 5" xfId="9954"/>
    <cellStyle name="Normal 23 3 5 2" xfId="16435"/>
    <cellStyle name="Normal 23 3 6" xfId="8299"/>
    <cellStyle name="Normal 23 3 6 2" xfId="14856"/>
    <cellStyle name="Normal 23 3 7" xfId="6580"/>
    <cellStyle name="Normal 23 3 7 2" xfId="13270"/>
    <cellStyle name="Normal 23 3 8" xfId="11480"/>
    <cellStyle name="Normal 23 4" xfId="4726"/>
    <cellStyle name="Normal 23 4 2" xfId="8470"/>
    <cellStyle name="Normal 23 4 2 2" xfId="15022"/>
    <cellStyle name="Normal 23 4 3" xfId="6751"/>
    <cellStyle name="Normal 23 4 3 2" xfId="13441"/>
    <cellStyle name="Normal 23 4 4" xfId="11655"/>
    <cellStyle name="Normal 23 5" xfId="5165"/>
    <cellStyle name="Normal 23 5 2" xfId="8908"/>
    <cellStyle name="Normal 23 5 2 2" xfId="15452"/>
    <cellStyle name="Normal 23 5 3" xfId="7189"/>
    <cellStyle name="Normal 23 5 3 2" xfId="13871"/>
    <cellStyle name="Normal 23 5 4" xfId="12086"/>
    <cellStyle name="Normal 23 6" xfId="5598"/>
    <cellStyle name="Normal 23 6 2" xfId="9339"/>
    <cellStyle name="Normal 23 6 2 2" xfId="15846"/>
    <cellStyle name="Normal 23 6 3" xfId="7620"/>
    <cellStyle name="Normal 23 6 3 2" xfId="14265"/>
    <cellStyle name="Normal 23 6 4" xfId="12491"/>
    <cellStyle name="Normal 23 7" xfId="9714"/>
    <cellStyle name="Normal 23 7 2" xfId="16207"/>
    <cellStyle name="Normal 23 8" xfId="8059"/>
    <cellStyle name="Normal 23 8 2" xfId="14659"/>
    <cellStyle name="Normal 23 9" xfId="6332"/>
    <cellStyle name="Normal 23 9 2" xfId="13055"/>
    <cellStyle name="Normal 24" xfId="4127"/>
    <cellStyle name="Normal 24 10" xfId="11276"/>
    <cellStyle name="Normal 24 2" xfId="4128"/>
    <cellStyle name="Normal 24 2 2" xfId="4538"/>
    <cellStyle name="Normal 24 2 2 2" xfId="4959"/>
    <cellStyle name="Normal 24 2 2 2 2" xfId="8702"/>
    <cellStyle name="Normal 24 2 2 2 2 2" xfId="15250"/>
    <cellStyle name="Normal 24 2 2 2 3" xfId="6983"/>
    <cellStyle name="Normal 24 2 2 2 3 2" xfId="13669"/>
    <cellStyle name="Normal 24 2 2 2 4" xfId="11884"/>
    <cellStyle name="Normal 24 2 2 3" xfId="5365"/>
    <cellStyle name="Normal 24 2 2 3 2" xfId="9108"/>
    <cellStyle name="Normal 24 2 2 3 2 2" xfId="15652"/>
    <cellStyle name="Normal 24 2 2 3 3" xfId="7389"/>
    <cellStyle name="Normal 24 2 2 3 3 2" xfId="14071"/>
    <cellStyle name="Normal 24 2 2 3 4" xfId="12286"/>
    <cellStyle name="Normal 24 2 2 4" xfId="5803"/>
    <cellStyle name="Normal 24 2 2 4 2" xfId="9544"/>
    <cellStyle name="Normal 24 2 2 4 2 2" xfId="16046"/>
    <cellStyle name="Normal 24 2 2 4 3" xfId="7825"/>
    <cellStyle name="Normal 24 2 2 4 3 2" xfId="14465"/>
    <cellStyle name="Normal 24 2 2 4 4" xfId="12696"/>
    <cellStyle name="Normal 24 2 2 5" xfId="9955"/>
    <cellStyle name="Normal 24 2 2 5 2" xfId="16436"/>
    <cellStyle name="Normal 24 2 2 6" xfId="8302"/>
    <cellStyle name="Normal 24 2 2 6 2" xfId="14859"/>
    <cellStyle name="Normal 24 2 2 7" xfId="6583"/>
    <cellStyle name="Normal 24 2 2 7 2" xfId="13273"/>
    <cellStyle name="Normal 24 2 2 8" xfId="11483"/>
    <cellStyle name="Normal 24 2 3" xfId="4809"/>
    <cellStyle name="Normal 24 2 3 2" xfId="8552"/>
    <cellStyle name="Normal 24 2 3 2 2" xfId="15104"/>
    <cellStyle name="Normal 24 2 3 3" xfId="6833"/>
    <cellStyle name="Normal 24 2 3 3 2" xfId="13523"/>
    <cellStyle name="Normal 24 2 3 4" xfId="11738"/>
    <cellStyle name="Normal 24 2 4" xfId="5168"/>
    <cellStyle name="Normal 24 2 4 2" xfId="8911"/>
    <cellStyle name="Normal 24 2 4 2 2" xfId="15455"/>
    <cellStyle name="Normal 24 2 4 3" xfId="7192"/>
    <cellStyle name="Normal 24 2 4 3 2" xfId="13874"/>
    <cellStyle name="Normal 24 2 4 4" xfId="12089"/>
    <cellStyle name="Normal 24 2 5" xfId="5601"/>
    <cellStyle name="Normal 24 2 5 2" xfId="9342"/>
    <cellStyle name="Normal 24 2 5 2 2" xfId="15849"/>
    <cellStyle name="Normal 24 2 5 3" xfId="7623"/>
    <cellStyle name="Normal 24 2 5 3 2" xfId="14268"/>
    <cellStyle name="Normal 24 2 5 4" xfId="12494"/>
    <cellStyle name="Normal 24 2 6" xfId="9799"/>
    <cellStyle name="Normal 24 2 6 2" xfId="16290"/>
    <cellStyle name="Normal 24 2 7" xfId="8062"/>
    <cellStyle name="Normal 24 2 7 2" xfId="14662"/>
    <cellStyle name="Normal 24 2 8" xfId="6335"/>
    <cellStyle name="Normal 24 2 8 2" xfId="13058"/>
    <cellStyle name="Normal 24 2 9" xfId="11277"/>
    <cellStyle name="Normal 24 3" xfId="4537"/>
    <cellStyle name="Normal 24 3 2" xfId="4960"/>
    <cellStyle name="Normal 24 3 2 2" xfId="8703"/>
    <cellStyle name="Normal 24 3 2 2 2" xfId="15251"/>
    <cellStyle name="Normal 24 3 2 3" xfId="6984"/>
    <cellStyle name="Normal 24 3 2 3 2" xfId="13670"/>
    <cellStyle name="Normal 24 3 2 4" xfId="11885"/>
    <cellStyle name="Normal 24 3 3" xfId="5364"/>
    <cellStyle name="Normal 24 3 3 2" xfId="9107"/>
    <cellStyle name="Normal 24 3 3 2 2" xfId="15651"/>
    <cellStyle name="Normal 24 3 3 3" xfId="7388"/>
    <cellStyle name="Normal 24 3 3 3 2" xfId="14070"/>
    <cellStyle name="Normal 24 3 3 4" xfId="12285"/>
    <cellStyle name="Normal 24 3 4" xfId="5802"/>
    <cellStyle name="Normal 24 3 4 2" xfId="9543"/>
    <cellStyle name="Normal 24 3 4 2 2" xfId="16045"/>
    <cellStyle name="Normal 24 3 4 3" xfId="7824"/>
    <cellStyle name="Normal 24 3 4 3 2" xfId="14464"/>
    <cellStyle name="Normal 24 3 4 4" xfId="12695"/>
    <cellStyle name="Normal 24 3 5" xfId="9956"/>
    <cellStyle name="Normal 24 3 5 2" xfId="16437"/>
    <cellStyle name="Normal 24 3 6" xfId="8301"/>
    <cellStyle name="Normal 24 3 6 2" xfId="14858"/>
    <cellStyle name="Normal 24 3 7" xfId="6582"/>
    <cellStyle name="Normal 24 3 7 2" xfId="13272"/>
    <cellStyle name="Normal 24 3 8" xfId="11482"/>
    <cellStyle name="Normal 24 4" xfId="4727"/>
    <cellStyle name="Normal 24 4 2" xfId="8471"/>
    <cellStyle name="Normal 24 4 2 2" xfId="15023"/>
    <cellStyle name="Normal 24 4 3" xfId="6752"/>
    <cellStyle name="Normal 24 4 3 2" xfId="13442"/>
    <cellStyle name="Normal 24 4 4" xfId="11656"/>
    <cellStyle name="Normal 24 5" xfId="5167"/>
    <cellStyle name="Normal 24 5 2" xfId="8910"/>
    <cellStyle name="Normal 24 5 2 2" xfId="15454"/>
    <cellStyle name="Normal 24 5 3" xfId="7191"/>
    <cellStyle name="Normal 24 5 3 2" xfId="13873"/>
    <cellStyle name="Normal 24 5 4" xfId="12088"/>
    <cellStyle name="Normal 24 6" xfId="5600"/>
    <cellStyle name="Normal 24 6 2" xfId="9341"/>
    <cellStyle name="Normal 24 6 2 2" xfId="15848"/>
    <cellStyle name="Normal 24 6 3" xfId="7622"/>
    <cellStyle name="Normal 24 6 3 2" xfId="14267"/>
    <cellStyle name="Normal 24 6 4" xfId="12493"/>
    <cellStyle name="Normal 24 7" xfId="9715"/>
    <cellStyle name="Normal 24 7 2" xfId="16208"/>
    <cellStyle name="Normal 24 8" xfId="8061"/>
    <cellStyle name="Normal 24 8 2" xfId="14661"/>
    <cellStyle name="Normal 24 9" xfId="6334"/>
    <cellStyle name="Normal 24 9 2" xfId="13057"/>
    <cellStyle name="Normal 25" xfId="4129"/>
    <cellStyle name="Normal 25 10" xfId="11278"/>
    <cellStyle name="Normal 25 2" xfId="4130"/>
    <cellStyle name="Normal 25 3" xfId="4539"/>
    <cellStyle name="Normal 25 3 2" xfId="4961"/>
    <cellStyle name="Normal 25 3 2 2" xfId="8704"/>
    <cellStyle name="Normal 25 3 2 2 2" xfId="15252"/>
    <cellStyle name="Normal 25 3 2 3" xfId="6985"/>
    <cellStyle name="Normal 25 3 2 3 2" xfId="13671"/>
    <cellStyle name="Normal 25 3 2 4" xfId="11886"/>
    <cellStyle name="Normal 25 3 3" xfId="5366"/>
    <cellStyle name="Normal 25 3 3 2" xfId="9109"/>
    <cellStyle name="Normal 25 3 3 2 2" xfId="15653"/>
    <cellStyle name="Normal 25 3 3 3" xfId="7390"/>
    <cellStyle name="Normal 25 3 3 3 2" xfId="14072"/>
    <cellStyle name="Normal 25 3 3 4" xfId="12287"/>
    <cellStyle name="Normal 25 3 4" xfId="5804"/>
    <cellStyle name="Normal 25 3 4 2" xfId="9545"/>
    <cellStyle name="Normal 25 3 4 2 2" xfId="16047"/>
    <cellStyle name="Normal 25 3 4 3" xfId="7826"/>
    <cellStyle name="Normal 25 3 4 3 2" xfId="14466"/>
    <cellStyle name="Normal 25 3 4 4" xfId="12697"/>
    <cellStyle name="Normal 25 3 5" xfId="9957"/>
    <cellStyle name="Normal 25 3 5 2" xfId="16438"/>
    <cellStyle name="Normal 25 3 6" xfId="8303"/>
    <cellStyle name="Normal 25 3 6 2" xfId="14860"/>
    <cellStyle name="Normal 25 3 7" xfId="6584"/>
    <cellStyle name="Normal 25 3 7 2" xfId="13274"/>
    <cellStyle name="Normal 25 3 8" xfId="11484"/>
    <cellStyle name="Normal 25 4" xfId="4734"/>
    <cellStyle name="Normal 25 4 2" xfId="8477"/>
    <cellStyle name="Normal 25 4 2 2" xfId="15029"/>
    <cellStyle name="Normal 25 4 3" xfId="6758"/>
    <cellStyle name="Normal 25 4 3 2" xfId="13448"/>
    <cellStyle name="Normal 25 4 4" xfId="11663"/>
    <cellStyle name="Normal 25 5" xfId="5169"/>
    <cellStyle name="Normal 25 5 2" xfId="8912"/>
    <cellStyle name="Normal 25 5 2 2" xfId="15456"/>
    <cellStyle name="Normal 25 5 3" xfId="7193"/>
    <cellStyle name="Normal 25 5 3 2" xfId="13875"/>
    <cellStyle name="Normal 25 5 4" xfId="12090"/>
    <cellStyle name="Normal 25 6" xfId="5602"/>
    <cellStyle name="Normal 25 6 2" xfId="9343"/>
    <cellStyle name="Normal 25 6 2 2" xfId="15850"/>
    <cellStyle name="Normal 25 6 3" xfId="7624"/>
    <cellStyle name="Normal 25 6 3 2" xfId="14269"/>
    <cellStyle name="Normal 25 6 4" xfId="12495"/>
    <cellStyle name="Normal 25 7" xfId="9722"/>
    <cellStyle name="Normal 25 7 2" xfId="16215"/>
    <cellStyle name="Normal 25 8" xfId="8063"/>
    <cellStyle name="Normal 25 8 2" xfId="14663"/>
    <cellStyle name="Normal 25 9" xfId="6336"/>
    <cellStyle name="Normal 25 9 2" xfId="13059"/>
    <cellStyle name="Normal 26" xfId="4131"/>
    <cellStyle name="Normal 26 2" xfId="4540"/>
    <cellStyle name="Normal 26 2 2" xfId="4962"/>
    <cellStyle name="Normal 26 2 2 2" xfId="8705"/>
    <cellStyle name="Normal 26 2 2 2 2" xfId="15253"/>
    <cellStyle name="Normal 26 2 2 3" xfId="6986"/>
    <cellStyle name="Normal 26 2 2 3 2" xfId="13672"/>
    <cellStyle name="Normal 26 2 2 4" xfId="11887"/>
    <cellStyle name="Normal 26 2 3" xfId="5367"/>
    <cellStyle name="Normal 26 2 3 2" xfId="9110"/>
    <cellStyle name="Normal 26 2 3 2 2" xfId="15654"/>
    <cellStyle name="Normal 26 2 3 3" xfId="7391"/>
    <cellStyle name="Normal 26 2 3 3 2" xfId="14073"/>
    <cellStyle name="Normal 26 2 3 4" xfId="12288"/>
    <cellStyle name="Normal 26 2 4" xfId="5805"/>
    <cellStyle name="Normal 26 2 4 2" xfId="9546"/>
    <cellStyle name="Normal 26 2 4 2 2" xfId="16048"/>
    <cellStyle name="Normal 26 2 4 3" xfId="7827"/>
    <cellStyle name="Normal 26 2 4 3 2" xfId="14467"/>
    <cellStyle name="Normal 26 2 4 4" xfId="12698"/>
    <cellStyle name="Normal 26 2 5" xfId="9958"/>
    <cellStyle name="Normal 26 2 5 2" xfId="16439"/>
    <cellStyle name="Normal 26 2 6" xfId="8304"/>
    <cellStyle name="Normal 26 2 6 2" xfId="14861"/>
    <cellStyle name="Normal 26 2 7" xfId="6585"/>
    <cellStyle name="Normal 26 2 7 2" xfId="13275"/>
    <cellStyle name="Normal 26 2 8" xfId="11485"/>
    <cellStyle name="Normal 26 3" xfId="4737"/>
    <cellStyle name="Normal 26 3 2" xfId="8480"/>
    <cellStyle name="Normal 26 3 2 2" xfId="15032"/>
    <cellStyle name="Normal 26 3 3" xfId="6761"/>
    <cellStyle name="Normal 26 3 3 2" xfId="13451"/>
    <cellStyle name="Normal 26 3 4" xfId="11666"/>
    <cellStyle name="Normal 26 4" xfId="5170"/>
    <cellStyle name="Normal 26 4 2" xfId="8913"/>
    <cellStyle name="Normal 26 4 2 2" xfId="15457"/>
    <cellStyle name="Normal 26 4 3" xfId="7194"/>
    <cellStyle name="Normal 26 4 3 2" xfId="13876"/>
    <cellStyle name="Normal 26 4 4" xfId="12091"/>
    <cellStyle name="Normal 26 5" xfId="5603"/>
    <cellStyle name="Normal 26 5 2" xfId="9344"/>
    <cellStyle name="Normal 26 5 2 2" xfId="15851"/>
    <cellStyle name="Normal 26 5 3" xfId="7625"/>
    <cellStyle name="Normal 26 5 3 2" xfId="14270"/>
    <cellStyle name="Normal 26 5 4" xfId="12496"/>
    <cellStyle name="Normal 26 6" xfId="9725"/>
    <cellStyle name="Normal 26 6 2" xfId="16218"/>
    <cellStyle name="Normal 26 7" xfId="8064"/>
    <cellStyle name="Normal 26 7 2" xfId="14664"/>
    <cellStyle name="Normal 26 8" xfId="6337"/>
    <cellStyle name="Normal 26 8 2" xfId="13060"/>
    <cellStyle name="Normal 26 9" xfId="11279"/>
    <cellStyle name="Normal 27" xfId="4132"/>
    <cellStyle name="Normal 27 2" xfId="4541"/>
    <cellStyle name="Normal 27 2 2" xfId="4963"/>
    <cellStyle name="Normal 27 2 2 2" xfId="8706"/>
    <cellStyle name="Normal 27 2 2 2 2" xfId="15254"/>
    <cellStyle name="Normal 27 2 2 3" xfId="6987"/>
    <cellStyle name="Normal 27 2 2 3 2" xfId="13673"/>
    <cellStyle name="Normal 27 2 2 4" xfId="11888"/>
    <cellStyle name="Normal 27 2 3" xfId="5368"/>
    <cellStyle name="Normal 27 2 3 2" xfId="9111"/>
    <cellStyle name="Normal 27 2 3 2 2" xfId="15655"/>
    <cellStyle name="Normal 27 2 3 3" xfId="7392"/>
    <cellStyle name="Normal 27 2 3 3 2" xfId="14074"/>
    <cellStyle name="Normal 27 2 3 4" xfId="12289"/>
    <cellStyle name="Normal 27 2 4" xfId="5806"/>
    <cellStyle name="Normal 27 2 4 2" xfId="9547"/>
    <cellStyle name="Normal 27 2 4 2 2" xfId="16049"/>
    <cellStyle name="Normal 27 2 4 3" xfId="7828"/>
    <cellStyle name="Normal 27 2 4 3 2" xfId="14468"/>
    <cellStyle name="Normal 27 2 4 4" xfId="12699"/>
    <cellStyle name="Normal 27 2 5" xfId="9959"/>
    <cellStyle name="Normal 27 2 5 2" xfId="16440"/>
    <cellStyle name="Normal 27 2 6" xfId="8305"/>
    <cellStyle name="Normal 27 2 6 2" xfId="14862"/>
    <cellStyle name="Normal 27 2 7" xfId="6586"/>
    <cellStyle name="Normal 27 2 7 2" xfId="13276"/>
    <cellStyle name="Normal 27 2 8" xfId="11486"/>
    <cellStyle name="Normal 27 3" xfId="4739"/>
    <cellStyle name="Normal 27 3 2" xfId="8482"/>
    <cellStyle name="Normal 27 3 2 2" xfId="15034"/>
    <cellStyle name="Normal 27 3 3" xfId="6763"/>
    <cellStyle name="Normal 27 3 3 2" xfId="13453"/>
    <cellStyle name="Normal 27 3 4" xfId="11668"/>
    <cellStyle name="Normal 27 4" xfId="5171"/>
    <cellStyle name="Normal 27 4 2" xfId="8914"/>
    <cellStyle name="Normal 27 4 2 2" xfId="15458"/>
    <cellStyle name="Normal 27 4 3" xfId="7195"/>
    <cellStyle name="Normal 27 4 3 2" xfId="13877"/>
    <cellStyle name="Normal 27 4 4" xfId="12092"/>
    <cellStyle name="Normal 27 5" xfId="5604"/>
    <cellStyle name="Normal 27 5 2" xfId="9345"/>
    <cellStyle name="Normal 27 5 2 2" xfId="15852"/>
    <cellStyle name="Normal 27 5 3" xfId="7626"/>
    <cellStyle name="Normal 27 5 3 2" xfId="14271"/>
    <cellStyle name="Normal 27 5 4" xfId="12497"/>
    <cellStyle name="Normal 27 6" xfId="9727"/>
    <cellStyle name="Normal 27 6 2" xfId="16220"/>
    <cellStyle name="Normal 27 7" xfId="8065"/>
    <cellStyle name="Normal 27 7 2" xfId="14665"/>
    <cellStyle name="Normal 27 8" xfId="6338"/>
    <cellStyle name="Normal 27 8 2" xfId="13061"/>
    <cellStyle name="Normal 27 9" xfId="11280"/>
    <cellStyle name="Normal 28" xfId="4133"/>
    <cellStyle name="Normal 28 2" xfId="4542"/>
    <cellStyle name="Normal 28 2 2" xfId="4964"/>
    <cellStyle name="Normal 28 2 2 2" xfId="8707"/>
    <cellStyle name="Normal 28 2 2 2 2" xfId="15255"/>
    <cellStyle name="Normal 28 2 2 3" xfId="6988"/>
    <cellStyle name="Normal 28 2 2 3 2" xfId="13674"/>
    <cellStyle name="Normal 28 2 2 4" xfId="11889"/>
    <cellStyle name="Normal 28 2 3" xfId="5369"/>
    <cellStyle name="Normal 28 2 3 2" xfId="9112"/>
    <cellStyle name="Normal 28 2 3 2 2" xfId="15656"/>
    <cellStyle name="Normal 28 2 3 3" xfId="7393"/>
    <cellStyle name="Normal 28 2 3 3 2" xfId="14075"/>
    <cellStyle name="Normal 28 2 3 4" xfId="12290"/>
    <cellStyle name="Normal 28 2 4" xfId="5807"/>
    <cellStyle name="Normal 28 2 4 2" xfId="9548"/>
    <cellStyle name="Normal 28 2 4 2 2" xfId="16050"/>
    <cellStyle name="Normal 28 2 4 3" xfId="7829"/>
    <cellStyle name="Normal 28 2 4 3 2" xfId="14469"/>
    <cellStyle name="Normal 28 2 4 4" xfId="12700"/>
    <cellStyle name="Normal 28 2 5" xfId="9960"/>
    <cellStyle name="Normal 28 2 5 2" xfId="16441"/>
    <cellStyle name="Normal 28 2 6" xfId="8306"/>
    <cellStyle name="Normal 28 2 6 2" xfId="14863"/>
    <cellStyle name="Normal 28 2 7" xfId="6587"/>
    <cellStyle name="Normal 28 2 7 2" xfId="13277"/>
    <cellStyle name="Normal 28 2 8" xfId="11487"/>
    <cellStyle name="Normal 28 3" xfId="4741"/>
    <cellStyle name="Normal 28 3 2" xfId="8484"/>
    <cellStyle name="Normal 28 3 2 2" xfId="15036"/>
    <cellStyle name="Normal 28 3 3" xfId="6765"/>
    <cellStyle name="Normal 28 3 3 2" xfId="13455"/>
    <cellStyle name="Normal 28 3 4" xfId="11670"/>
    <cellStyle name="Normal 28 4" xfId="5172"/>
    <cellStyle name="Normal 28 4 2" xfId="8915"/>
    <cellStyle name="Normal 28 4 2 2" xfId="15459"/>
    <cellStyle name="Normal 28 4 3" xfId="7196"/>
    <cellStyle name="Normal 28 4 3 2" xfId="13878"/>
    <cellStyle name="Normal 28 4 4" xfId="12093"/>
    <cellStyle name="Normal 28 5" xfId="5605"/>
    <cellStyle name="Normal 28 5 2" xfId="9346"/>
    <cellStyle name="Normal 28 5 2 2" xfId="15853"/>
    <cellStyle name="Normal 28 5 3" xfId="7627"/>
    <cellStyle name="Normal 28 5 3 2" xfId="14272"/>
    <cellStyle name="Normal 28 5 4" xfId="12498"/>
    <cellStyle name="Normal 28 6" xfId="9729"/>
    <cellStyle name="Normal 28 6 2" xfId="16222"/>
    <cellStyle name="Normal 28 7" xfId="8066"/>
    <cellStyle name="Normal 28 7 2" xfId="14666"/>
    <cellStyle name="Normal 28 8" xfId="6339"/>
    <cellStyle name="Normal 28 8 2" xfId="13062"/>
    <cellStyle name="Normal 28 9" xfId="11281"/>
    <cellStyle name="Normal 29" xfId="4134"/>
    <cellStyle name="Normal 29 2" xfId="4543"/>
    <cellStyle name="Normal 29 2 2" xfId="4965"/>
    <cellStyle name="Normal 29 2 2 2" xfId="8708"/>
    <cellStyle name="Normal 29 2 2 2 2" xfId="15256"/>
    <cellStyle name="Normal 29 2 2 3" xfId="6989"/>
    <cellStyle name="Normal 29 2 2 3 2" xfId="13675"/>
    <cellStyle name="Normal 29 2 2 4" xfId="11890"/>
    <cellStyle name="Normal 29 2 3" xfId="5370"/>
    <cellStyle name="Normal 29 2 3 2" xfId="9113"/>
    <cellStyle name="Normal 29 2 3 2 2" xfId="15657"/>
    <cellStyle name="Normal 29 2 3 3" xfId="7394"/>
    <cellStyle name="Normal 29 2 3 3 2" xfId="14076"/>
    <cellStyle name="Normal 29 2 3 4" xfId="12291"/>
    <cellStyle name="Normal 29 2 4" xfId="5808"/>
    <cellStyle name="Normal 29 2 4 2" xfId="9549"/>
    <cellStyle name="Normal 29 2 4 2 2" xfId="16051"/>
    <cellStyle name="Normal 29 2 4 3" xfId="7830"/>
    <cellStyle name="Normal 29 2 4 3 2" xfId="14470"/>
    <cellStyle name="Normal 29 2 4 4" xfId="12701"/>
    <cellStyle name="Normal 29 2 5" xfId="9961"/>
    <cellStyle name="Normal 29 2 5 2" xfId="16442"/>
    <cellStyle name="Normal 29 2 6" xfId="8307"/>
    <cellStyle name="Normal 29 2 6 2" xfId="14864"/>
    <cellStyle name="Normal 29 2 7" xfId="6588"/>
    <cellStyle name="Normal 29 2 7 2" xfId="13278"/>
    <cellStyle name="Normal 29 2 8" xfId="11488"/>
    <cellStyle name="Normal 29 3" xfId="4743"/>
    <cellStyle name="Normal 29 3 2" xfId="8486"/>
    <cellStyle name="Normal 29 3 2 2" xfId="15038"/>
    <cellStyle name="Normal 29 3 3" xfId="6767"/>
    <cellStyle name="Normal 29 3 3 2" xfId="13457"/>
    <cellStyle name="Normal 29 3 4" xfId="11672"/>
    <cellStyle name="Normal 29 4" xfId="5173"/>
    <cellStyle name="Normal 29 4 2" xfId="8916"/>
    <cellStyle name="Normal 29 4 2 2" xfId="15460"/>
    <cellStyle name="Normal 29 4 3" xfId="7197"/>
    <cellStyle name="Normal 29 4 3 2" xfId="13879"/>
    <cellStyle name="Normal 29 4 4" xfId="12094"/>
    <cellStyle name="Normal 29 5" xfId="5606"/>
    <cellStyle name="Normal 29 5 2" xfId="9347"/>
    <cellStyle name="Normal 29 5 2 2" xfId="15854"/>
    <cellStyle name="Normal 29 5 3" xfId="7628"/>
    <cellStyle name="Normal 29 5 3 2" xfId="14273"/>
    <cellStyle name="Normal 29 5 4" xfId="12499"/>
    <cellStyle name="Normal 29 6" xfId="9731"/>
    <cellStyle name="Normal 29 6 2" xfId="16224"/>
    <cellStyle name="Normal 29 7" xfId="8067"/>
    <cellStyle name="Normal 29 7 2" xfId="14667"/>
    <cellStyle name="Normal 29 8" xfId="6340"/>
    <cellStyle name="Normal 29 8 2" xfId="13063"/>
    <cellStyle name="Normal 29 9" xfId="11282"/>
    <cellStyle name="Normal 3" xfId="3"/>
    <cellStyle name="Normal 3 2" xfId="23"/>
    <cellStyle name="Normal 3 3" xfId="4135"/>
    <cellStyle name="Normal 3 3 2 5 15 2 4" xfId="4136"/>
    <cellStyle name="Normal 3 5" xfId="4137"/>
    <cellStyle name="Normal 30" xfId="4138"/>
    <cellStyle name="Normal 30 2" xfId="4544"/>
    <cellStyle name="Normal 30 2 2" xfId="4966"/>
    <cellStyle name="Normal 30 2 2 2" xfId="8709"/>
    <cellStyle name="Normal 30 2 2 2 2" xfId="15257"/>
    <cellStyle name="Normal 30 2 2 3" xfId="6990"/>
    <cellStyle name="Normal 30 2 2 3 2" xfId="13676"/>
    <cellStyle name="Normal 30 2 2 4" xfId="11891"/>
    <cellStyle name="Normal 30 2 3" xfId="5371"/>
    <cellStyle name="Normal 30 2 3 2" xfId="9114"/>
    <cellStyle name="Normal 30 2 3 2 2" xfId="15658"/>
    <cellStyle name="Normal 30 2 3 3" xfId="7395"/>
    <cellStyle name="Normal 30 2 3 3 2" xfId="14077"/>
    <cellStyle name="Normal 30 2 3 4" xfId="12292"/>
    <cellStyle name="Normal 30 2 4" xfId="5809"/>
    <cellStyle name="Normal 30 2 4 2" xfId="9550"/>
    <cellStyle name="Normal 30 2 4 2 2" xfId="16052"/>
    <cellStyle name="Normal 30 2 4 3" xfId="7831"/>
    <cellStyle name="Normal 30 2 4 3 2" xfId="14471"/>
    <cellStyle name="Normal 30 2 4 4" xfId="12702"/>
    <cellStyle name="Normal 30 2 5" xfId="9962"/>
    <cellStyle name="Normal 30 2 5 2" xfId="16443"/>
    <cellStyle name="Normal 30 2 6" xfId="8308"/>
    <cellStyle name="Normal 30 2 6 2" xfId="14865"/>
    <cellStyle name="Normal 30 2 7" xfId="6589"/>
    <cellStyle name="Normal 30 2 7 2" xfId="13279"/>
    <cellStyle name="Normal 30 2 8" xfId="11489"/>
    <cellStyle name="Normal 30 3" xfId="4745"/>
    <cellStyle name="Normal 30 3 2" xfId="8488"/>
    <cellStyle name="Normal 30 3 2 2" xfId="15040"/>
    <cellStyle name="Normal 30 3 3" xfId="6769"/>
    <cellStyle name="Normal 30 3 3 2" xfId="13459"/>
    <cellStyle name="Normal 30 3 4" xfId="11674"/>
    <cellStyle name="Normal 30 4" xfId="5174"/>
    <cellStyle name="Normal 30 4 2" xfId="8917"/>
    <cellStyle name="Normal 30 4 2 2" xfId="15461"/>
    <cellStyle name="Normal 30 4 3" xfId="7198"/>
    <cellStyle name="Normal 30 4 3 2" xfId="13880"/>
    <cellStyle name="Normal 30 4 4" xfId="12095"/>
    <cellStyle name="Normal 30 5" xfId="5607"/>
    <cellStyle name="Normal 30 5 2" xfId="9348"/>
    <cellStyle name="Normal 30 5 2 2" xfId="15855"/>
    <cellStyle name="Normal 30 5 3" xfId="7629"/>
    <cellStyle name="Normal 30 5 3 2" xfId="14274"/>
    <cellStyle name="Normal 30 5 4" xfId="12500"/>
    <cellStyle name="Normal 30 6" xfId="9733"/>
    <cellStyle name="Normal 30 6 2" xfId="16226"/>
    <cellStyle name="Normal 30 7" xfId="8068"/>
    <cellStyle name="Normal 30 7 2" xfId="14668"/>
    <cellStyle name="Normal 30 8" xfId="6341"/>
    <cellStyle name="Normal 30 8 2" xfId="13064"/>
    <cellStyle name="Normal 30 9" xfId="11283"/>
    <cellStyle name="Normal 31" xfId="4139"/>
    <cellStyle name="Normal 31 2" xfId="4545"/>
    <cellStyle name="Normal 31 2 2" xfId="4967"/>
    <cellStyle name="Normal 31 2 2 2" xfId="8710"/>
    <cellStyle name="Normal 31 2 2 2 2" xfId="15258"/>
    <cellStyle name="Normal 31 2 2 3" xfId="6991"/>
    <cellStyle name="Normal 31 2 2 3 2" xfId="13677"/>
    <cellStyle name="Normal 31 2 2 4" xfId="11892"/>
    <cellStyle name="Normal 31 2 3" xfId="5372"/>
    <cellStyle name="Normal 31 2 3 2" xfId="9115"/>
    <cellStyle name="Normal 31 2 3 2 2" xfId="15659"/>
    <cellStyle name="Normal 31 2 3 3" xfId="7396"/>
    <cellStyle name="Normal 31 2 3 3 2" xfId="14078"/>
    <cellStyle name="Normal 31 2 3 4" xfId="12293"/>
    <cellStyle name="Normal 31 2 4" xfId="5810"/>
    <cellStyle name="Normal 31 2 4 2" xfId="9551"/>
    <cellStyle name="Normal 31 2 4 2 2" xfId="16053"/>
    <cellStyle name="Normal 31 2 4 3" xfId="7832"/>
    <cellStyle name="Normal 31 2 4 3 2" xfId="14472"/>
    <cellStyle name="Normal 31 2 4 4" xfId="12703"/>
    <cellStyle name="Normal 31 2 5" xfId="9963"/>
    <cellStyle name="Normal 31 2 5 2" xfId="16444"/>
    <cellStyle name="Normal 31 2 6" xfId="8309"/>
    <cellStyle name="Normal 31 2 6 2" xfId="14866"/>
    <cellStyle name="Normal 31 2 7" xfId="6590"/>
    <cellStyle name="Normal 31 2 7 2" xfId="13280"/>
    <cellStyle name="Normal 31 2 8" xfId="11490"/>
    <cellStyle name="Normal 31 3" xfId="4747"/>
    <cellStyle name="Normal 31 3 2" xfId="8490"/>
    <cellStyle name="Normal 31 3 2 2" xfId="15042"/>
    <cellStyle name="Normal 31 3 3" xfId="6771"/>
    <cellStyle name="Normal 31 3 3 2" xfId="13461"/>
    <cellStyle name="Normal 31 3 4" xfId="11676"/>
    <cellStyle name="Normal 31 4" xfId="5175"/>
    <cellStyle name="Normal 31 4 2" xfId="8918"/>
    <cellStyle name="Normal 31 4 2 2" xfId="15462"/>
    <cellStyle name="Normal 31 4 3" xfId="7199"/>
    <cellStyle name="Normal 31 4 3 2" xfId="13881"/>
    <cellStyle name="Normal 31 4 4" xfId="12096"/>
    <cellStyle name="Normal 31 5" xfId="5608"/>
    <cellStyle name="Normal 31 5 2" xfId="9349"/>
    <cellStyle name="Normal 31 5 2 2" xfId="15856"/>
    <cellStyle name="Normal 31 5 3" xfId="7630"/>
    <cellStyle name="Normal 31 5 3 2" xfId="14275"/>
    <cellStyle name="Normal 31 5 4" xfId="12501"/>
    <cellStyle name="Normal 31 6" xfId="9735"/>
    <cellStyle name="Normal 31 6 2" xfId="16228"/>
    <cellStyle name="Normal 31 7" xfId="8069"/>
    <cellStyle name="Normal 31 7 2" xfId="14669"/>
    <cellStyle name="Normal 31 8" xfId="6342"/>
    <cellStyle name="Normal 31 8 2" xfId="13065"/>
    <cellStyle name="Normal 31 9" xfId="11284"/>
    <cellStyle name="Normal 32" xfId="4140"/>
    <cellStyle name="Normal 32 2" xfId="4546"/>
    <cellStyle name="Normal 32 2 2" xfId="4968"/>
    <cellStyle name="Normal 32 2 2 2" xfId="8711"/>
    <cellStyle name="Normal 32 2 2 2 2" xfId="15259"/>
    <cellStyle name="Normal 32 2 2 3" xfId="6992"/>
    <cellStyle name="Normal 32 2 2 3 2" xfId="13678"/>
    <cellStyle name="Normal 32 2 2 4" xfId="11893"/>
    <cellStyle name="Normal 32 2 3" xfId="5373"/>
    <cellStyle name="Normal 32 2 3 2" xfId="9116"/>
    <cellStyle name="Normal 32 2 3 2 2" xfId="15660"/>
    <cellStyle name="Normal 32 2 3 3" xfId="7397"/>
    <cellStyle name="Normal 32 2 3 3 2" xfId="14079"/>
    <cellStyle name="Normal 32 2 3 4" xfId="12294"/>
    <cellStyle name="Normal 32 2 4" xfId="5811"/>
    <cellStyle name="Normal 32 2 4 2" xfId="9552"/>
    <cellStyle name="Normal 32 2 4 2 2" xfId="16054"/>
    <cellStyle name="Normal 32 2 4 3" xfId="7833"/>
    <cellStyle name="Normal 32 2 4 3 2" xfId="14473"/>
    <cellStyle name="Normal 32 2 4 4" xfId="12704"/>
    <cellStyle name="Normal 32 2 5" xfId="9964"/>
    <cellStyle name="Normal 32 2 5 2" xfId="16445"/>
    <cellStyle name="Normal 32 2 6" xfId="8310"/>
    <cellStyle name="Normal 32 2 6 2" xfId="14867"/>
    <cellStyle name="Normal 32 2 7" xfId="6591"/>
    <cellStyle name="Normal 32 2 7 2" xfId="13281"/>
    <cellStyle name="Normal 32 2 8" xfId="11491"/>
    <cellStyle name="Normal 32 3" xfId="4749"/>
    <cellStyle name="Normal 32 3 2" xfId="8492"/>
    <cellStyle name="Normal 32 3 2 2" xfId="15044"/>
    <cellStyle name="Normal 32 3 3" xfId="6773"/>
    <cellStyle name="Normal 32 3 3 2" xfId="13463"/>
    <cellStyle name="Normal 32 3 4" xfId="11678"/>
    <cellStyle name="Normal 32 4" xfId="5176"/>
    <cellStyle name="Normal 32 4 2" xfId="8919"/>
    <cellStyle name="Normal 32 4 2 2" xfId="15463"/>
    <cellStyle name="Normal 32 4 3" xfId="7200"/>
    <cellStyle name="Normal 32 4 3 2" xfId="13882"/>
    <cellStyle name="Normal 32 4 4" xfId="12097"/>
    <cellStyle name="Normal 32 5" xfId="5609"/>
    <cellStyle name="Normal 32 5 2" xfId="9350"/>
    <cellStyle name="Normal 32 5 2 2" xfId="15857"/>
    <cellStyle name="Normal 32 5 3" xfId="7631"/>
    <cellStyle name="Normal 32 5 3 2" xfId="14276"/>
    <cellStyle name="Normal 32 5 4" xfId="12502"/>
    <cellStyle name="Normal 32 6" xfId="9737"/>
    <cellStyle name="Normal 32 6 2" xfId="16230"/>
    <cellStyle name="Normal 32 7" xfId="8070"/>
    <cellStyle name="Normal 32 7 2" xfId="14670"/>
    <cellStyle name="Normal 32 8" xfId="6343"/>
    <cellStyle name="Normal 32 8 2" xfId="13066"/>
    <cellStyle name="Normal 32 9" xfId="11285"/>
    <cellStyle name="Normal 33" xfId="4141"/>
    <cellStyle name="Normal 33 2" xfId="4547"/>
    <cellStyle name="Normal 33 2 2" xfId="4969"/>
    <cellStyle name="Normal 33 2 2 2" xfId="8712"/>
    <cellStyle name="Normal 33 2 2 2 2" xfId="15260"/>
    <cellStyle name="Normal 33 2 2 3" xfId="6993"/>
    <cellStyle name="Normal 33 2 2 3 2" xfId="13679"/>
    <cellStyle name="Normal 33 2 2 4" xfId="11894"/>
    <cellStyle name="Normal 33 2 3" xfId="5374"/>
    <cellStyle name="Normal 33 2 3 2" xfId="9117"/>
    <cellStyle name="Normal 33 2 3 2 2" xfId="15661"/>
    <cellStyle name="Normal 33 2 3 3" xfId="7398"/>
    <cellStyle name="Normal 33 2 3 3 2" xfId="14080"/>
    <cellStyle name="Normal 33 2 3 4" xfId="12295"/>
    <cellStyle name="Normal 33 2 4" xfId="5812"/>
    <cellStyle name="Normal 33 2 4 2" xfId="9553"/>
    <cellStyle name="Normal 33 2 4 2 2" xfId="16055"/>
    <cellStyle name="Normal 33 2 4 3" xfId="7834"/>
    <cellStyle name="Normal 33 2 4 3 2" xfId="14474"/>
    <cellStyle name="Normal 33 2 4 4" xfId="12705"/>
    <cellStyle name="Normal 33 2 5" xfId="9965"/>
    <cellStyle name="Normal 33 2 5 2" xfId="16446"/>
    <cellStyle name="Normal 33 2 6" xfId="8311"/>
    <cellStyle name="Normal 33 2 6 2" xfId="14868"/>
    <cellStyle name="Normal 33 2 7" xfId="6592"/>
    <cellStyle name="Normal 33 2 7 2" xfId="13282"/>
    <cellStyle name="Normal 33 2 8" xfId="11492"/>
    <cellStyle name="Normal 33 3" xfId="4750"/>
    <cellStyle name="Normal 33 3 2" xfId="8493"/>
    <cellStyle name="Normal 33 3 2 2" xfId="15045"/>
    <cellStyle name="Normal 33 3 3" xfId="6774"/>
    <cellStyle name="Normal 33 3 3 2" xfId="13464"/>
    <cellStyle name="Normal 33 3 4" xfId="11679"/>
    <cellStyle name="Normal 33 4" xfId="5177"/>
    <cellStyle name="Normal 33 4 2" xfId="8920"/>
    <cellStyle name="Normal 33 4 2 2" xfId="15464"/>
    <cellStyle name="Normal 33 4 3" xfId="7201"/>
    <cellStyle name="Normal 33 4 3 2" xfId="13883"/>
    <cellStyle name="Normal 33 4 4" xfId="12098"/>
    <cellStyle name="Normal 33 5" xfId="5610"/>
    <cellStyle name="Normal 33 5 2" xfId="9351"/>
    <cellStyle name="Normal 33 5 2 2" xfId="15858"/>
    <cellStyle name="Normal 33 5 3" xfId="7632"/>
    <cellStyle name="Normal 33 5 3 2" xfId="14277"/>
    <cellStyle name="Normal 33 5 4" xfId="12503"/>
    <cellStyle name="Normal 33 6" xfId="9738"/>
    <cellStyle name="Normal 33 6 2" xfId="16231"/>
    <cellStyle name="Normal 33 7" xfId="8071"/>
    <cellStyle name="Normal 33 7 2" xfId="14671"/>
    <cellStyle name="Normal 33 8" xfId="6344"/>
    <cellStyle name="Normal 33 8 2" xfId="13067"/>
    <cellStyle name="Normal 33 9" xfId="11286"/>
    <cellStyle name="Normal 34" xfId="4142"/>
    <cellStyle name="Normal 34 2" xfId="4548"/>
    <cellStyle name="Normal 34 2 2" xfId="4970"/>
    <cellStyle name="Normal 34 2 2 2" xfId="8713"/>
    <cellStyle name="Normal 34 2 2 2 2" xfId="15261"/>
    <cellStyle name="Normal 34 2 2 3" xfId="6994"/>
    <cellStyle name="Normal 34 2 2 3 2" xfId="13680"/>
    <cellStyle name="Normal 34 2 2 4" xfId="11895"/>
    <cellStyle name="Normal 34 2 3" xfId="5375"/>
    <cellStyle name="Normal 34 2 3 2" xfId="9118"/>
    <cellStyle name="Normal 34 2 3 2 2" xfId="15662"/>
    <cellStyle name="Normal 34 2 3 3" xfId="7399"/>
    <cellStyle name="Normal 34 2 3 3 2" xfId="14081"/>
    <cellStyle name="Normal 34 2 3 4" xfId="12296"/>
    <cellStyle name="Normal 34 2 4" xfId="5813"/>
    <cellStyle name="Normal 34 2 4 2" xfId="9554"/>
    <cellStyle name="Normal 34 2 4 2 2" xfId="16056"/>
    <cellStyle name="Normal 34 2 4 3" xfId="7835"/>
    <cellStyle name="Normal 34 2 4 3 2" xfId="14475"/>
    <cellStyle name="Normal 34 2 4 4" xfId="12706"/>
    <cellStyle name="Normal 34 2 5" xfId="9966"/>
    <cellStyle name="Normal 34 2 5 2" xfId="16447"/>
    <cellStyle name="Normal 34 2 6" xfId="8312"/>
    <cellStyle name="Normal 34 2 6 2" xfId="14869"/>
    <cellStyle name="Normal 34 2 7" xfId="6593"/>
    <cellStyle name="Normal 34 2 7 2" xfId="13283"/>
    <cellStyle name="Normal 34 2 8" xfId="11493"/>
    <cellStyle name="Normal 34 3" xfId="4762"/>
    <cellStyle name="Normal 34 3 2" xfId="8505"/>
    <cellStyle name="Normal 34 3 2 2" xfId="15057"/>
    <cellStyle name="Normal 34 3 3" xfId="6786"/>
    <cellStyle name="Normal 34 3 3 2" xfId="13476"/>
    <cellStyle name="Normal 34 3 4" xfId="11691"/>
    <cellStyle name="Normal 34 4" xfId="5178"/>
    <cellStyle name="Normal 34 4 2" xfId="8921"/>
    <cellStyle name="Normal 34 4 2 2" xfId="15465"/>
    <cellStyle name="Normal 34 4 3" xfId="7202"/>
    <cellStyle name="Normal 34 4 3 2" xfId="13884"/>
    <cellStyle name="Normal 34 4 4" xfId="12099"/>
    <cellStyle name="Normal 34 5" xfId="5611"/>
    <cellStyle name="Normal 34 5 2" xfId="9352"/>
    <cellStyle name="Normal 34 5 2 2" xfId="15859"/>
    <cellStyle name="Normal 34 5 3" xfId="7633"/>
    <cellStyle name="Normal 34 5 3 2" xfId="14278"/>
    <cellStyle name="Normal 34 5 4" xfId="12504"/>
    <cellStyle name="Normal 34 6" xfId="9752"/>
    <cellStyle name="Normal 34 6 2" xfId="16243"/>
    <cellStyle name="Normal 34 7" xfId="8072"/>
    <cellStyle name="Normal 34 7 2" xfId="14672"/>
    <cellStyle name="Normal 34 8" xfId="6345"/>
    <cellStyle name="Normal 34 8 2" xfId="13068"/>
    <cellStyle name="Normal 34 9" xfId="11287"/>
    <cellStyle name="Normal 35" xfId="4143"/>
    <cellStyle name="Normal 36" xfId="4144"/>
    <cellStyle name="Normal 37" xfId="4145"/>
    <cellStyle name="Normal 37 2" xfId="4549"/>
    <cellStyle name="Normal 37 2 2" xfId="4971"/>
    <cellStyle name="Normal 37 2 2 2" xfId="8714"/>
    <cellStyle name="Normal 37 2 2 2 2" xfId="15262"/>
    <cellStyle name="Normal 37 2 2 3" xfId="6995"/>
    <cellStyle name="Normal 37 2 2 3 2" xfId="13681"/>
    <cellStyle name="Normal 37 2 2 4" xfId="11896"/>
    <cellStyle name="Normal 37 2 3" xfId="5376"/>
    <cellStyle name="Normal 37 2 3 2" xfId="9119"/>
    <cellStyle name="Normal 37 2 3 2 2" xfId="15663"/>
    <cellStyle name="Normal 37 2 3 3" xfId="7400"/>
    <cellStyle name="Normal 37 2 3 3 2" xfId="14082"/>
    <cellStyle name="Normal 37 2 3 4" xfId="12297"/>
    <cellStyle name="Normal 37 2 4" xfId="5814"/>
    <cellStyle name="Normal 37 2 4 2" xfId="9555"/>
    <cellStyle name="Normal 37 2 4 2 2" xfId="16057"/>
    <cellStyle name="Normal 37 2 4 3" xfId="7836"/>
    <cellStyle name="Normal 37 2 4 3 2" xfId="14476"/>
    <cellStyle name="Normal 37 2 4 4" xfId="12707"/>
    <cellStyle name="Normal 37 2 5" xfId="9967"/>
    <cellStyle name="Normal 37 2 5 2" xfId="16448"/>
    <cellStyle name="Normal 37 2 6" xfId="8313"/>
    <cellStyle name="Normal 37 2 6 2" xfId="14870"/>
    <cellStyle name="Normal 37 2 7" xfId="6594"/>
    <cellStyle name="Normal 37 2 7 2" xfId="13284"/>
    <cellStyle name="Normal 37 2 8" xfId="11494"/>
    <cellStyle name="Normal 37 3" xfId="4754"/>
    <cellStyle name="Normal 37 3 2" xfId="8497"/>
    <cellStyle name="Normal 37 3 2 2" xfId="15049"/>
    <cellStyle name="Normal 37 3 3" xfId="6778"/>
    <cellStyle name="Normal 37 3 3 2" xfId="13468"/>
    <cellStyle name="Normal 37 3 4" xfId="11683"/>
    <cellStyle name="Normal 37 4" xfId="5179"/>
    <cellStyle name="Normal 37 4 2" xfId="8922"/>
    <cellStyle name="Normal 37 4 2 2" xfId="15466"/>
    <cellStyle name="Normal 37 4 3" xfId="7203"/>
    <cellStyle name="Normal 37 4 3 2" xfId="13885"/>
    <cellStyle name="Normal 37 4 4" xfId="12100"/>
    <cellStyle name="Normal 37 5" xfId="5612"/>
    <cellStyle name="Normal 37 5 2" xfId="9353"/>
    <cellStyle name="Normal 37 5 2 2" xfId="15860"/>
    <cellStyle name="Normal 37 5 3" xfId="7634"/>
    <cellStyle name="Normal 37 5 3 2" xfId="14279"/>
    <cellStyle name="Normal 37 5 4" xfId="12505"/>
    <cellStyle name="Normal 37 6" xfId="9742"/>
    <cellStyle name="Normal 37 6 2" xfId="16235"/>
    <cellStyle name="Normal 37 7" xfId="8073"/>
    <cellStyle name="Normal 37 7 2" xfId="14673"/>
    <cellStyle name="Normal 37 8" xfId="6346"/>
    <cellStyle name="Normal 37 8 2" xfId="13069"/>
    <cellStyle name="Normal 37 9" xfId="11288"/>
    <cellStyle name="Normal 38" xfId="4146"/>
    <cellStyle name="Normal 38 2" xfId="4550"/>
    <cellStyle name="Normal 38 2 2" xfId="4972"/>
    <cellStyle name="Normal 38 2 2 2" xfId="8715"/>
    <cellStyle name="Normal 38 2 2 2 2" xfId="15263"/>
    <cellStyle name="Normal 38 2 2 3" xfId="6996"/>
    <cellStyle name="Normal 38 2 2 3 2" xfId="13682"/>
    <cellStyle name="Normal 38 2 2 4" xfId="11897"/>
    <cellStyle name="Normal 38 2 3" xfId="5377"/>
    <cellStyle name="Normal 38 2 3 2" xfId="9120"/>
    <cellStyle name="Normal 38 2 3 2 2" xfId="15664"/>
    <cellStyle name="Normal 38 2 3 3" xfId="7401"/>
    <cellStyle name="Normal 38 2 3 3 2" xfId="14083"/>
    <cellStyle name="Normal 38 2 3 4" xfId="12298"/>
    <cellStyle name="Normal 38 2 4" xfId="5815"/>
    <cellStyle name="Normal 38 2 4 2" xfId="9556"/>
    <cellStyle name="Normal 38 2 4 2 2" xfId="16058"/>
    <cellStyle name="Normal 38 2 4 3" xfId="7837"/>
    <cellStyle name="Normal 38 2 4 3 2" xfId="14477"/>
    <cellStyle name="Normal 38 2 4 4" xfId="12708"/>
    <cellStyle name="Normal 38 2 5" xfId="9968"/>
    <cellStyle name="Normal 38 2 5 2" xfId="16449"/>
    <cellStyle name="Normal 38 2 6" xfId="8314"/>
    <cellStyle name="Normal 38 2 6 2" xfId="14871"/>
    <cellStyle name="Normal 38 2 7" xfId="6595"/>
    <cellStyle name="Normal 38 2 7 2" xfId="13285"/>
    <cellStyle name="Normal 38 2 8" xfId="11495"/>
    <cellStyle name="Normal 38 3" xfId="4821"/>
    <cellStyle name="Normal 38 3 2" xfId="8564"/>
    <cellStyle name="Normal 38 3 2 2" xfId="15112"/>
    <cellStyle name="Normal 38 3 3" xfId="6845"/>
    <cellStyle name="Normal 38 3 3 2" xfId="13531"/>
    <cellStyle name="Normal 38 3 4" xfId="11746"/>
    <cellStyle name="Normal 38 4" xfId="5180"/>
    <cellStyle name="Normal 38 4 2" xfId="8923"/>
    <cellStyle name="Normal 38 4 2 2" xfId="15467"/>
    <cellStyle name="Normal 38 4 3" xfId="7204"/>
    <cellStyle name="Normal 38 4 3 2" xfId="13886"/>
    <cellStyle name="Normal 38 4 4" xfId="12101"/>
    <cellStyle name="Normal 38 5" xfId="5613"/>
    <cellStyle name="Normal 38 5 2" xfId="9354"/>
    <cellStyle name="Normal 38 5 2 2" xfId="15861"/>
    <cellStyle name="Normal 38 5 3" xfId="7635"/>
    <cellStyle name="Normal 38 5 3 2" xfId="14280"/>
    <cellStyle name="Normal 38 5 4" xfId="12506"/>
    <cellStyle name="Normal 38 6" xfId="9812"/>
    <cellStyle name="Normal 38 6 2" xfId="16298"/>
    <cellStyle name="Normal 38 7" xfId="8074"/>
    <cellStyle name="Normal 38 7 2" xfId="14674"/>
    <cellStyle name="Normal 38 8" xfId="6347"/>
    <cellStyle name="Normal 38 8 2" xfId="13070"/>
    <cellStyle name="Normal 38 9" xfId="11289"/>
    <cellStyle name="Normal 39" xfId="4147"/>
    <cellStyle name="Normal 39 2" xfId="4551"/>
    <cellStyle name="Normal 39 2 2" xfId="4973"/>
    <cellStyle name="Normal 39 2 2 2" xfId="8716"/>
    <cellStyle name="Normal 39 2 2 2 2" xfId="15264"/>
    <cellStyle name="Normal 39 2 2 3" xfId="6997"/>
    <cellStyle name="Normal 39 2 2 3 2" xfId="13683"/>
    <cellStyle name="Normal 39 2 2 4" xfId="11898"/>
    <cellStyle name="Normal 39 2 3" xfId="5378"/>
    <cellStyle name="Normal 39 2 3 2" xfId="9121"/>
    <cellStyle name="Normal 39 2 3 2 2" xfId="15665"/>
    <cellStyle name="Normal 39 2 3 3" xfId="7402"/>
    <cellStyle name="Normal 39 2 3 3 2" xfId="14084"/>
    <cellStyle name="Normal 39 2 3 4" xfId="12299"/>
    <cellStyle name="Normal 39 2 4" xfId="5816"/>
    <cellStyle name="Normal 39 2 4 2" xfId="9557"/>
    <cellStyle name="Normal 39 2 4 2 2" xfId="16059"/>
    <cellStyle name="Normal 39 2 4 3" xfId="7838"/>
    <cellStyle name="Normal 39 2 4 3 2" xfId="14478"/>
    <cellStyle name="Normal 39 2 4 4" xfId="12709"/>
    <cellStyle name="Normal 39 2 5" xfId="9969"/>
    <cellStyle name="Normal 39 2 5 2" xfId="16450"/>
    <cellStyle name="Normal 39 2 6" xfId="8315"/>
    <cellStyle name="Normal 39 2 6 2" xfId="14872"/>
    <cellStyle name="Normal 39 2 7" xfId="6596"/>
    <cellStyle name="Normal 39 2 7 2" xfId="13286"/>
    <cellStyle name="Normal 39 2 8" xfId="11496"/>
    <cellStyle name="Normal 39 3" xfId="4819"/>
    <cellStyle name="Normal 39 3 2" xfId="8562"/>
    <cellStyle name="Normal 39 3 2 2" xfId="15110"/>
    <cellStyle name="Normal 39 3 3" xfId="6843"/>
    <cellStyle name="Normal 39 3 3 2" xfId="13529"/>
    <cellStyle name="Normal 39 3 4" xfId="11744"/>
    <cellStyle name="Normal 39 4" xfId="5181"/>
    <cellStyle name="Normal 39 4 2" xfId="8924"/>
    <cellStyle name="Normal 39 4 2 2" xfId="15468"/>
    <cellStyle name="Normal 39 4 3" xfId="7205"/>
    <cellStyle name="Normal 39 4 3 2" xfId="13887"/>
    <cellStyle name="Normal 39 4 4" xfId="12102"/>
    <cellStyle name="Normal 39 5" xfId="5614"/>
    <cellStyle name="Normal 39 5 2" xfId="9355"/>
    <cellStyle name="Normal 39 5 2 2" xfId="15862"/>
    <cellStyle name="Normal 39 5 3" xfId="7636"/>
    <cellStyle name="Normal 39 5 3 2" xfId="14281"/>
    <cellStyle name="Normal 39 5 4" xfId="12507"/>
    <cellStyle name="Normal 39 6" xfId="9810"/>
    <cellStyle name="Normal 39 6 2" xfId="16296"/>
    <cellStyle name="Normal 39 7" xfId="8075"/>
    <cellStyle name="Normal 39 7 2" xfId="14675"/>
    <cellStyle name="Normal 39 8" xfId="6348"/>
    <cellStyle name="Normal 39 8 2" xfId="13071"/>
    <cellStyle name="Normal 39 9" xfId="11290"/>
    <cellStyle name="Normal 4" xfId="8"/>
    <cellStyle name="Normal 4 10" xfId="5078"/>
    <cellStyle name="Normal 4 10 2" xfId="8821"/>
    <cellStyle name="Normal 4 10 2 2" xfId="15369"/>
    <cellStyle name="Normal 4 10 3" xfId="7102"/>
    <cellStyle name="Normal 4 10 3 2" xfId="13788"/>
    <cellStyle name="Normal 4 10 4" xfId="12003"/>
    <cellStyle name="Normal 4 11" xfId="5515"/>
    <cellStyle name="Normal 4 11 2" xfId="9256"/>
    <cellStyle name="Normal 4 11 2 2" xfId="15763"/>
    <cellStyle name="Normal 4 11 3" xfId="7537"/>
    <cellStyle name="Normal 4 11 3 2" xfId="14182"/>
    <cellStyle name="Normal 4 11 4" xfId="12408"/>
    <cellStyle name="Normal 4 12" xfId="9663"/>
    <cellStyle name="Normal 4 12 2" xfId="16165"/>
    <cellStyle name="Normal 4 13" xfId="7936"/>
    <cellStyle name="Normal 4 13 2" xfId="14576"/>
    <cellStyle name="Normal 4 14" xfId="5915"/>
    <cellStyle name="Normal 4 14 2" xfId="12808"/>
    <cellStyle name="Normal 4 15" xfId="10247"/>
    <cellStyle name="Normal 4 2" xfId="18"/>
    <cellStyle name="Normal 4 2 10" xfId="7940"/>
    <cellStyle name="Normal 4 2 10 2" xfId="14580"/>
    <cellStyle name="Normal 4 2 11" xfId="5919"/>
    <cellStyle name="Normal 4 2 11 2" xfId="12812"/>
    <cellStyle name="Normal 4 2 12" xfId="10254"/>
    <cellStyle name="Normal 4 2 2" xfId="40"/>
    <cellStyle name="Normal 4 2 2 10" xfId="5938"/>
    <cellStyle name="Normal 4 2 2 10 2" xfId="12831"/>
    <cellStyle name="Normal 4 2 2 11" xfId="10273"/>
    <cellStyle name="Normal 4 2 2 2" xfId="4148"/>
    <cellStyle name="Normal 4 2 2 2 2" xfId="4552"/>
    <cellStyle name="Normal 4 2 2 2 2 2" xfId="4974"/>
    <cellStyle name="Normal 4 2 2 2 2 2 2" xfId="8717"/>
    <cellStyle name="Normal 4 2 2 2 2 2 2 2" xfId="15265"/>
    <cellStyle name="Normal 4 2 2 2 2 2 3" xfId="6998"/>
    <cellStyle name="Normal 4 2 2 2 2 2 3 2" xfId="13684"/>
    <cellStyle name="Normal 4 2 2 2 2 2 4" xfId="11899"/>
    <cellStyle name="Normal 4 2 2 2 2 3" xfId="5379"/>
    <cellStyle name="Normal 4 2 2 2 2 3 2" xfId="9122"/>
    <cellStyle name="Normal 4 2 2 2 2 3 2 2" xfId="15666"/>
    <cellStyle name="Normal 4 2 2 2 2 3 3" xfId="7403"/>
    <cellStyle name="Normal 4 2 2 2 2 3 3 2" xfId="14085"/>
    <cellStyle name="Normal 4 2 2 2 2 3 4" xfId="12300"/>
    <cellStyle name="Normal 4 2 2 2 2 4" xfId="5817"/>
    <cellStyle name="Normal 4 2 2 2 2 4 2" xfId="9558"/>
    <cellStyle name="Normal 4 2 2 2 2 4 2 2" xfId="16060"/>
    <cellStyle name="Normal 4 2 2 2 2 4 3" xfId="7839"/>
    <cellStyle name="Normal 4 2 2 2 2 4 3 2" xfId="14479"/>
    <cellStyle name="Normal 4 2 2 2 2 4 4" xfId="12710"/>
    <cellStyle name="Normal 4 2 2 2 2 5" xfId="9970"/>
    <cellStyle name="Normal 4 2 2 2 2 5 2" xfId="16451"/>
    <cellStyle name="Normal 4 2 2 2 2 6" xfId="8316"/>
    <cellStyle name="Normal 4 2 2 2 2 6 2" xfId="14873"/>
    <cellStyle name="Normal 4 2 2 2 2 7" xfId="6597"/>
    <cellStyle name="Normal 4 2 2 2 2 7 2" xfId="13287"/>
    <cellStyle name="Normal 4 2 2 2 2 8" xfId="11497"/>
    <cellStyle name="Normal 4 2 2 2 3" xfId="4776"/>
    <cellStyle name="Normal 4 2 2 2 3 2" xfId="8519"/>
    <cellStyle name="Normal 4 2 2 2 3 2 2" xfId="15071"/>
    <cellStyle name="Normal 4 2 2 2 3 3" xfId="6800"/>
    <cellStyle name="Normal 4 2 2 2 3 3 2" xfId="13490"/>
    <cellStyle name="Normal 4 2 2 2 3 4" xfId="11705"/>
    <cellStyle name="Normal 4 2 2 2 4" xfId="5182"/>
    <cellStyle name="Normal 4 2 2 2 4 2" xfId="8925"/>
    <cellStyle name="Normal 4 2 2 2 4 2 2" xfId="15469"/>
    <cellStyle name="Normal 4 2 2 2 4 3" xfId="7206"/>
    <cellStyle name="Normal 4 2 2 2 4 3 2" xfId="13888"/>
    <cellStyle name="Normal 4 2 2 2 4 4" xfId="12103"/>
    <cellStyle name="Normal 4 2 2 2 5" xfId="5615"/>
    <cellStyle name="Normal 4 2 2 2 5 2" xfId="9356"/>
    <cellStyle name="Normal 4 2 2 2 5 2 2" xfId="15863"/>
    <cellStyle name="Normal 4 2 2 2 5 3" xfId="7637"/>
    <cellStyle name="Normal 4 2 2 2 5 3 2" xfId="14282"/>
    <cellStyle name="Normal 4 2 2 2 5 4" xfId="12508"/>
    <cellStyle name="Normal 4 2 2 2 6" xfId="9766"/>
    <cellStyle name="Normal 4 2 2 2 6 2" xfId="16257"/>
    <cellStyle name="Normal 4 2 2 2 7" xfId="8076"/>
    <cellStyle name="Normal 4 2 2 2 7 2" xfId="14676"/>
    <cellStyle name="Normal 4 2 2 2 8" xfId="6349"/>
    <cellStyle name="Normal 4 2 2 2 8 2" xfId="13072"/>
    <cellStyle name="Normal 4 2 2 2 9" xfId="11291"/>
    <cellStyle name="Normal 4 2 2 3" xfId="4149"/>
    <cellStyle name="Normal 4 2 2 3 2" xfId="4553"/>
    <cellStyle name="Normal 4 2 2 3 2 2" xfId="4975"/>
    <cellStyle name="Normal 4 2 2 3 2 2 2" xfId="8718"/>
    <cellStyle name="Normal 4 2 2 3 2 2 2 2" xfId="15266"/>
    <cellStyle name="Normal 4 2 2 3 2 2 3" xfId="6999"/>
    <cellStyle name="Normal 4 2 2 3 2 2 3 2" xfId="13685"/>
    <cellStyle name="Normal 4 2 2 3 2 2 4" xfId="11900"/>
    <cellStyle name="Normal 4 2 2 3 2 3" xfId="5380"/>
    <cellStyle name="Normal 4 2 2 3 2 3 2" xfId="9123"/>
    <cellStyle name="Normal 4 2 2 3 2 3 2 2" xfId="15667"/>
    <cellStyle name="Normal 4 2 2 3 2 3 3" xfId="7404"/>
    <cellStyle name="Normal 4 2 2 3 2 3 3 2" xfId="14086"/>
    <cellStyle name="Normal 4 2 2 3 2 3 4" xfId="12301"/>
    <cellStyle name="Normal 4 2 2 3 2 4" xfId="5818"/>
    <cellStyle name="Normal 4 2 2 3 2 4 2" xfId="9559"/>
    <cellStyle name="Normal 4 2 2 3 2 4 2 2" xfId="16061"/>
    <cellStyle name="Normal 4 2 2 3 2 4 3" xfId="7840"/>
    <cellStyle name="Normal 4 2 2 3 2 4 3 2" xfId="14480"/>
    <cellStyle name="Normal 4 2 2 3 2 4 4" xfId="12711"/>
    <cellStyle name="Normal 4 2 2 3 2 5" xfId="9971"/>
    <cellStyle name="Normal 4 2 2 3 2 5 2" xfId="16452"/>
    <cellStyle name="Normal 4 2 2 3 2 6" xfId="8317"/>
    <cellStyle name="Normal 4 2 2 3 2 6 2" xfId="14874"/>
    <cellStyle name="Normal 4 2 2 3 2 7" xfId="6598"/>
    <cellStyle name="Normal 4 2 2 3 2 7 2" xfId="13288"/>
    <cellStyle name="Normal 4 2 2 3 2 8" xfId="11498"/>
    <cellStyle name="Normal 4 2 2 3 3" xfId="4839"/>
    <cellStyle name="Normal 4 2 2 3 3 2" xfId="8582"/>
    <cellStyle name="Normal 4 2 2 3 3 2 2" xfId="15130"/>
    <cellStyle name="Normal 4 2 2 3 3 3" xfId="6863"/>
    <cellStyle name="Normal 4 2 2 3 3 3 2" xfId="13549"/>
    <cellStyle name="Normal 4 2 2 3 3 4" xfId="11764"/>
    <cellStyle name="Normal 4 2 2 3 4" xfId="5183"/>
    <cellStyle name="Normal 4 2 2 3 4 2" xfId="8926"/>
    <cellStyle name="Normal 4 2 2 3 4 2 2" xfId="15470"/>
    <cellStyle name="Normal 4 2 2 3 4 3" xfId="7207"/>
    <cellStyle name="Normal 4 2 2 3 4 3 2" xfId="13889"/>
    <cellStyle name="Normal 4 2 2 3 4 4" xfId="12104"/>
    <cellStyle name="Normal 4 2 2 3 5" xfId="5616"/>
    <cellStyle name="Normal 4 2 2 3 5 2" xfId="9357"/>
    <cellStyle name="Normal 4 2 2 3 5 2 2" xfId="15864"/>
    <cellStyle name="Normal 4 2 2 3 5 3" xfId="7638"/>
    <cellStyle name="Normal 4 2 2 3 5 3 2" xfId="14283"/>
    <cellStyle name="Normal 4 2 2 3 5 4" xfId="12509"/>
    <cellStyle name="Normal 4 2 2 3 6" xfId="9830"/>
    <cellStyle name="Normal 4 2 2 3 6 2" xfId="16316"/>
    <cellStyle name="Normal 4 2 2 3 7" xfId="8077"/>
    <cellStyle name="Normal 4 2 2 3 7 2" xfId="14677"/>
    <cellStyle name="Normal 4 2 2 3 8" xfId="6350"/>
    <cellStyle name="Normal 4 2 2 3 8 2" xfId="13073"/>
    <cellStyle name="Normal 4 2 2 3 9" xfId="11292"/>
    <cellStyle name="Normal 4 2 2 4" xfId="4474"/>
    <cellStyle name="Normal 4 2 2 4 2" xfId="4976"/>
    <cellStyle name="Normal 4 2 2 4 2 2" xfId="8719"/>
    <cellStyle name="Normal 4 2 2 4 2 2 2" xfId="15267"/>
    <cellStyle name="Normal 4 2 2 4 2 3" xfId="7000"/>
    <cellStyle name="Normal 4 2 2 4 2 3 2" xfId="13686"/>
    <cellStyle name="Normal 4 2 2 4 2 4" xfId="11901"/>
    <cellStyle name="Normal 4 2 2 4 3" xfId="5302"/>
    <cellStyle name="Normal 4 2 2 4 3 2" xfId="9045"/>
    <cellStyle name="Normal 4 2 2 4 3 2 2" xfId="15589"/>
    <cellStyle name="Normal 4 2 2 4 3 3" xfId="7326"/>
    <cellStyle name="Normal 4 2 2 4 3 3 2" xfId="14008"/>
    <cellStyle name="Normal 4 2 2 4 3 4" xfId="12223"/>
    <cellStyle name="Normal 4 2 2 4 4" xfId="5740"/>
    <cellStyle name="Normal 4 2 2 4 4 2" xfId="9481"/>
    <cellStyle name="Normal 4 2 2 4 4 2 2" xfId="15983"/>
    <cellStyle name="Normal 4 2 2 4 4 3" xfId="7762"/>
    <cellStyle name="Normal 4 2 2 4 4 3 2" xfId="14402"/>
    <cellStyle name="Normal 4 2 2 4 4 4" xfId="12633"/>
    <cellStyle name="Normal 4 2 2 4 5" xfId="9972"/>
    <cellStyle name="Normal 4 2 2 4 5 2" xfId="16453"/>
    <cellStyle name="Normal 4 2 2 4 6" xfId="8239"/>
    <cellStyle name="Normal 4 2 2 4 6 2" xfId="14796"/>
    <cellStyle name="Normal 4 2 2 4 7" xfId="6520"/>
    <cellStyle name="Normal 4 2 2 4 7 2" xfId="13210"/>
    <cellStyle name="Normal 4 2 2 4 8" xfId="11419"/>
    <cellStyle name="Normal 4 2 2 5" xfId="4685"/>
    <cellStyle name="Normal 4 2 2 5 2" xfId="8431"/>
    <cellStyle name="Normal 4 2 2 5 2 2" xfId="14983"/>
    <cellStyle name="Normal 4 2 2 5 3" xfId="6712"/>
    <cellStyle name="Normal 4 2 2 5 3 2" xfId="13402"/>
    <cellStyle name="Normal 4 2 2 5 4" xfId="11616"/>
    <cellStyle name="Normal 4 2 2 6" xfId="5101"/>
    <cellStyle name="Normal 4 2 2 6 2" xfId="8844"/>
    <cellStyle name="Normal 4 2 2 6 2 2" xfId="15392"/>
    <cellStyle name="Normal 4 2 2 6 3" xfId="7125"/>
    <cellStyle name="Normal 4 2 2 6 3 2" xfId="13811"/>
    <cellStyle name="Normal 4 2 2 6 4" xfId="12026"/>
    <cellStyle name="Normal 4 2 2 7" xfId="5538"/>
    <cellStyle name="Normal 4 2 2 7 2" xfId="9279"/>
    <cellStyle name="Normal 4 2 2 7 2 2" xfId="15786"/>
    <cellStyle name="Normal 4 2 2 7 3" xfId="7560"/>
    <cellStyle name="Normal 4 2 2 7 3 2" xfId="14205"/>
    <cellStyle name="Normal 4 2 2 7 4" xfId="12431"/>
    <cellStyle name="Normal 4 2 2 8" xfId="9665"/>
    <cellStyle name="Normal 4 2 2 8 2" xfId="16167"/>
    <cellStyle name="Normal 4 2 2 9" xfId="7959"/>
    <cellStyle name="Normal 4 2 2 9 2" xfId="14599"/>
    <cellStyle name="Normal 4 2 3" xfId="29"/>
    <cellStyle name="Normal 4 2 3 2" xfId="4464"/>
    <cellStyle name="Normal 4 2 3 2 2" xfId="4977"/>
    <cellStyle name="Normal 4 2 3 2 2 2" xfId="8720"/>
    <cellStyle name="Normal 4 2 3 2 2 2 2" xfId="15268"/>
    <cellStyle name="Normal 4 2 3 2 2 3" xfId="7001"/>
    <cellStyle name="Normal 4 2 3 2 2 3 2" xfId="13687"/>
    <cellStyle name="Normal 4 2 3 2 2 4" xfId="11902"/>
    <cellStyle name="Normal 4 2 3 2 3" xfId="5292"/>
    <cellStyle name="Normal 4 2 3 2 3 2" xfId="9035"/>
    <cellStyle name="Normal 4 2 3 2 3 2 2" xfId="15579"/>
    <cellStyle name="Normal 4 2 3 2 3 3" xfId="7316"/>
    <cellStyle name="Normal 4 2 3 2 3 3 2" xfId="13998"/>
    <cellStyle name="Normal 4 2 3 2 3 4" xfId="12213"/>
    <cellStyle name="Normal 4 2 3 2 4" xfId="5730"/>
    <cellStyle name="Normal 4 2 3 2 4 2" xfId="9471"/>
    <cellStyle name="Normal 4 2 3 2 4 2 2" xfId="15973"/>
    <cellStyle name="Normal 4 2 3 2 4 3" xfId="7752"/>
    <cellStyle name="Normal 4 2 3 2 4 3 2" xfId="14392"/>
    <cellStyle name="Normal 4 2 3 2 4 4" xfId="12623"/>
    <cellStyle name="Normal 4 2 3 2 5" xfId="9973"/>
    <cellStyle name="Normal 4 2 3 2 5 2" xfId="16454"/>
    <cellStyle name="Normal 4 2 3 2 6" xfId="8229"/>
    <cellStyle name="Normal 4 2 3 2 6 2" xfId="14786"/>
    <cellStyle name="Normal 4 2 3 2 7" xfId="6510"/>
    <cellStyle name="Normal 4 2 3 2 7 2" xfId="13200"/>
    <cellStyle name="Normal 4 2 3 2 8" xfId="11409"/>
    <cellStyle name="Normal 4 2 3 3" xfId="4775"/>
    <cellStyle name="Normal 4 2 3 3 2" xfId="8518"/>
    <cellStyle name="Normal 4 2 3 3 2 2" xfId="15070"/>
    <cellStyle name="Normal 4 2 3 3 3" xfId="6799"/>
    <cellStyle name="Normal 4 2 3 3 3 2" xfId="13489"/>
    <cellStyle name="Normal 4 2 3 3 4" xfId="11704"/>
    <cellStyle name="Normal 4 2 3 4" xfId="5091"/>
    <cellStyle name="Normal 4 2 3 4 2" xfId="8834"/>
    <cellStyle name="Normal 4 2 3 4 2 2" xfId="15382"/>
    <cellStyle name="Normal 4 2 3 4 3" xfId="7115"/>
    <cellStyle name="Normal 4 2 3 4 3 2" xfId="13801"/>
    <cellStyle name="Normal 4 2 3 4 4" xfId="12016"/>
    <cellStyle name="Normal 4 2 3 5" xfId="5528"/>
    <cellStyle name="Normal 4 2 3 5 2" xfId="9269"/>
    <cellStyle name="Normal 4 2 3 5 2 2" xfId="15776"/>
    <cellStyle name="Normal 4 2 3 5 3" xfId="7550"/>
    <cellStyle name="Normal 4 2 3 5 3 2" xfId="14195"/>
    <cellStyle name="Normal 4 2 3 5 4" xfId="12421"/>
    <cellStyle name="Normal 4 2 3 6" xfId="9765"/>
    <cellStyle name="Normal 4 2 3 6 2" xfId="16256"/>
    <cellStyle name="Normal 4 2 3 7" xfId="7949"/>
    <cellStyle name="Normal 4 2 3 7 2" xfId="14589"/>
    <cellStyle name="Normal 4 2 3 8" xfId="5928"/>
    <cellStyle name="Normal 4 2 3 8 2" xfId="12821"/>
    <cellStyle name="Normal 4 2 3 9" xfId="10263"/>
    <cellStyle name="Normal 4 2 4" xfId="4150"/>
    <cellStyle name="Normal 4 2 4 2" xfId="4554"/>
    <cellStyle name="Normal 4 2 4 2 2" xfId="4978"/>
    <cellStyle name="Normal 4 2 4 2 2 2" xfId="8721"/>
    <cellStyle name="Normal 4 2 4 2 2 2 2" xfId="15269"/>
    <cellStyle name="Normal 4 2 4 2 2 3" xfId="7002"/>
    <cellStyle name="Normal 4 2 4 2 2 3 2" xfId="13688"/>
    <cellStyle name="Normal 4 2 4 2 2 4" xfId="11903"/>
    <cellStyle name="Normal 4 2 4 2 3" xfId="5381"/>
    <cellStyle name="Normal 4 2 4 2 3 2" xfId="9124"/>
    <cellStyle name="Normal 4 2 4 2 3 2 2" xfId="15668"/>
    <cellStyle name="Normal 4 2 4 2 3 3" xfId="7405"/>
    <cellStyle name="Normal 4 2 4 2 3 3 2" xfId="14087"/>
    <cellStyle name="Normal 4 2 4 2 3 4" xfId="12302"/>
    <cellStyle name="Normal 4 2 4 2 4" xfId="5819"/>
    <cellStyle name="Normal 4 2 4 2 4 2" xfId="9560"/>
    <cellStyle name="Normal 4 2 4 2 4 2 2" xfId="16062"/>
    <cellStyle name="Normal 4 2 4 2 4 3" xfId="7841"/>
    <cellStyle name="Normal 4 2 4 2 4 3 2" xfId="14481"/>
    <cellStyle name="Normal 4 2 4 2 4 4" xfId="12712"/>
    <cellStyle name="Normal 4 2 4 2 5" xfId="9974"/>
    <cellStyle name="Normal 4 2 4 2 5 2" xfId="16455"/>
    <cellStyle name="Normal 4 2 4 2 6" xfId="8318"/>
    <cellStyle name="Normal 4 2 4 2 6 2" xfId="14875"/>
    <cellStyle name="Normal 4 2 4 2 7" xfId="6599"/>
    <cellStyle name="Normal 4 2 4 2 7 2" xfId="13289"/>
    <cellStyle name="Normal 4 2 4 2 8" xfId="11499"/>
    <cellStyle name="Normal 4 2 4 3" xfId="4829"/>
    <cellStyle name="Normal 4 2 4 3 2" xfId="8572"/>
    <cellStyle name="Normal 4 2 4 3 2 2" xfId="15120"/>
    <cellStyle name="Normal 4 2 4 3 3" xfId="6853"/>
    <cellStyle name="Normal 4 2 4 3 3 2" xfId="13539"/>
    <cellStyle name="Normal 4 2 4 3 4" xfId="11754"/>
    <cellStyle name="Normal 4 2 4 4" xfId="5184"/>
    <cellStyle name="Normal 4 2 4 4 2" xfId="8927"/>
    <cellStyle name="Normal 4 2 4 4 2 2" xfId="15471"/>
    <cellStyle name="Normal 4 2 4 4 3" xfId="7208"/>
    <cellStyle name="Normal 4 2 4 4 3 2" xfId="13890"/>
    <cellStyle name="Normal 4 2 4 4 4" xfId="12105"/>
    <cellStyle name="Normal 4 2 4 5" xfId="5617"/>
    <cellStyle name="Normal 4 2 4 5 2" xfId="9358"/>
    <cellStyle name="Normal 4 2 4 5 2 2" xfId="15865"/>
    <cellStyle name="Normal 4 2 4 5 3" xfId="7639"/>
    <cellStyle name="Normal 4 2 4 5 3 2" xfId="14284"/>
    <cellStyle name="Normal 4 2 4 5 4" xfId="12510"/>
    <cellStyle name="Normal 4 2 4 6" xfId="9820"/>
    <cellStyle name="Normal 4 2 4 6 2" xfId="16306"/>
    <cellStyle name="Normal 4 2 4 7" xfId="8078"/>
    <cellStyle name="Normal 4 2 4 7 2" xfId="14678"/>
    <cellStyle name="Normal 4 2 4 8" xfId="6351"/>
    <cellStyle name="Normal 4 2 4 8 2" xfId="13074"/>
    <cellStyle name="Normal 4 2 4 9" xfId="11293"/>
    <cellStyle name="Normal 4 2 5" xfId="4455"/>
    <cellStyle name="Normal 4 2 5 2" xfId="4979"/>
    <cellStyle name="Normal 4 2 5 2 2" xfId="8722"/>
    <cellStyle name="Normal 4 2 5 2 2 2" xfId="15270"/>
    <cellStyle name="Normal 4 2 5 2 3" xfId="7003"/>
    <cellStyle name="Normal 4 2 5 2 3 2" xfId="13689"/>
    <cellStyle name="Normal 4 2 5 2 4" xfId="11904"/>
    <cellStyle name="Normal 4 2 5 3" xfId="5283"/>
    <cellStyle name="Normal 4 2 5 3 2" xfId="9026"/>
    <cellStyle name="Normal 4 2 5 3 2 2" xfId="15570"/>
    <cellStyle name="Normal 4 2 5 3 3" xfId="7307"/>
    <cellStyle name="Normal 4 2 5 3 3 2" xfId="13989"/>
    <cellStyle name="Normal 4 2 5 3 4" xfId="12204"/>
    <cellStyle name="Normal 4 2 5 4" xfId="5721"/>
    <cellStyle name="Normal 4 2 5 4 2" xfId="9462"/>
    <cellStyle name="Normal 4 2 5 4 2 2" xfId="15964"/>
    <cellStyle name="Normal 4 2 5 4 3" xfId="7743"/>
    <cellStyle name="Normal 4 2 5 4 3 2" xfId="14383"/>
    <cellStyle name="Normal 4 2 5 4 4" xfId="12614"/>
    <cellStyle name="Normal 4 2 5 5" xfId="9975"/>
    <cellStyle name="Normal 4 2 5 5 2" xfId="16456"/>
    <cellStyle name="Normal 4 2 5 6" xfId="8220"/>
    <cellStyle name="Normal 4 2 5 6 2" xfId="14777"/>
    <cellStyle name="Normal 4 2 5 7" xfId="6501"/>
    <cellStyle name="Normal 4 2 5 7 2" xfId="13191"/>
    <cellStyle name="Normal 4 2 5 8" xfId="11400"/>
    <cellStyle name="Normal 4 2 6" xfId="4684"/>
    <cellStyle name="Normal 4 2 6 2" xfId="8430"/>
    <cellStyle name="Normal 4 2 6 2 2" xfId="14982"/>
    <cellStyle name="Normal 4 2 6 3" xfId="6711"/>
    <cellStyle name="Normal 4 2 6 3 2" xfId="13401"/>
    <cellStyle name="Normal 4 2 6 4" xfId="11615"/>
    <cellStyle name="Normal 4 2 7" xfId="5082"/>
    <cellStyle name="Normal 4 2 7 2" xfId="8825"/>
    <cellStyle name="Normal 4 2 7 2 2" xfId="15373"/>
    <cellStyle name="Normal 4 2 7 3" xfId="7106"/>
    <cellStyle name="Normal 4 2 7 3 2" xfId="13792"/>
    <cellStyle name="Normal 4 2 7 4" xfId="12007"/>
    <cellStyle name="Normal 4 2 8" xfId="5519"/>
    <cellStyle name="Normal 4 2 8 2" xfId="9260"/>
    <cellStyle name="Normal 4 2 8 2 2" xfId="15767"/>
    <cellStyle name="Normal 4 2 8 3" xfId="7541"/>
    <cellStyle name="Normal 4 2 8 3 2" xfId="14186"/>
    <cellStyle name="Normal 4 2 8 4" xfId="12412"/>
    <cellStyle name="Normal 4 2 9" xfId="9664"/>
    <cellStyle name="Normal 4 2 9 2" xfId="16166"/>
    <cellStyle name="Normal 4 3" xfId="35"/>
    <cellStyle name="Normal 4 3 10" xfId="5934"/>
    <cellStyle name="Normal 4 3 10 2" xfId="12827"/>
    <cellStyle name="Normal 4 3 11" xfId="10269"/>
    <cellStyle name="Normal 4 3 2" xfId="4151"/>
    <cellStyle name="Normal 4 3 2 2" xfId="4555"/>
    <cellStyle name="Normal 4 3 2 2 2" xfId="4980"/>
    <cellStyle name="Normal 4 3 2 2 2 2" xfId="8723"/>
    <cellStyle name="Normal 4 3 2 2 2 2 2" xfId="15271"/>
    <cellStyle name="Normal 4 3 2 2 2 3" xfId="7004"/>
    <cellStyle name="Normal 4 3 2 2 2 3 2" xfId="13690"/>
    <cellStyle name="Normal 4 3 2 2 2 4" xfId="11905"/>
    <cellStyle name="Normal 4 3 2 2 3" xfId="5382"/>
    <cellStyle name="Normal 4 3 2 2 3 2" xfId="9125"/>
    <cellStyle name="Normal 4 3 2 2 3 2 2" xfId="15669"/>
    <cellStyle name="Normal 4 3 2 2 3 3" xfId="7406"/>
    <cellStyle name="Normal 4 3 2 2 3 3 2" xfId="14088"/>
    <cellStyle name="Normal 4 3 2 2 3 4" xfId="12303"/>
    <cellStyle name="Normal 4 3 2 2 4" xfId="5820"/>
    <cellStyle name="Normal 4 3 2 2 4 2" xfId="9561"/>
    <cellStyle name="Normal 4 3 2 2 4 2 2" xfId="16063"/>
    <cellStyle name="Normal 4 3 2 2 4 3" xfId="7842"/>
    <cellStyle name="Normal 4 3 2 2 4 3 2" xfId="14482"/>
    <cellStyle name="Normal 4 3 2 2 4 4" xfId="12713"/>
    <cellStyle name="Normal 4 3 2 2 5" xfId="9976"/>
    <cellStyle name="Normal 4 3 2 2 5 2" xfId="16457"/>
    <cellStyle name="Normal 4 3 2 2 6" xfId="8319"/>
    <cellStyle name="Normal 4 3 2 2 6 2" xfId="14876"/>
    <cellStyle name="Normal 4 3 2 2 7" xfId="6600"/>
    <cellStyle name="Normal 4 3 2 2 7 2" xfId="13290"/>
    <cellStyle name="Normal 4 3 2 2 8" xfId="11500"/>
    <cellStyle name="Normal 4 3 2 3" xfId="4777"/>
    <cellStyle name="Normal 4 3 2 3 2" xfId="8520"/>
    <cellStyle name="Normal 4 3 2 3 2 2" xfId="15072"/>
    <cellStyle name="Normal 4 3 2 3 3" xfId="6801"/>
    <cellStyle name="Normal 4 3 2 3 3 2" xfId="13491"/>
    <cellStyle name="Normal 4 3 2 3 4" xfId="11706"/>
    <cellStyle name="Normal 4 3 2 4" xfId="5185"/>
    <cellStyle name="Normal 4 3 2 4 2" xfId="8928"/>
    <cellStyle name="Normal 4 3 2 4 2 2" xfId="15472"/>
    <cellStyle name="Normal 4 3 2 4 3" xfId="7209"/>
    <cellStyle name="Normal 4 3 2 4 3 2" xfId="13891"/>
    <cellStyle name="Normal 4 3 2 4 4" xfId="12106"/>
    <cellStyle name="Normal 4 3 2 5" xfId="5618"/>
    <cellStyle name="Normal 4 3 2 5 2" xfId="9359"/>
    <cellStyle name="Normal 4 3 2 5 2 2" xfId="15866"/>
    <cellStyle name="Normal 4 3 2 5 3" xfId="7640"/>
    <cellStyle name="Normal 4 3 2 5 3 2" xfId="14285"/>
    <cellStyle name="Normal 4 3 2 5 4" xfId="12511"/>
    <cellStyle name="Normal 4 3 2 6" xfId="9767"/>
    <cellStyle name="Normal 4 3 2 6 2" xfId="16258"/>
    <cellStyle name="Normal 4 3 2 7" xfId="8079"/>
    <cellStyle name="Normal 4 3 2 7 2" xfId="14679"/>
    <cellStyle name="Normal 4 3 2 8" xfId="6352"/>
    <cellStyle name="Normal 4 3 2 8 2" xfId="13075"/>
    <cellStyle name="Normal 4 3 2 9" xfId="11294"/>
    <cellStyle name="Normal 4 3 3" xfId="4152"/>
    <cellStyle name="Normal 4 3 3 2" xfId="4556"/>
    <cellStyle name="Normal 4 3 3 2 2" xfId="4981"/>
    <cellStyle name="Normal 4 3 3 2 2 2" xfId="8724"/>
    <cellStyle name="Normal 4 3 3 2 2 2 2" xfId="15272"/>
    <cellStyle name="Normal 4 3 3 2 2 3" xfId="7005"/>
    <cellStyle name="Normal 4 3 3 2 2 3 2" xfId="13691"/>
    <cellStyle name="Normal 4 3 3 2 2 4" xfId="11906"/>
    <cellStyle name="Normal 4 3 3 2 3" xfId="5383"/>
    <cellStyle name="Normal 4 3 3 2 3 2" xfId="9126"/>
    <cellStyle name="Normal 4 3 3 2 3 2 2" xfId="15670"/>
    <cellStyle name="Normal 4 3 3 2 3 3" xfId="7407"/>
    <cellStyle name="Normal 4 3 3 2 3 3 2" xfId="14089"/>
    <cellStyle name="Normal 4 3 3 2 3 4" xfId="12304"/>
    <cellStyle name="Normal 4 3 3 2 4" xfId="5821"/>
    <cellStyle name="Normal 4 3 3 2 4 2" xfId="9562"/>
    <cellStyle name="Normal 4 3 3 2 4 2 2" xfId="16064"/>
    <cellStyle name="Normal 4 3 3 2 4 3" xfId="7843"/>
    <cellStyle name="Normal 4 3 3 2 4 3 2" xfId="14483"/>
    <cellStyle name="Normal 4 3 3 2 4 4" xfId="12714"/>
    <cellStyle name="Normal 4 3 3 2 5" xfId="9977"/>
    <cellStyle name="Normal 4 3 3 2 5 2" xfId="16458"/>
    <cellStyle name="Normal 4 3 3 2 6" xfId="8320"/>
    <cellStyle name="Normal 4 3 3 2 6 2" xfId="14877"/>
    <cellStyle name="Normal 4 3 3 2 7" xfId="6601"/>
    <cellStyle name="Normal 4 3 3 2 7 2" xfId="13291"/>
    <cellStyle name="Normal 4 3 3 2 8" xfId="11501"/>
    <cellStyle name="Normal 4 3 3 3" xfId="4835"/>
    <cellStyle name="Normal 4 3 3 3 2" xfId="8578"/>
    <cellStyle name="Normal 4 3 3 3 2 2" xfId="15126"/>
    <cellStyle name="Normal 4 3 3 3 3" xfId="6859"/>
    <cellStyle name="Normal 4 3 3 3 3 2" xfId="13545"/>
    <cellStyle name="Normal 4 3 3 3 4" xfId="11760"/>
    <cellStyle name="Normal 4 3 3 4" xfId="5186"/>
    <cellStyle name="Normal 4 3 3 4 2" xfId="8929"/>
    <cellStyle name="Normal 4 3 3 4 2 2" xfId="15473"/>
    <cellStyle name="Normal 4 3 3 4 3" xfId="7210"/>
    <cellStyle name="Normal 4 3 3 4 3 2" xfId="13892"/>
    <cellStyle name="Normal 4 3 3 4 4" xfId="12107"/>
    <cellStyle name="Normal 4 3 3 5" xfId="5619"/>
    <cellStyle name="Normal 4 3 3 5 2" xfId="9360"/>
    <cellStyle name="Normal 4 3 3 5 2 2" xfId="15867"/>
    <cellStyle name="Normal 4 3 3 5 3" xfId="7641"/>
    <cellStyle name="Normal 4 3 3 5 3 2" xfId="14286"/>
    <cellStyle name="Normal 4 3 3 5 4" xfId="12512"/>
    <cellStyle name="Normal 4 3 3 6" xfId="9826"/>
    <cellStyle name="Normal 4 3 3 6 2" xfId="16312"/>
    <cellStyle name="Normal 4 3 3 7" xfId="8080"/>
    <cellStyle name="Normal 4 3 3 7 2" xfId="14680"/>
    <cellStyle name="Normal 4 3 3 8" xfId="6353"/>
    <cellStyle name="Normal 4 3 3 8 2" xfId="13076"/>
    <cellStyle name="Normal 4 3 3 9" xfId="11295"/>
    <cellStyle name="Normal 4 3 4" xfId="4470"/>
    <cellStyle name="Normal 4 3 4 2" xfId="4982"/>
    <cellStyle name="Normal 4 3 4 2 2" xfId="8725"/>
    <cellStyle name="Normal 4 3 4 2 2 2" xfId="15273"/>
    <cellStyle name="Normal 4 3 4 2 3" xfId="7006"/>
    <cellStyle name="Normal 4 3 4 2 3 2" xfId="13692"/>
    <cellStyle name="Normal 4 3 4 2 4" xfId="11907"/>
    <cellStyle name="Normal 4 3 4 3" xfId="5298"/>
    <cellStyle name="Normal 4 3 4 3 2" xfId="9041"/>
    <cellStyle name="Normal 4 3 4 3 2 2" xfId="15585"/>
    <cellStyle name="Normal 4 3 4 3 3" xfId="7322"/>
    <cellStyle name="Normal 4 3 4 3 3 2" xfId="14004"/>
    <cellStyle name="Normal 4 3 4 3 4" xfId="12219"/>
    <cellStyle name="Normal 4 3 4 4" xfId="5736"/>
    <cellStyle name="Normal 4 3 4 4 2" xfId="9477"/>
    <cellStyle name="Normal 4 3 4 4 2 2" xfId="15979"/>
    <cellStyle name="Normal 4 3 4 4 3" xfId="7758"/>
    <cellStyle name="Normal 4 3 4 4 3 2" xfId="14398"/>
    <cellStyle name="Normal 4 3 4 4 4" xfId="12629"/>
    <cellStyle name="Normal 4 3 4 5" xfId="9978"/>
    <cellStyle name="Normal 4 3 4 5 2" xfId="16459"/>
    <cellStyle name="Normal 4 3 4 6" xfId="8235"/>
    <cellStyle name="Normal 4 3 4 6 2" xfId="14792"/>
    <cellStyle name="Normal 4 3 4 7" xfId="6516"/>
    <cellStyle name="Normal 4 3 4 7 2" xfId="13206"/>
    <cellStyle name="Normal 4 3 4 8" xfId="11415"/>
    <cellStyle name="Normal 4 3 5" xfId="4686"/>
    <cellStyle name="Normal 4 3 5 2" xfId="8432"/>
    <cellStyle name="Normal 4 3 5 2 2" xfId="14984"/>
    <cellStyle name="Normal 4 3 5 3" xfId="6713"/>
    <cellStyle name="Normal 4 3 5 3 2" xfId="13403"/>
    <cellStyle name="Normal 4 3 5 4" xfId="11617"/>
    <cellStyle name="Normal 4 3 6" xfId="5097"/>
    <cellStyle name="Normal 4 3 6 2" xfId="8840"/>
    <cellStyle name="Normal 4 3 6 2 2" xfId="15388"/>
    <cellStyle name="Normal 4 3 6 3" xfId="7121"/>
    <cellStyle name="Normal 4 3 6 3 2" xfId="13807"/>
    <cellStyle name="Normal 4 3 6 4" xfId="12022"/>
    <cellStyle name="Normal 4 3 7" xfId="5534"/>
    <cellStyle name="Normal 4 3 7 2" xfId="9275"/>
    <cellStyle name="Normal 4 3 7 2 2" xfId="15782"/>
    <cellStyle name="Normal 4 3 7 3" xfId="7556"/>
    <cellStyle name="Normal 4 3 7 3 2" xfId="14201"/>
    <cellStyle name="Normal 4 3 7 4" xfId="12427"/>
    <cellStyle name="Normal 4 3 8" xfId="9666"/>
    <cellStyle name="Normal 4 3 8 2" xfId="16168"/>
    <cellStyle name="Normal 4 3 9" xfId="7955"/>
    <cellStyle name="Normal 4 3 9 2" xfId="14595"/>
    <cellStyle name="Normal 4 4" xfId="24"/>
    <cellStyle name="Normal 4 4 2" xfId="4459"/>
    <cellStyle name="Normal 4 4 2 2" xfId="4983"/>
    <cellStyle name="Normal 4 4 2 2 2" xfId="8726"/>
    <cellStyle name="Normal 4 4 2 2 2 2" xfId="15274"/>
    <cellStyle name="Normal 4 4 2 2 3" xfId="7007"/>
    <cellStyle name="Normal 4 4 2 2 3 2" xfId="13693"/>
    <cellStyle name="Normal 4 4 2 2 4" xfId="11908"/>
    <cellStyle name="Normal 4 4 2 3" xfId="5287"/>
    <cellStyle name="Normal 4 4 2 3 2" xfId="9030"/>
    <cellStyle name="Normal 4 4 2 3 2 2" xfId="15574"/>
    <cellStyle name="Normal 4 4 2 3 3" xfId="7311"/>
    <cellStyle name="Normal 4 4 2 3 3 2" xfId="13993"/>
    <cellStyle name="Normal 4 4 2 3 4" xfId="12208"/>
    <cellStyle name="Normal 4 4 2 4" xfId="5725"/>
    <cellStyle name="Normal 4 4 2 4 2" xfId="9466"/>
    <cellStyle name="Normal 4 4 2 4 2 2" xfId="15968"/>
    <cellStyle name="Normal 4 4 2 4 3" xfId="7747"/>
    <cellStyle name="Normal 4 4 2 4 3 2" xfId="14387"/>
    <cellStyle name="Normal 4 4 2 4 4" xfId="12618"/>
    <cellStyle name="Normal 4 4 2 5" xfId="9979"/>
    <cellStyle name="Normal 4 4 2 5 2" xfId="16460"/>
    <cellStyle name="Normal 4 4 2 6" xfId="8224"/>
    <cellStyle name="Normal 4 4 2 6 2" xfId="14781"/>
    <cellStyle name="Normal 4 4 2 7" xfId="6505"/>
    <cellStyle name="Normal 4 4 2 7 2" xfId="13195"/>
    <cellStyle name="Normal 4 4 2 8" xfId="11404"/>
    <cellStyle name="Normal 4 4 3" xfId="4774"/>
    <cellStyle name="Normal 4 4 3 2" xfId="8517"/>
    <cellStyle name="Normal 4 4 3 2 2" xfId="15069"/>
    <cellStyle name="Normal 4 4 3 3" xfId="6798"/>
    <cellStyle name="Normal 4 4 3 3 2" xfId="13488"/>
    <cellStyle name="Normal 4 4 3 4" xfId="11703"/>
    <cellStyle name="Normal 4 4 4" xfId="5086"/>
    <cellStyle name="Normal 4 4 4 2" xfId="8829"/>
    <cellStyle name="Normal 4 4 4 2 2" xfId="15377"/>
    <cellStyle name="Normal 4 4 4 3" xfId="7110"/>
    <cellStyle name="Normal 4 4 4 3 2" xfId="13796"/>
    <cellStyle name="Normal 4 4 4 4" xfId="12011"/>
    <cellStyle name="Normal 4 4 5" xfId="5523"/>
    <cellStyle name="Normal 4 4 5 2" xfId="9264"/>
    <cellStyle name="Normal 4 4 5 2 2" xfId="15771"/>
    <cellStyle name="Normal 4 4 5 3" xfId="7545"/>
    <cellStyle name="Normal 4 4 5 3 2" xfId="14190"/>
    <cellStyle name="Normal 4 4 5 4" xfId="12416"/>
    <cellStyle name="Normal 4 4 6" xfId="9764"/>
    <cellStyle name="Normal 4 4 6 2" xfId="16255"/>
    <cellStyle name="Normal 4 4 7" xfId="7944"/>
    <cellStyle name="Normal 4 4 7 2" xfId="14584"/>
    <cellStyle name="Normal 4 4 8" xfId="5923"/>
    <cellStyle name="Normal 4 4 8 2" xfId="12816"/>
    <cellStyle name="Normal 4 4 9" xfId="10258"/>
    <cellStyle name="Normal 4 5" xfId="4153"/>
    <cellStyle name="Normal 4 5 2" xfId="4557"/>
    <cellStyle name="Normal 4 5 2 2" xfId="4984"/>
    <cellStyle name="Normal 4 5 2 2 2" xfId="8727"/>
    <cellStyle name="Normal 4 5 2 2 2 2" xfId="15275"/>
    <cellStyle name="Normal 4 5 2 2 3" xfId="7008"/>
    <cellStyle name="Normal 4 5 2 2 3 2" xfId="13694"/>
    <cellStyle name="Normal 4 5 2 2 4" xfId="11909"/>
    <cellStyle name="Normal 4 5 2 3" xfId="5384"/>
    <cellStyle name="Normal 4 5 2 3 2" xfId="9127"/>
    <cellStyle name="Normal 4 5 2 3 2 2" xfId="15671"/>
    <cellStyle name="Normal 4 5 2 3 3" xfId="7408"/>
    <cellStyle name="Normal 4 5 2 3 3 2" xfId="14090"/>
    <cellStyle name="Normal 4 5 2 3 4" xfId="12305"/>
    <cellStyle name="Normal 4 5 2 4" xfId="5822"/>
    <cellStyle name="Normal 4 5 2 4 2" xfId="9563"/>
    <cellStyle name="Normal 4 5 2 4 2 2" xfId="16065"/>
    <cellStyle name="Normal 4 5 2 4 3" xfId="7844"/>
    <cellStyle name="Normal 4 5 2 4 3 2" xfId="14484"/>
    <cellStyle name="Normal 4 5 2 4 4" xfId="12715"/>
    <cellStyle name="Normal 4 5 2 5" xfId="9980"/>
    <cellStyle name="Normal 4 5 2 5 2" xfId="16461"/>
    <cellStyle name="Normal 4 5 2 6" xfId="8321"/>
    <cellStyle name="Normal 4 5 2 6 2" xfId="14878"/>
    <cellStyle name="Normal 4 5 2 7" xfId="6602"/>
    <cellStyle name="Normal 4 5 2 7 2" xfId="13292"/>
    <cellStyle name="Normal 4 5 2 8" xfId="11502"/>
    <cellStyle name="Normal 4 5 3" xfId="4824"/>
    <cellStyle name="Normal 4 5 3 2" xfId="8567"/>
    <cellStyle name="Normal 4 5 3 2 2" xfId="15115"/>
    <cellStyle name="Normal 4 5 3 3" xfId="6848"/>
    <cellStyle name="Normal 4 5 3 3 2" xfId="13534"/>
    <cellStyle name="Normal 4 5 3 4" xfId="11749"/>
    <cellStyle name="Normal 4 5 4" xfId="5187"/>
    <cellStyle name="Normal 4 5 4 2" xfId="8930"/>
    <cellStyle name="Normal 4 5 4 2 2" xfId="15474"/>
    <cellStyle name="Normal 4 5 4 3" xfId="7211"/>
    <cellStyle name="Normal 4 5 4 3 2" xfId="13893"/>
    <cellStyle name="Normal 4 5 4 4" xfId="12108"/>
    <cellStyle name="Normal 4 5 5" xfId="5620"/>
    <cellStyle name="Normal 4 5 5 2" xfId="9361"/>
    <cellStyle name="Normal 4 5 5 2 2" xfId="15868"/>
    <cellStyle name="Normal 4 5 5 3" xfId="7642"/>
    <cellStyle name="Normal 4 5 5 3 2" xfId="14287"/>
    <cellStyle name="Normal 4 5 5 4" xfId="12513"/>
    <cellStyle name="Normal 4 5 6" xfId="9815"/>
    <cellStyle name="Normal 4 5 6 2" xfId="16301"/>
    <cellStyle name="Normal 4 5 7" xfId="8081"/>
    <cellStyle name="Normal 4 5 7 2" xfId="14681"/>
    <cellStyle name="Normal 4 5 8" xfId="6354"/>
    <cellStyle name="Normal 4 5 8 2" xfId="13077"/>
    <cellStyle name="Normal 4 5 9" xfId="11296"/>
    <cellStyle name="Normal 4 6" xfId="4407"/>
    <cellStyle name="Normal 4 6 2" xfId="4621"/>
    <cellStyle name="Normal 4 6 2 2" xfId="4986"/>
    <cellStyle name="Normal 4 6 2 2 2" xfId="8729"/>
    <cellStyle name="Normal 4 6 2 2 2 2" xfId="15277"/>
    <cellStyle name="Normal 4 6 2 2 3" xfId="7010"/>
    <cellStyle name="Normal 4 6 2 2 3 2" xfId="13696"/>
    <cellStyle name="Normal 4 6 2 2 4" xfId="11911"/>
    <cellStyle name="Normal 4 6 2 3" xfId="5448"/>
    <cellStyle name="Normal 4 6 2 3 2" xfId="9191"/>
    <cellStyle name="Normal 4 6 2 3 2 2" xfId="15735"/>
    <cellStyle name="Normal 4 6 2 3 3" xfId="7472"/>
    <cellStyle name="Normal 4 6 2 3 3 2" xfId="14154"/>
    <cellStyle name="Normal 4 6 2 3 4" xfId="12369"/>
    <cellStyle name="Normal 4 6 2 4" xfId="5886"/>
    <cellStyle name="Normal 4 6 2 4 2" xfId="9627"/>
    <cellStyle name="Normal 4 6 2 4 2 2" xfId="16129"/>
    <cellStyle name="Normal 4 6 2 4 3" xfId="7908"/>
    <cellStyle name="Normal 4 6 2 4 3 2" xfId="14548"/>
    <cellStyle name="Normal 4 6 2 4 4" xfId="12779"/>
    <cellStyle name="Normal 4 6 2 5" xfId="9982"/>
    <cellStyle name="Normal 4 6 2 5 2" xfId="16463"/>
    <cellStyle name="Normal 4 6 2 6" xfId="8385"/>
    <cellStyle name="Normal 4 6 2 6 2" xfId="14942"/>
    <cellStyle name="Normal 4 6 2 7" xfId="6666"/>
    <cellStyle name="Normal 4 6 2 7 2" xfId="13356"/>
    <cellStyle name="Normal 4 6 2 8" xfId="11566"/>
    <cellStyle name="Normal 4 6 3" xfId="4985"/>
    <cellStyle name="Normal 4 6 3 2" xfId="8728"/>
    <cellStyle name="Normal 4 6 3 2 2" xfId="15276"/>
    <cellStyle name="Normal 4 6 3 3" xfId="7009"/>
    <cellStyle name="Normal 4 6 3 3 2" xfId="13695"/>
    <cellStyle name="Normal 4 6 3 4" xfId="11910"/>
    <cellStyle name="Normal 4 6 4" xfId="5251"/>
    <cellStyle name="Normal 4 6 4 2" xfId="8994"/>
    <cellStyle name="Normal 4 6 4 2 2" xfId="15538"/>
    <cellStyle name="Normal 4 6 4 3" xfId="7275"/>
    <cellStyle name="Normal 4 6 4 3 2" xfId="13957"/>
    <cellStyle name="Normal 4 6 4 4" xfId="12172"/>
    <cellStyle name="Normal 4 6 5" xfId="5689"/>
    <cellStyle name="Normal 4 6 5 2" xfId="9430"/>
    <cellStyle name="Normal 4 6 5 2 2" xfId="15932"/>
    <cellStyle name="Normal 4 6 5 3" xfId="7711"/>
    <cellStyle name="Normal 4 6 5 3 2" xfId="14351"/>
    <cellStyle name="Normal 4 6 5 4" xfId="12582"/>
    <cellStyle name="Normal 4 6 6" xfId="9981"/>
    <cellStyle name="Normal 4 6 6 2" xfId="16462"/>
    <cellStyle name="Normal 4 6 7" xfId="8188"/>
    <cellStyle name="Normal 4 6 7 2" xfId="14745"/>
    <cellStyle name="Normal 4 6 8" xfId="6469"/>
    <cellStyle name="Normal 4 6 8 2" xfId="13159"/>
    <cellStyle name="Normal 4 6 9" xfId="11365"/>
    <cellStyle name="Normal 4 7" xfId="4424"/>
    <cellStyle name="Normal 4 7 2" xfId="4633"/>
    <cellStyle name="Normal 4 7 2 2" xfId="4988"/>
    <cellStyle name="Normal 4 7 2 2 2" xfId="8731"/>
    <cellStyle name="Normal 4 7 2 2 2 2" xfId="15279"/>
    <cellStyle name="Normal 4 7 2 2 3" xfId="7012"/>
    <cellStyle name="Normal 4 7 2 2 3 2" xfId="13698"/>
    <cellStyle name="Normal 4 7 2 2 4" xfId="11913"/>
    <cellStyle name="Normal 4 7 2 3" xfId="5460"/>
    <cellStyle name="Normal 4 7 2 3 2" xfId="9203"/>
    <cellStyle name="Normal 4 7 2 3 2 2" xfId="15747"/>
    <cellStyle name="Normal 4 7 2 3 3" xfId="7484"/>
    <cellStyle name="Normal 4 7 2 3 3 2" xfId="14166"/>
    <cellStyle name="Normal 4 7 2 3 4" xfId="12381"/>
    <cellStyle name="Normal 4 7 2 4" xfId="5898"/>
    <cellStyle name="Normal 4 7 2 4 2" xfId="9639"/>
    <cellStyle name="Normal 4 7 2 4 2 2" xfId="16141"/>
    <cellStyle name="Normal 4 7 2 4 3" xfId="7920"/>
    <cellStyle name="Normal 4 7 2 4 3 2" xfId="14560"/>
    <cellStyle name="Normal 4 7 2 4 4" xfId="12791"/>
    <cellStyle name="Normal 4 7 2 5" xfId="9984"/>
    <cellStyle name="Normal 4 7 2 5 2" xfId="16465"/>
    <cellStyle name="Normal 4 7 2 6" xfId="8397"/>
    <cellStyle name="Normal 4 7 2 6 2" xfId="14954"/>
    <cellStyle name="Normal 4 7 2 7" xfId="6678"/>
    <cellStyle name="Normal 4 7 2 7 2" xfId="13368"/>
    <cellStyle name="Normal 4 7 2 8" xfId="11578"/>
    <cellStyle name="Normal 4 7 3" xfId="4987"/>
    <cellStyle name="Normal 4 7 3 2" xfId="8730"/>
    <cellStyle name="Normal 4 7 3 2 2" xfId="15278"/>
    <cellStyle name="Normal 4 7 3 3" xfId="7011"/>
    <cellStyle name="Normal 4 7 3 3 2" xfId="13697"/>
    <cellStyle name="Normal 4 7 3 4" xfId="11912"/>
    <cellStyle name="Normal 4 7 4" xfId="5263"/>
    <cellStyle name="Normal 4 7 4 2" xfId="9006"/>
    <cellStyle name="Normal 4 7 4 2 2" xfId="15550"/>
    <cellStyle name="Normal 4 7 4 3" xfId="7287"/>
    <cellStyle name="Normal 4 7 4 3 2" xfId="13969"/>
    <cellStyle name="Normal 4 7 4 4" xfId="12184"/>
    <cellStyle name="Normal 4 7 5" xfId="5701"/>
    <cellStyle name="Normal 4 7 5 2" xfId="9442"/>
    <cellStyle name="Normal 4 7 5 2 2" xfId="15944"/>
    <cellStyle name="Normal 4 7 5 3" xfId="7723"/>
    <cellStyle name="Normal 4 7 5 3 2" xfId="14363"/>
    <cellStyle name="Normal 4 7 5 4" xfId="12594"/>
    <cellStyle name="Normal 4 7 6" xfId="9983"/>
    <cellStyle name="Normal 4 7 6 2" xfId="16464"/>
    <cellStyle name="Normal 4 7 7" xfId="8200"/>
    <cellStyle name="Normal 4 7 7 2" xfId="14757"/>
    <cellStyle name="Normal 4 7 8" xfId="6481"/>
    <cellStyle name="Normal 4 7 8 2" xfId="13171"/>
    <cellStyle name="Normal 4 7 9" xfId="11379"/>
    <cellStyle name="Normal 4 8" xfId="4451"/>
    <cellStyle name="Normal 4 8 2" xfId="4989"/>
    <cellStyle name="Normal 4 8 2 2" xfId="8732"/>
    <cellStyle name="Normal 4 8 2 2 2" xfId="15280"/>
    <cellStyle name="Normal 4 8 2 3" xfId="7013"/>
    <cellStyle name="Normal 4 8 2 3 2" xfId="13699"/>
    <cellStyle name="Normal 4 8 2 4" xfId="11914"/>
    <cellStyle name="Normal 4 8 3" xfId="5279"/>
    <cellStyle name="Normal 4 8 3 2" xfId="9022"/>
    <cellStyle name="Normal 4 8 3 2 2" xfId="15566"/>
    <cellStyle name="Normal 4 8 3 3" xfId="7303"/>
    <cellStyle name="Normal 4 8 3 3 2" xfId="13985"/>
    <cellStyle name="Normal 4 8 3 4" xfId="12200"/>
    <cellStyle name="Normal 4 8 4" xfId="5717"/>
    <cellStyle name="Normal 4 8 4 2" xfId="9458"/>
    <cellStyle name="Normal 4 8 4 2 2" xfId="15960"/>
    <cellStyle name="Normal 4 8 4 3" xfId="7739"/>
    <cellStyle name="Normal 4 8 4 3 2" xfId="14379"/>
    <cellStyle name="Normal 4 8 4 4" xfId="12610"/>
    <cellStyle name="Normal 4 8 5" xfId="9985"/>
    <cellStyle name="Normal 4 8 5 2" xfId="16466"/>
    <cellStyle name="Normal 4 8 6" xfId="8216"/>
    <cellStyle name="Normal 4 8 6 2" xfId="14773"/>
    <cellStyle name="Normal 4 8 7" xfId="6497"/>
    <cellStyle name="Normal 4 8 7 2" xfId="13187"/>
    <cellStyle name="Normal 4 8 8" xfId="11396"/>
    <cellStyle name="Normal 4 9" xfId="4683"/>
    <cellStyle name="Normal 4 9 2" xfId="8429"/>
    <cellStyle name="Normal 4 9 2 2" xfId="14981"/>
    <cellStyle name="Normal 4 9 3" xfId="6710"/>
    <cellStyle name="Normal 4 9 3 2" xfId="13400"/>
    <cellStyle name="Normal 4 9 4" xfId="11614"/>
    <cellStyle name="Normal 40" xfId="4154"/>
    <cellStyle name="Normal 40 2" xfId="4558"/>
    <cellStyle name="Normal 40 2 2" xfId="4990"/>
    <cellStyle name="Normal 40 2 2 2" xfId="8733"/>
    <cellStyle name="Normal 40 2 2 2 2" xfId="15281"/>
    <cellStyle name="Normal 40 2 2 3" xfId="7014"/>
    <cellStyle name="Normal 40 2 2 3 2" xfId="13700"/>
    <cellStyle name="Normal 40 2 2 4" xfId="11915"/>
    <cellStyle name="Normal 40 2 3" xfId="5385"/>
    <cellStyle name="Normal 40 2 3 2" xfId="9128"/>
    <cellStyle name="Normal 40 2 3 2 2" xfId="15672"/>
    <cellStyle name="Normal 40 2 3 3" xfId="7409"/>
    <cellStyle name="Normal 40 2 3 3 2" xfId="14091"/>
    <cellStyle name="Normal 40 2 3 4" xfId="12306"/>
    <cellStyle name="Normal 40 2 4" xfId="5823"/>
    <cellStyle name="Normal 40 2 4 2" xfId="9564"/>
    <cellStyle name="Normal 40 2 4 2 2" xfId="16066"/>
    <cellStyle name="Normal 40 2 4 3" xfId="7845"/>
    <cellStyle name="Normal 40 2 4 3 2" xfId="14485"/>
    <cellStyle name="Normal 40 2 4 4" xfId="12716"/>
    <cellStyle name="Normal 40 2 5" xfId="9986"/>
    <cellStyle name="Normal 40 2 5 2" xfId="16467"/>
    <cellStyle name="Normal 40 2 6" xfId="8322"/>
    <cellStyle name="Normal 40 2 6 2" xfId="14879"/>
    <cellStyle name="Normal 40 2 7" xfId="6603"/>
    <cellStyle name="Normal 40 2 7 2" xfId="13293"/>
    <cellStyle name="Normal 40 2 8" xfId="11503"/>
    <cellStyle name="Normal 40 3" xfId="4753"/>
    <cellStyle name="Normal 40 3 2" xfId="8496"/>
    <cellStyle name="Normal 40 3 2 2" xfId="15048"/>
    <cellStyle name="Normal 40 3 3" xfId="6777"/>
    <cellStyle name="Normal 40 3 3 2" xfId="13467"/>
    <cellStyle name="Normal 40 3 4" xfId="11682"/>
    <cellStyle name="Normal 40 4" xfId="5188"/>
    <cellStyle name="Normal 40 4 2" xfId="8931"/>
    <cellStyle name="Normal 40 4 2 2" xfId="15475"/>
    <cellStyle name="Normal 40 4 3" xfId="7212"/>
    <cellStyle name="Normal 40 4 3 2" xfId="13894"/>
    <cellStyle name="Normal 40 4 4" xfId="12109"/>
    <cellStyle name="Normal 40 5" xfId="5621"/>
    <cellStyle name="Normal 40 5 2" xfId="9362"/>
    <cellStyle name="Normal 40 5 2 2" xfId="15869"/>
    <cellStyle name="Normal 40 5 3" xfId="7643"/>
    <cellStyle name="Normal 40 5 3 2" xfId="14288"/>
    <cellStyle name="Normal 40 5 4" xfId="12514"/>
    <cellStyle name="Normal 40 6" xfId="9741"/>
    <cellStyle name="Normal 40 6 2" xfId="16234"/>
    <cellStyle name="Normal 40 7" xfId="8082"/>
    <cellStyle name="Normal 40 7 2" xfId="14682"/>
    <cellStyle name="Normal 40 8" xfId="6355"/>
    <cellStyle name="Normal 40 8 2" xfId="13078"/>
    <cellStyle name="Normal 40 9" xfId="11297"/>
    <cellStyle name="Normal 41" xfId="4155"/>
    <cellStyle name="Normal 42" xfId="4156"/>
    <cellStyle name="Normal 42 2" xfId="4559"/>
    <cellStyle name="Normal 42 2 2" xfId="4991"/>
    <cellStyle name="Normal 42 2 2 2" xfId="8734"/>
    <cellStyle name="Normal 42 2 2 2 2" xfId="15282"/>
    <cellStyle name="Normal 42 2 2 3" xfId="7015"/>
    <cellStyle name="Normal 42 2 2 3 2" xfId="13701"/>
    <cellStyle name="Normal 42 2 2 4" xfId="11916"/>
    <cellStyle name="Normal 42 2 3" xfId="5386"/>
    <cellStyle name="Normal 42 2 3 2" xfId="9129"/>
    <cellStyle name="Normal 42 2 3 2 2" xfId="15673"/>
    <cellStyle name="Normal 42 2 3 3" xfId="7410"/>
    <cellStyle name="Normal 42 2 3 3 2" xfId="14092"/>
    <cellStyle name="Normal 42 2 3 4" xfId="12307"/>
    <cellStyle name="Normal 42 2 4" xfId="5824"/>
    <cellStyle name="Normal 42 2 4 2" xfId="9565"/>
    <cellStyle name="Normal 42 2 4 2 2" xfId="16067"/>
    <cellStyle name="Normal 42 2 4 3" xfId="7846"/>
    <cellStyle name="Normal 42 2 4 3 2" xfId="14486"/>
    <cellStyle name="Normal 42 2 4 4" xfId="12717"/>
    <cellStyle name="Normal 42 2 5" xfId="9987"/>
    <cellStyle name="Normal 42 2 5 2" xfId="16468"/>
    <cellStyle name="Normal 42 2 6" xfId="8323"/>
    <cellStyle name="Normal 42 2 6 2" xfId="14880"/>
    <cellStyle name="Normal 42 2 7" xfId="6604"/>
    <cellStyle name="Normal 42 2 7 2" xfId="13294"/>
    <cellStyle name="Normal 42 2 8" xfId="11504"/>
    <cellStyle name="Normal 42 3" xfId="4841"/>
    <cellStyle name="Normal 42 3 2" xfId="8584"/>
    <cellStyle name="Normal 42 3 2 2" xfId="15132"/>
    <cellStyle name="Normal 42 3 3" xfId="6865"/>
    <cellStyle name="Normal 42 3 3 2" xfId="13551"/>
    <cellStyle name="Normal 42 3 4" xfId="11766"/>
    <cellStyle name="Normal 42 4" xfId="5189"/>
    <cellStyle name="Normal 42 4 2" xfId="8932"/>
    <cellStyle name="Normal 42 4 2 2" xfId="15476"/>
    <cellStyle name="Normal 42 4 3" xfId="7213"/>
    <cellStyle name="Normal 42 4 3 2" xfId="13895"/>
    <cellStyle name="Normal 42 4 4" xfId="12110"/>
    <cellStyle name="Normal 42 5" xfId="5622"/>
    <cellStyle name="Normal 42 5 2" xfId="9363"/>
    <cellStyle name="Normal 42 5 2 2" xfId="15870"/>
    <cellStyle name="Normal 42 5 3" xfId="7644"/>
    <cellStyle name="Normal 42 5 3 2" xfId="14289"/>
    <cellStyle name="Normal 42 5 4" xfId="12515"/>
    <cellStyle name="Normal 42 6" xfId="9832"/>
    <cellStyle name="Normal 42 6 2" xfId="16318"/>
    <cellStyle name="Normal 42 7" xfId="8083"/>
    <cellStyle name="Normal 42 7 2" xfId="14683"/>
    <cellStyle name="Normal 42 8" xfId="6356"/>
    <cellStyle name="Normal 42 8 2" xfId="13079"/>
    <cellStyle name="Normal 42 9" xfId="11298"/>
    <cellStyle name="Normal 43" xfId="4402"/>
    <cellStyle name="Normal 43 2" xfId="4644"/>
    <cellStyle name="Normal 43 2 2" xfId="4848"/>
    <cellStyle name="Normal 43 2 2 2" xfId="8591"/>
    <cellStyle name="Normal 43 2 2 2 2" xfId="15139"/>
    <cellStyle name="Normal 43 2 2 3" xfId="6872"/>
    <cellStyle name="Normal 43 2 2 3 2" xfId="13558"/>
    <cellStyle name="Normal 43 2 2 4" xfId="11773"/>
    <cellStyle name="Normal 43 2 3" xfId="5471"/>
    <cellStyle name="Normal 43 2 3 2" xfId="9214"/>
    <cellStyle name="Normal 43 2 3 2 2" xfId="15758"/>
    <cellStyle name="Normal 43 2 3 3" xfId="7495"/>
    <cellStyle name="Normal 43 2 3 3 2" xfId="14177"/>
    <cellStyle name="Normal 43 2 3 4" xfId="12392"/>
    <cellStyle name="Normal 43 2 4" xfId="5909"/>
    <cellStyle name="Normal 43 2 4 2" xfId="9650"/>
    <cellStyle name="Normal 43 2 4 2 2" xfId="16152"/>
    <cellStyle name="Normal 43 2 4 3" xfId="7931"/>
    <cellStyle name="Normal 43 2 4 3 2" xfId="14571"/>
    <cellStyle name="Normal 43 2 4 4" xfId="12802"/>
    <cellStyle name="Normal 43 2 5" xfId="9839"/>
    <cellStyle name="Normal 43 2 5 2" xfId="16325"/>
    <cellStyle name="Normal 43 2 6" xfId="8408"/>
    <cellStyle name="Normal 43 2 6 2" xfId="14965"/>
    <cellStyle name="Normal 43 2 7" xfId="6689"/>
    <cellStyle name="Normal 43 2 7 2" xfId="13379"/>
    <cellStyle name="Normal 43 2 8" xfId="11589"/>
    <cellStyle name="Normal 43 3" xfId="4846"/>
    <cellStyle name="Normal 43 3 2" xfId="8589"/>
    <cellStyle name="Normal 43 3 2 2" xfId="15137"/>
    <cellStyle name="Normal 43 3 3" xfId="6870"/>
    <cellStyle name="Normal 43 3 3 2" xfId="13556"/>
    <cellStyle name="Normal 43 3 4" xfId="11771"/>
    <cellStyle name="Normal 43 4" xfId="9837"/>
    <cellStyle name="Normal 43 4 2" xfId="16323"/>
    <cellStyle name="Normal 44" xfId="4403"/>
    <cellStyle name="Normal 45" xfId="4409"/>
    <cellStyle name="Normal 46" xfId="4420"/>
    <cellStyle name="Normal 47" xfId="4410"/>
    <cellStyle name="Normal 48" xfId="4435"/>
    <cellStyle name="Normal 49" xfId="4438"/>
    <cellStyle name="Normal 5" xfId="4157"/>
    <cellStyle name="Normal 5 10" xfId="9679"/>
    <cellStyle name="Normal 5 10 2" xfId="16179"/>
    <cellStyle name="Normal 5 11" xfId="4158"/>
    <cellStyle name="Normal 5 12" xfId="8084"/>
    <cellStyle name="Normal 5 12 2" xfId="14684"/>
    <cellStyle name="Normal 5 13" xfId="6357"/>
    <cellStyle name="Normal 5 13 2" xfId="13080"/>
    <cellStyle name="Normal 5 14" xfId="11299"/>
    <cellStyle name="Normal 5 2" xfId="4159"/>
    <cellStyle name="Normal 5 2 2" xfId="4561"/>
    <cellStyle name="Normal 5 2 2 2" xfId="4992"/>
    <cellStyle name="Normal 5 2 2 2 2" xfId="8735"/>
    <cellStyle name="Normal 5 2 2 2 2 2" xfId="15283"/>
    <cellStyle name="Normal 5 2 2 2 3" xfId="7016"/>
    <cellStyle name="Normal 5 2 2 2 3 2" xfId="13702"/>
    <cellStyle name="Normal 5 2 2 2 4" xfId="11917"/>
    <cellStyle name="Normal 5 2 2 3" xfId="5388"/>
    <cellStyle name="Normal 5 2 2 3 2" xfId="9131"/>
    <cellStyle name="Normal 5 2 2 3 2 2" xfId="15675"/>
    <cellStyle name="Normal 5 2 2 3 3" xfId="7412"/>
    <cellStyle name="Normal 5 2 2 3 3 2" xfId="14094"/>
    <cellStyle name="Normal 5 2 2 3 4" xfId="12309"/>
    <cellStyle name="Normal 5 2 2 4" xfId="5826"/>
    <cellStyle name="Normal 5 2 2 4 2" xfId="9567"/>
    <cellStyle name="Normal 5 2 2 4 2 2" xfId="16069"/>
    <cellStyle name="Normal 5 2 2 4 3" xfId="7848"/>
    <cellStyle name="Normal 5 2 2 4 3 2" xfId="14488"/>
    <cellStyle name="Normal 5 2 2 4 4" xfId="12719"/>
    <cellStyle name="Normal 5 2 2 5" xfId="9988"/>
    <cellStyle name="Normal 5 2 2 5 2" xfId="16469"/>
    <cellStyle name="Normal 5 2 2 6" xfId="8325"/>
    <cellStyle name="Normal 5 2 2 6 2" xfId="14882"/>
    <cellStyle name="Normal 5 2 2 7" xfId="6606"/>
    <cellStyle name="Normal 5 2 2 7 2" xfId="13296"/>
    <cellStyle name="Normal 5 2 2 8" xfId="11506"/>
    <cellStyle name="Normal 5 2 3" xfId="4782"/>
    <cellStyle name="Normal 5 2 3 2" xfId="8525"/>
    <cellStyle name="Normal 5 2 3 2 2" xfId="15077"/>
    <cellStyle name="Normal 5 2 3 3" xfId="6806"/>
    <cellStyle name="Normal 5 2 3 3 2" xfId="13496"/>
    <cellStyle name="Normal 5 2 3 4" xfId="11711"/>
    <cellStyle name="Normal 5 2 4" xfId="5191"/>
    <cellStyle name="Normal 5 2 4 2" xfId="8934"/>
    <cellStyle name="Normal 5 2 4 2 2" xfId="15478"/>
    <cellStyle name="Normal 5 2 4 3" xfId="7215"/>
    <cellStyle name="Normal 5 2 4 3 2" xfId="13897"/>
    <cellStyle name="Normal 5 2 4 4" xfId="12112"/>
    <cellStyle name="Normal 5 2 5" xfId="5624"/>
    <cellStyle name="Normal 5 2 5 2" xfId="9365"/>
    <cellStyle name="Normal 5 2 5 2 2" xfId="15872"/>
    <cellStyle name="Normal 5 2 5 3" xfId="7646"/>
    <cellStyle name="Normal 5 2 5 3 2" xfId="14291"/>
    <cellStyle name="Normal 5 2 5 4" xfId="12517"/>
    <cellStyle name="Normal 5 2 6" xfId="9772"/>
    <cellStyle name="Normal 5 2 6 2" xfId="16263"/>
    <cellStyle name="Normal 5 2 7" xfId="8085"/>
    <cellStyle name="Normal 5 2 7 2" xfId="14685"/>
    <cellStyle name="Normal 5 2 8" xfId="6358"/>
    <cellStyle name="Normal 5 2 8 2" xfId="13081"/>
    <cellStyle name="Normal 5 2 9" xfId="11300"/>
    <cellStyle name="Normal 5 3" xfId="4160"/>
    <cellStyle name="Normal 5 4" xfId="4417"/>
    <cellStyle name="Normal 5 4 2" xfId="4627"/>
    <cellStyle name="Normal 5 4 2 2" xfId="4994"/>
    <cellStyle name="Normal 5 4 2 2 2" xfId="8737"/>
    <cellStyle name="Normal 5 4 2 2 2 2" xfId="15285"/>
    <cellStyle name="Normal 5 4 2 2 3" xfId="7018"/>
    <cellStyle name="Normal 5 4 2 2 3 2" xfId="13704"/>
    <cellStyle name="Normal 5 4 2 2 4" xfId="11919"/>
    <cellStyle name="Normal 5 4 2 3" xfId="5454"/>
    <cellStyle name="Normal 5 4 2 3 2" xfId="9197"/>
    <cellStyle name="Normal 5 4 2 3 2 2" xfId="15741"/>
    <cellStyle name="Normal 5 4 2 3 3" xfId="7478"/>
    <cellStyle name="Normal 5 4 2 3 3 2" xfId="14160"/>
    <cellStyle name="Normal 5 4 2 3 4" xfId="12375"/>
    <cellStyle name="Normal 5 4 2 4" xfId="5892"/>
    <cellStyle name="Normal 5 4 2 4 2" xfId="9633"/>
    <cellStyle name="Normal 5 4 2 4 2 2" xfId="16135"/>
    <cellStyle name="Normal 5 4 2 4 3" xfId="7914"/>
    <cellStyle name="Normal 5 4 2 4 3 2" xfId="14554"/>
    <cellStyle name="Normal 5 4 2 4 4" xfId="12785"/>
    <cellStyle name="Normal 5 4 2 5" xfId="9990"/>
    <cellStyle name="Normal 5 4 2 5 2" xfId="16471"/>
    <cellStyle name="Normal 5 4 2 6" xfId="8391"/>
    <cellStyle name="Normal 5 4 2 6 2" xfId="14948"/>
    <cellStyle name="Normal 5 4 2 7" xfId="6672"/>
    <cellStyle name="Normal 5 4 2 7 2" xfId="13362"/>
    <cellStyle name="Normal 5 4 2 8" xfId="11572"/>
    <cellStyle name="Normal 5 4 3" xfId="4993"/>
    <cellStyle name="Normal 5 4 3 2" xfId="8736"/>
    <cellStyle name="Normal 5 4 3 2 2" xfId="15284"/>
    <cellStyle name="Normal 5 4 3 3" xfId="7017"/>
    <cellStyle name="Normal 5 4 3 3 2" xfId="13703"/>
    <cellStyle name="Normal 5 4 3 4" xfId="11918"/>
    <cellStyle name="Normal 5 4 4" xfId="5257"/>
    <cellStyle name="Normal 5 4 4 2" xfId="9000"/>
    <cellStyle name="Normal 5 4 4 2 2" xfId="15544"/>
    <cellStyle name="Normal 5 4 4 3" xfId="7281"/>
    <cellStyle name="Normal 5 4 4 3 2" xfId="13963"/>
    <cellStyle name="Normal 5 4 4 4" xfId="12178"/>
    <cellStyle name="Normal 5 4 5" xfId="5695"/>
    <cellStyle name="Normal 5 4 5 2" xfId="9436"/>
    <cellStyle name="Normal 5 4 5 2 2" xfId="15938"/>
    <cellStyle name="Normal 5 4 5 3" xfId="7717"/>
    <cellStyle name="Normal 5 4 5 3 2" xfId="14357"/>
    <cellStyle name="Normal 5 4 5 4" xfId="12588"/>
    <cellStyle name="Normal 5 4 6" xfId="9989"/>
    <cellStyle name="Normal 5 4 6 2" xfId="16470"/>
    <cellStyle name="Normal 5 4 7" xfId="8194"/>
    <cellStyle name="Normal 5 4 7 2" xfId="14751"/>
    <cellStyle name="Normal 5 4 8" xfId="6475"/>
    <cellStyle name="Normal 5 4 8 2" xfId="13165"/>
    <cellStyle name="Normal 5 4 9" xfId="11373"/>
    <cellStyle name="Normal 5 5" xfId="4430"/>
    <cellStyle name="Normal 5 5 2" xfId="4639"/>
    <cellStyle name="Normal 5 5 2 2" xfId="4996"/>
    <cellStyle name="Normal 5 5 2 2 2" xfId="8739"/>
    <cellStyle name="Normal 5 5 2 2 2 2" xfId="15287"/>
    <cellStyle name="Normal 5 5 2 2 3" xfId="7020"/>
    <cellStyle name="Normal 5 5 2 2 3 2" xfId="13706"/>
    <cellStyle name="Normal 5 5 2 2 4" xfId="11921"/>
    <cellStyle name="Normal 5 5 2 3" xfId="5466"/>
    <cellStyle name="Normal 5 5 2 3 2" xfId="9209"/>
    <cellStyle name="Normal 5 5 2 3 2 2" xfId="15753"/>
    <cellStyle name="Normal 5 5 2 3 3" xfId="7490"/>
    <cellStyle name="Normal 5 5 2 3 3 2" xfId="14172"/>
    <cellStyle name="Normal 5 5 2 3 4" xfId="12387"/>
    <cellStyle name="Normal 5 5 2 4" xfId="5904"/>
    <cellStyle name="Normal 5 5 2 4 2" xfId="9645"/>
    <cellStyle name="Normal 5 5 2 4 2 2" xfId="16147"/>
    <cellStyle name="Normal 5 5 2 4 3" xfId="7926"/>
    <cellStyle name="Normal 5 5 2 4 3 2" xfId="14566"/>
    <cellStyle name="Normal 5 5 2 4 4" xfId="12797"/>
    <cellStyle name="Normal 5 5 2 5" xfId="9992"/>
    <cellStyle name="Normal 5 5 2 5 2" xfId="16473"/>
    <cellStyle name="Normal 5 5 2 6" xfId="8403"/>
    <cellStyle name="Normal 5 5 2 6 2" xfId="14960"/>
    <cellStyle name="Normal 5 5 2 7" xfId="6684"/>
    <cellStyle name="Normal 5 5 2 7 2" xfId="13374"/>
    <cellStyle name="Normal 5 5 2 8" xfId="11584"/>
    <cellStyle name="Normal 5 5 3" xfId="4995"/>
    <cellStyle name="Normal 5 5 3 2" xfId="8738"/>
    <cellStyle name="Normal 5 5 3 2 2" xfId="15286"/>
    <cellStyle name="Normal 5 5 3 3" xfId="7019"/>
    <cellStyle name="Normal 5 5 3 3 2" xfId="13705"/>
    <cellStyle name="Normal 5 5 3 4" xfId="11920"/>
    <cellStyle name="Normal 5 5 4" xfId="5269"/>
    <cellStyle name="Normal 5 5 4 2" xfId="9012"/>
    <cellStyle name="Normal 5 5 4 2 2" xfId="15556"/>
    <cellStyle name="Normal 5 5 4 3" xfId="7293"/>
    <cellStyle name="Normal 5 5 4 3 2" xfId="13975"/>
    <cellStyle name="Normal 5 5 4 4" xfId="12190"/>
    <cellStyle name="Normal 5 5 5" xfId="5707"/>
    <cellStyle name="Normal 5 5 5 2" xfId="9448"/>
    <cellStyle name="Normal 5 5 5 2 2" xfId="15950"/>
    <cellStyle name="Normal 5 5 5 3" xfId="7729"/>
    <cellStyle name="Normal 5 5 5 3 2" xfId="14369"/>
    <cellStyle name="Normal 5 5 5 4" xfId="12600"/>
    <cellStyle name="Normal 5 5 6" xfId="9991"/>
    <cellStyle name="Normal 5 5 6 2" xfId="16472"/>
    <cellStyle name="Normal 5 5 7" xfId="8206"/>
    <cellStyle name="Normal 5 5 7 2" xfId="14763"/>
    <cellStyle name="Normal 5 5 8" xfId="6487"/>
    <cellStyle name="Normal 5 5 8 2" xfId="13177"/>
    <cellStyle name="Normal 5 5 9" xfId="11385"/>
    <cellStyle name="Normal 5 6" xfId="4560"/>
    <cellStyle name="Normal 5 6 2" xfId="4997"/>
    <cellStyle name="Normal 5 6 2 2" xfId="8740"/>
    <cellStyle name="Normal 5 6 2 2 2" xfId="15288"/>
    <cellStyle name="Normal 5 6 2 3" xfId="7021"/>
    <cellStyle name="Normal 5 6 2 3 2" xfId="13707"/>
    <cellStyle name="Normal 5 6 2 4" xfId="11922"/>
    <cellStyle name="Normal 5 6 3" xfId="5387"/>
    <cellStyle name="Normal 5 6 3 2" xfId="9130"/>
    <cellStyle name="Normal 5 6 3 2 2" xfId="15674"/>
    <cellStyle name="Normal 5 6 3 3" xfId="7411"/>
    <cellStyle name="Normal 5 6 3 3 2" xfId="14093"/>
    <cellStyle name="Normal 5 6 3 4" xfId="12308"/>
    <cellStyle name="Normal 5 6 4" xfId="5825"/>
    <cellStyle name="Normal 5 6 4 2" xfId="9566"/>
    <cellStyle name="Normal 5 6 4 2 2" xfId="16068"/>
    <cellStyle name="Normal 5 6 4 3" xfId="7847"/>
    <cellStyle name="Normal 5 6 4 3 2" xfId="14487"/>
    <cellStyle name="Normal 5 6 4 4" xfId="12718"/>
    <cellStyle name="Normal 5 6 5" xfId="9993"/>
    <cellStyle name="Normal 5 6 5 2" xfId="16474"/>
    <cellStyle name="Normal 5 6 6" xfId="8324"/>
    <cellStyle name="Normal 5 6 6 2" xfId="14881"/>
    <cellStyle name="Normal 5 6 7" xfId="6605"/>
    <cellStyle name="Normal 5 6 7 2" xfId="13295"/>
    <cellStyle name="Normal 5 6 8" xfId="11505"/>
    <cellStyle name="Normal 5 7" xfId="4697"/>
    <cellStyle name="Normal 5 7 2" xfId="8442"/>
    <cellStyle name="Normal 5 7 2 2" xfId="14994"/>
    <cellStyle name="Normal 5 7 3" xfId="6723"/>
    <cellStyle name="Normal 5 7 3 2" xfId="13413"/>
    <cellStyle name="Normal 5 7 4" xfId="11627"/>
    <cellStyle name="Normal 5 8" xfId="5190"/>
    <cellStyle name="Normal 5 8 2" xfId="8933"/>
    <cellStyle name="Normal 5 8 2 2" xfId="15477"/>
    <cellStyle name="Normal 5 8 3" xfId="7214"/>
    <cellStyle name="Normal 5 8 3 2" xfId="13896"/>
    <cellStyle name="Normal 5 8 4" xfId="12111"/>
    <cellStyle name="Normal 5 9" xfId="5623"/>
    <cellStyle name="Normal 5 9 2" xfId="9364"/>
    <cellStyle name="Normal 5 9 2 2" xfId="15871"/>
    <cellStyle name="Normal 5 9 3" xfId="7645"/>
    <cellStyle name="Normal 5 9 3 2" xfId="14290"/>
    <cellStyle name="Normal 5 9 4" xfId="12516"/>
    <cellStyle name="Normal 50" xfId="4437"/>
    <cellStyle name="Normal 51" xfId="4443"/>
    <cellStyle name="Normal 52" xfId="4440"/>
    <cellStyle name="Normal 53" xfId="4442"/>
    <cellStyle name="Normal 54" xfId="4436"/>
    <cellStyle name="Normal 55" xfId="4439"/>
    <cellStyle name="Normal 56" xfId="4441"/>
    <cellStyle name="Normal 57" xfId="4444"/>
    <cellStyle name="Normal 58" xfId="4446"/>
    <cellStyle name="Normal 58 2" xfId="4998"/>
    <cellStyle name="Normal 58 2 2" xfId="8741"/>
    <cellStyle name="Normal 58 2 2 2" xfId="15289"/>
    <cellStyle name="Normal 58 2 3" xfId="7022"/>
    <cellStyle name="Normal 58 2 3 2" xfId="13708"/>
    <cellStyle name="Normal 58 2 4" xfId="11923"/>
    <cellStyle name="Normal 58 3" xfId="5274"/>
    <cellStyle name="Normal 58 3 2" xfId="9017"/>
    <cellStyle name="Normal 58 3 2 2" xfId="15561"/>
    <cellStyle name="Normal 58 3 3" xfId="7298"/>
    <cellStyle name="Normal 58 3 3 2" xfId="13980"/>
    <cellStyle name="Normal 58 3 4" xfId="12195"/>
    <cellStyle name="Normal 58 4" xfId="5712"/>
    <cellStyle name="Normal 58 4 2" xfId="9453"/>
    <cellStyle name="Normal 58 4 2 2" xfId="15955"/>
    <cellStyle name="Normal 58 4 3" xfId="7734"/>
    <cellStyle name="Normal 58 4 3 2" xfId="14374"/>
    <cellStyle name="Normal 58 4 4" xfId="12605"/>
    <cellStyle name="Normal 58 5" xfId="9994"/>
    <cellStyle name="Normal 58 5 2" xfId="16475"/>
    <cellStyle name="Normal 58 6" xfId="8211"/>
    <cellStyle name="Normal 58 6 2" xfId="14768"/>
    <cellStyle name="Normal 58 7" xfId="6492"/>
    <cellStyle name="Normal 58 7 2" xfId="13182"/>
    <cellStyle name="Normal 58 8" xfId="11391"/>
    <cellStyle name="Normal 59" xfId="4668"/>
    <cellStyle name="Normal 59 2" xfId="5072"/>
    <cellStyle name="Normal 59 2 2" xfId="8815"/>
    <cellStyle name="Normal 59 2 2 2" xfId="15363"/>
    <cellStyle name="Normal 59 2 3" xfId="7096"/>
    <cellStyle name="Normal 59 2 3 2" xfId="13782"/>
    <cellStyle name="Normal 59 2 4" xfId="11997"/>
    <cellStyle name="Normal 59 3" xfId="10068"/>
    <cellStyle name="Normal 59 3 2" xfId="16549"/>
    <cellStyle name="Normal 59 4" xfId="8415"/>
    <cellStyle name="Normal 59 4 2" xfId="14967"/>
    <cellStyle name="Normal 59 5" xfId="6696"/>
    <cellStyle name="Normal 59 5 2" xfId="13386"/>
    <cellStyle name="Normal 59 6" xfId="11600"/>
    <cellStyle name="Normal 6" xfId="4161"/>
    <cellStyle name="Normal 6 10" xfId="8086"/>
    <cellStyle name="Normal 6 10 2" xfId="14686"/>
    <cellStyle name="Normal 6 11" xfId="6359"/>
    <cellStyle name="Normal 6 11 2" xfId="13082"/>
    <cellStyle name="Normal 6 12" xfId="11301"/>
    <cellStyle name="Normal 6 2" xfId="4162"/>
    <cellStyle name="Normal 6 2 2" xfId="4563"/>
    <cellStyle name="Normal 6 2 2 2" xfId="4999"/>
    <cellStyle name="Normal 6 2 2 2 2" xfId="8742"/>
    <cellStyle name="Normal 6 2 2 2 2 2" xfId="15290"/>
    <cellStyle name="Normal 6 2 2 2 3" xfId="7023"/>
    <cellStyle name="Normal 6 2 2 2 3 2" xfId="13709"/>
    <cellStyle name="Normal 6 2 2 2 4" xfId="11924"/>
    <cellStyle name="Normal 6 2 2 3" xfId="5390"/>
    <cellStyle name="Normal 6 2 2 3 2" xfId="9133"/>
    <cellStyle name="Normal 6 2 2 3 2 2" xfId="15677"/>
    <cellStyle name="Normal 6 2 2 3 3" xfId="7414"/>
    <cellStyle name="Normal 6 2 2 3 3 2" xfId="14096"/>
    <cellStyle name="Normal 6 2 2 3 4" xfId="12311"/>
    <cellStyle name="Normal 6 2 2 4" xfId="5828"/>
    <cellStyle name="Normal 6 2 2 4 2" xfId="9569"/>
    <cellStyle name="Normal 6 2 2 4 2 2" xfId="16071"/>
    <cellStyle name="Normal 6 2 2 4 3" xfId="7850"/>
    <cellStyle name="Normal 6 2 2 4 3 2" xfId="14490"/>
    <cellStyle name="Normal 6 2 2 4 4" xfId="12721"/>
    <cellStyle name="Normal 6 2 2 5" xfId="9995"/>
    <cellStyle name="Normal 6 2 2 5 2" xfId="16476"/>
    <cellStyle name="Normal 6 2 2 6" xfId="8327"/>
    <cellStyle name="Normal 6 2 2 6 2" xfId="14884"/>
    <cellStyle name="Normal 6 2 2 7" xfId="6608"/>
    <cellStyle name="Normal 6 2 2 7 2" xfId="13298"/>
    <cellStyle name="Normal 6 2 2 8" xfId="11508"/>
    <cellStyle name="Normal 6 2 3" xfId="4810"/>
    <cellStyle name="Normal 6 2 3 2" xfId="8553"/>
    <cellStyle name="Normal 6 2 3 2 2" xfId="15105"/>
    <cellStyle name="Normal 6 2 3 3" xfId="6834"/>
    <cellStyle name="Normal 6 2 3 3 2" xfId="13524"/>
    <cellStyle name="Normal 6 2 3 4" xfId="11739"/>
    <cellStyle name="Normal 6 2 4" xfId="5193"/>
    <cellStyle name="Normal 6 2 4 2" xfId="8936"/>
    <cellStyle name="Normal 6 2 4 2 2" xfId="15480"/>
    <cellStyle name="Normal 6 2 4 3" xfId="7217"/>
    <cellStyle name="Normal 6 2 4 3 2" xfId="13899"/>
    <cellStyle name="Normal 6 2 4 4" xfId="12114"/>
    <cellStyle name="Normal 6 2 5" xfId="5626"/>
    <cellStyle name="Normal 6 2 5 2" xfId="9367"/>
    <cellStyle name="Normal 6 2 5 2 2" xfId="15874"/>
    <cellStyle name="Normal 6 2 5 3" xfId="7648"/>
    <cellStyle name="Normal 6 2 5 3 2" xfId="14293"/>
    <cellStyle name="Normal 6 2 5 4" xfId="12519"/>
    <cellStyle name="Normal 6 2 6" xfId="9800"/>
    <cellStyle name="Normal 6 2 6 2" xfId="16291"/>
    <cellStyle name="Normal 6 2 7" xfId="8087"/>
    <cellStyle name="Normal 6 2 7 2" xfId="14687"/>
    <cellStyle name="Normal 6 2 8" xfId="6360"/>
    <cellStyle name="Normal 6 2 8 2" xfId="13083"/>
    <cellStyle name="Normal 6 2 9" xfId="11302"/>
    <cellStyle name="Normal 6 3" xfId="4418"/>
    <cellStyle name="Normal 6 3 2" xfId="4628"/>
    <cellStyle name="Normal 6 3 2 2" xfId="5001"/>
    <cellStyle name="Normal 6 3 2 2 2" xfId="8744"/>
    <cellStyle name="Normal 6 3 2 2 2 2" xfId="15292"/>
    <cellStyle name="Normal 6 3 2 2 3" xfId="7025"/>
    <cellStyle name="Normal 6 3 2 2 3 2" xfId="13711"/>
    <cellStyle name="Normal 6 3 2 2 4" xfId="11926"/>
    <cellStyle name="Normal 6 3 2 3" xfId="5455"/>
    <cellStyle name="Normal 6 3 2 3 2" xfId="9198"/>
    <cellStyle name="Normal 6 3 2 3 2 2" xfId="15742"/>
    <cellStyle name="Normal 6 3 2 3 3" xfId="7479"/>
    <cellStyle name="Normal 6 3 2 3 3 2" xfId="14161"/>
    <cellStyle name="Normal 6 3 2 3 4" xfId="12376"/>
    <cellStyle name="Normal 6 3 2 4" xfId="5893"/>
    <cellStyle name="Normal 6 3 2 4 2" xfId="9634"/>
    <cellStyle name="Normal 6 3 2 4 2 2" xfId="16136"/>
    <cellStyle name="Normal 6 3 2 4 3" xfId="7915"/>
    <cellStyle name="Normal 6 3 2 4 3 2" xfId="14555"/>
    <cellStyle name="Normal 6 3 2 4 4" xfId="12786"/>
    <cellStyle name="Normal 6 3 2 5" xfId="9997"/>
    <cellStyle name="Normal 6 3 2 5 2" xfId="16478"/>
    <cellStyle name="Normal 6 3 2 6" xfId="8392"/>
    <cellStyle name="Normal 6 3 2 6 2" xfId="14949"/>
    <cellStyle name="Normal 6 3 2 7" xfId="6673"/>
    <cellStyle name="Normal 6 3 2 7 2" xfId="13363"/>
    <cellStyle name="Normal 6 3 2 8" xfId="11573"/>
    <cellStyle name="Normal 6 3 3" xfId="5000"/>
    <cellStyle name="Normal 6 3 3 2" xfId="8743"/>
    <cellStyle name="Normal 6 3 3 2 2" xfId="15291"/>
    <cellStyle name="Normal 6 3 3 3" xfId="7024"/>
    <cellStyle name="Normal 6 3 3 3 2" xfId="13710"/>
    <cellStyle name="Normal 6 3 3 4" xfId="11925"/>
    <cellStyle name="Normal 6 3 4" xfId="5258"/>
    <cellStyle name="Normal 6 3 4 2" xfId="9001"/>
    <cellStyle name="Normal 6 3 4 2 2" xfId="15545"/>
    <cellStyle name="Normal 6 3 4 3" xfId="7282"/>
    <cellStyle name="Normal 6 3 4 3 2" xfId="13964"/>
    <cellStyle name="Normal 6 3 4 4" xfId="12179"/>
    <cellStyle name="Normal 6 3 5" xfId="5696"/>
    <cellStyle name="Normal 6 3 5 2" xfId="9437"/>
    <cellStyle name="Normal 6 3 5 2 2" xfId="15939"/>
    <cellStyle name="Normal 6 3 5 3" xfId="7718"/>
    <cellStyle name="Normal 6 3 5 3 2" xfId="14358"/>
    <cellStyle name="Normal 6 3 5 4" xfId="12589"/>
    <cellStyle name="Normal 6 3 6" xfId="9996"/>
    <cellStyle name="Normal 6 3 6 2" xfId="16477"/>
    <cellStyle name="Normal 6 3 7" xfId="8195"/>
    <cellStyle name="Normal 6 3 7 2" xfId="14752"/>
    <cellStyle name="Normal 6 3 8" xfId="6476"/>
    <cellStyle name="Normal 6 3 8 2" xfId="13166"/>
    <cellStyle name="Normal 6 3 9" xfId="11374"/>
    <cellStyle name="Normal 6 4" xfId="4431"/>
    <cellStyle name="Normal 6 4 2" xfId="4640"/>
    <cellStyle name="Normal 6 4 2 2" xfId="5003"/>
    <cellStyle name="Normal 6 4 2 2 2" xfId="8746"/>
    <cellStyle name="Normal 6 4 2 2 2 2" xfId="15294"/>
    <cellStyle name="Normal 6 4 2 2 3" xfId="7027"/>
    <cellStyle name="Normal 6 4 2 2 3 2" xfId="13713"/>
    <cellStyle name="Normal 6 4 2 2 4" xfId="11928"/>
    <cellStyle name="Normal 6 4 2 3" xfId="5467"/>
    <cellStyle name="Normal 6 4 2 3 2" xfId="9210"/>
    <cellStyle name="Normal 6 4 2 3 2 2" xfId="15754"/>
    <cellStyle name="Normal 6 4 2 3 3" xfId="7491"/>
    <cellStyle name="Normal 6 4 2 3 3 2" xfId="14173"/>
    <cellStyle name="Normal 6 4 2 3 4" xfId="12388"/>
    <cellStyle name="Normal 6 4 2 4" xfId="5905"/>
    <cellStyle name="Normal 6 4 2 4 2" xfId="9646"/>
    <cellStyle name="Normal 6 4 2 4 2 2" xfId="16148"/>
    <cellStyle name="Normal 6 4 2 4 3" xfId="7927"/>
    <cellStyle name="Normal 6 4 2 4 3 2" xfId="14567"/>
    <cellStyle name="Normal 6 4 2 4 4" xfId="12798"/>
    <cellStyle name="Normal 6 4 2 5" xfId="9999"/>
    <cellStyle name="Normal 6 4 2 5 2" xfId="16480"/>
    <cellStyle name="Normal 6 4 2 6" xfId="8404"/>
    <cellStyle name="Normal 6 4 2 6 2" xfId="14961"/>
    <cellStyle name="Normal 6 4 2 7" xfId="6685"/>
    <cellStyle name="Normal 6 4 2 7 2" xfId="13375"/>
    <cellStyle name="Normal 6 4 2 8" xfId="11585"/>
    <cellStyle name="Normal 6 4 3" xfId="5002"/>
    <cellStyle name="Normal 6 4 3 2" xfId="8745"/>
    <cellStyle name="Normal 6 4 3 2 2" xfId="15293"/>
    <cellStyle name="Normal 6 4 3 3" xfId="7026"/>
    <cellStyle name="Normal 6 4 3 3 2" xfId="13712"/>
    <cellStyle name="Normal 6 4 3 4" xfId="11927"/>
    <cellStyle name="Normal 6 4 4" xfId="5270"/>
    <cellStyle name="Normal 6 4 4 2" xfId="9013"/>
    <cellStyle name="Normal 6 4 4 2 2" xfId="15557"/>
    <cellStyle name="Normal 6 4 4 3" xfId="7294"/>
    <cellStyle name="Normal 6 4 4 3 2" xfId="13976"/>
    <cellStyle name="Normal 6 4 4 4" xfId="12191"/>
    <cellStyle name="Normal 6 4 5" xfId="5708"/>
    <cellStyle name="Normal 6 4 5 2" xfId="9449"/>
    <cellStyle name="Normal 6 4 5 2 2" xfId="15951"/>
    <cellStyle name="Normal 6 4 5 3" xfId="7730"/>
    <cellStyle name="Normal 6 4 5 3 2" xfId="14370"/>
    <cellStyle name="Normal 6 4 5 4" xfId="12601"/>
    <cellStyle name="Normal 6 4 6" xfId="9998"/>
    <cellStyle name="Normal 6 4 6 2" xfId="16479"/>
    <cellStyle name="Normal 6 4 7" xfId="8207"/>
    <cellStyle name="Normal 6 4 7 2" xfId="14764"/>
    <cellStyle name="Normal 6 4 8" xfId="6488"/>
    <cellStyle name="Normal 6 4 8 2" xfId="13178"/>
    <cellStyle name="Normal 6 4 9" xfId="11386"/>
    <cellStyle name="Normal 6 5" xfId="4562"/>
    <cellStyle name="Normal 6 5 2" xfId="5004"/>
    <cellStyle name="Normal 6 5 2 2" xfId="8747"/>
    <cellStyle name="Normal 6 5 2 2 2" xfId="15295"/>
    <cellStyle name="Normal 6 5 2 3" xfId="7028"/>
    <cellStyle name="Normal 6 5 2 3 2" xfId="13714"/>
    <cellStyle name="Normal 6 5 2 4" xfId="11929"/>
    <cellStyle name="Normal 6 5 3" xfId="5389"/>
    <cellStyle name="Normal 6 5 3 2" xfId="9132"/>
    <cellStyle name="Normal 6 5 3 2 2" xfId="15676"/>
    <cellStyle name="Normal 6 5 3 3" xfId="7413"/>
    <cellStyle name="Normal 6 5 3 3 2" xfId="14095"/>
    <cellStyle name="Normal 6 5 3 4" xfId="12310"/>
    <cellStyle name="Normal 6 5 4" xfId="5827"/>
    <cellStyle name="Normal 6 5 4 2" xfId="9568"/>
    <cellStyle name="Normal 6 5 4 2 2" xfId="16070"/>
    <cellStyle name="Normal 6 5 4 3" xfId="7849"/>
    <cellStyle name="Normal 6 5 4 3 2" xfId="14489"/>
    <cellStyle name="Normal 6 5 4 4" xfId="12720"/>
    <cellStyle name="Normal 6 5 5" xfId="10000"/>
    <cellStyle name="Normal 6 5 5 2" xfId="16481"/>
    <cellStyle name="Normal 6 5 6" xfId="8326"/>
    <cellStyle name="Normal 6 5 6 2" xfId="14883"/>
    <cellStyle name="Normal 6 5 7" xfId="6607"/>
    <cellStyle name="Normal 6 5 7 2" xfId="13297"/>
    <cellStyle name="Normal 6 5 8" xfId="11507"/>
    <cellStyle name="Normal 6 6" xfId="4728"/>
    <cellStyle name="Normal 6 6 2" xfId="8472"/>
    <cellStyle name="Normal 6 6 2 2" xfId="15024"/>
    <cellStyle name="Normal 6 6 3" xfId="6753"/>
    <cellStyle name="Normal 6 6 3 2" xfId="13443"/>
    <cellStyle name="Normal 6 6 4" xfId="11657"/>
    <cellStyle name="Normal 6 7" xfId="5192"/>
    <cellStyle name="Normal 6 7 2" xfId="8935"/>
    <cellStyle name="Normal 6 7 2 2" xfId="15479"/>
    <cellStyle name="Normal 6 7 3" xfId="7216"/>
    <cellStyle name="Normal 6 7 3 2" xfId="13898"/>
    <cellStyle name="Normal 6 7 4" xfId="12113"/>
    <cellStyle name="Normal 6 8" xfId="5625"/>
    <cellStyle name="Normal 6 8 2" xfId="9366"/>
    <cellStyle name="Normal 6 8 2 2" xfId="15873"/>
    <cellStyle name="Normal 6 8 3" xfId="7647"/>
    <cellStyle name="Normal 6 8 3 2" xfId="14292"/>
    <cellStyle name="Normal 6 8 4" xfId="12518"/>
    <cellStyle name="Normal 6 9" xfId="9716"/>
    <cellStyle name="Normal 6 9 2" xfId="16209"/>
    <cellStyle name="Normal 60" xfId="4671"/>
    <cellStyle name="Normal 61" xfId="5511"/>
    <cellStyle name="Normal 62" xfId="10172"/>
    <cellStyle name="Normal 7" xfId="19"/>
    <cellStyle name="Normal 7 2" xfId="4163"/>
    <cellStyle name="Normal 7 3" xfId="4164"/>
    <cellStyle name="Normal 7 4" xfId="4433"/>
    <cellStyle name="Normal 7 4 2" xfId="4642"/>
    <cellStyle name="Normal 7 4 2 2" xfId="5006"/>
    <cellStyle name="Normal 7 4 2 2 2" xfId="8749"/>
    <cellStyle name="Normal 7 4 2 2 2 2" xfId="15297"/>
    <cellStyle name="Normal 7 4 2 2 3" xfId="7030"/>
    <cellStyle name="Normal 7 4 2 2 3 2" xfId="13716"/>
    <cellStyle name="Normal 7 4 2 2 4" xfId="11931"/>
    <cellStyle name="Normal 7 4 2 3" xfId="5469"/>
    <cellStyle name="Normal 7 4 2 3 2" xfId="9212"/>
    <cellStyle name="Normal 7 4 2 3 2 2" xfId="15756"/>
    <cellStyle name="Normal 7 4 2 3 3" xfId="7493"/>
    <cellStyle name="Normal 7 4 2 3 3 2" xfId="14175"/>
    <cellStyle name="Normal 7 4 2 3 4" xfId="12390"/>
    <cellStyle name="Normal 7 4 2 4" xfId="5907"/>
    <cellStyle name="Normal 7 4 2 4 2" xfId="9648"/>
    <cellStyle name="Normal 7 4 2 4 2 2" xfId="16150"/>
    <cellStyle name="Normal 7 4 2 4 3" xfId="7929"/>
    <cellStyle name="Normal 7 4 2 4 3 2" xfId="14569"/>
    <cellStyle name="Normal 7 4 2 4 4" xfId="12800"/>
    <cellStyle name="Normal 7 4 2 5" xfId="10002"/>
    <cellStyle name="Normal 7 4 2 5 2" xfId="16483"/>
    <cellStyle name="Normal 7 4 2 6" xfId="8406"/>
    <cellStyle name="Normal 7 4 2 6 2" xfId="14963"/>
    <cellStyle name="Normal 7 4 2 7" xfId="6687"/>
    <cellStyle name="Normal 7 4 2 7 2" xfId="13377"/>
    <cellStyle name="Normal 7 4 2 8" xfId="11587"/>
    <cellStyle name="Normal 7 4 3" xfId="5005"/>
    <cellStyle name="Normal 7 4 3 2" xfId="8748"/>
    <cellStyle name="Normal 7 4 3 2 2" xfId="15296"/>
    <cellStyle name="Normal 7 4 3 3" xfId="7029"/>
    <cellStyle name="Normal 7 4 3 3 2" xfId="13715"/>
    <cellStyle name="Normal 7 4 3 4" xfId="11930"/>
    <cellStyle name="Normal 7 4 4" xfId="5272"/>
    <cellStyle name="Normal 7 4 4 2" xfId="9015"/>
    <cellStyle name="Normal 7 4 4 2 2" xfId="15559"/>
    <cellStyle name="Normal 7 4 4 3" xfId="7296"/>
    <cellStyle name="Normal 7 4 4 3 2" xfId="13978"/>
    <cellStyle name="Normal 7 4 4 4" xfId="12193"/>
    <cellStyle name="Normal 7 4 5" xfId="5710"/>
    <cellStyle name="Normal 7 4 5 2" xfId="9451"/>
    <cellStyle name="Normal 7 4 5 2 2" xfId="15953"/>
    <cellStyle name="Normal 7 4 5 3" xfId="7732"/>
    <cellStyle name="Normal 7 4 5 3 2" xfId="14372"/>
    <cellStyle name="Normal 7 4 5 4" xfId="12603"/>
    <cellStyle name="Normal 7 4 6" xfId="10001"/>
    <cellStyle name="Normal 7 4 6 2" xfId="16482"/>
    <cellStyle name="Normal 7 4 7" xfId="8209"/>
    <cellStyle name="Normal 7 4 7 2" xfId="14766"/>
    <cellStyle name="Normal 7 4 8" xfId="6490"/>
    <cellStyle name="Normal 7 4 8 2" xfId="13180"/>
    <cellStyle name="Normal 7 4 9" xfId="11388"/>
    <cellStyle name="Normal 7 5 2" xfId="4165"/>
    <cellStyle name="Normal 77" xfId="4166"/>
    <cellStyle name="Normal 78" xfId="4167"/>
    <cellStyle name="Normal 78 10" xfId="11303"/>
    <cellStyle name="Normal 78 2" xfId="4168"/>
    <cellStyle name="Normal 78 2 2" xfId="4565"/>
    <cellStyle name="Normal 78 2 2 2" xfId="5007"/>
    <cellStyle name="Normal 78 2 2 2 2" xfId="8750"/>
    <cellStyle name="Normal 78 2 2 2 2 2" xfId="15298"/>
    <cellStyle name="Normal 78 2 2 2 3" xfId="7031"/>
    <cellStyle name="Normal 78 2 2 2 3 2" xfId="13717"/>
    <cellStyle name="Normal 78 2 2 2 4" xfId="11932"/>
    <cellStyle name="Normal 78 2 2 3" xfId="5392"/>
    <cellStyle name="Normal 78 2 2 3 2" xfId="9135"/>
    <cellStyle name="Normal 78 2 2 3 2 2" xfId="15679"/>
    <cellStyle name="Normal 78 2 2 3 3" xfId="7416"/>
    <cellStyle name="Normal 78 2 2 3 3 2" xfId="14098"/>
    <cellStyle name="Normal 78 2 2 3 4" xfId="12313"/>
    <cellStyle name="Normal 78 2 2 4" xfId="5830"/>
    <cellStyle name="Normal 78 2 2 4 2" xfId="9571"/>
    <cellStyle name="Normal 78 2 2 4 2 2" xfId="16073"/>
    <cellStyle name="Normal 78 2 2 4 3" xfId="7852"/>
    <cellStyle name="Normal 78 2 2 4 3 2" xfId="14492"/>
    <cellStyle name="Normal 78 2 2 4 4" xfId="12723"/>
    <cellStyle name="Normal 78 2 2 5" xfId="10003"/>
    <cellStyle name="Normal 78 2 2 5 2" xfId="16484"/>
    <cellStyle name="Normal 78 2 2 6" xfId="8329"/>
    <cellStyle name="Normal 78 2 2 6 2" xfId="14886"/>
    <cellStyle name="Normal 78 2 2 7" xfId="6610"/>
    <cellStyle name="Normal 78 2 2 7 2" xfId="13300"/>
    <cellStyle name="Normal 78 2 2 8" xfId="11510"/>
    <cellStyle name="Normal 78 2 3" xfId="4761"/>
    <cellStyle name="Normal 78 2 3 2" xfId="8504"/>
    <cellStyle name="Normal 78 2 3 2 2" xfId="15056"/>
    <cellStyle name="Normal 78 2 3 3" xfId="6785"/>
    <cellStyle name="Normal 78 2 3 3 2" xfId="13475"/>
    <cellStyle name="Normal 78 2 3 4" xfId="11690"/>
    <cellStyle name="Normal 78 2 4" xfId="5195"/>
    <cellStyle name="Normal 78 2 4 2" xfId="8938"/>
    <cellStyle name="Normal 78 2 4 2 2" xfId="15482"/>
    <cellStyle name="Normal 78 2 4 3" xfId="7219"/>
    <cellStyle name="Normal 78 2 4 3 2" xfId="13901"/>
    <cellStyle name="Normal 78 2 4 4" xfId="12116"/>
    <cellStyle name="Normal 78 2 5" xfId="5628"/>
    <cellStyle name="Normal 78 2 5 2" xfId="9369"/>
    <cellStyle name="Normal 78 2 5 2 2" xfId="15876"/>
    <cellStyle name="Normal 78 2 5 3" xfId="7650"/>
    <cellStyle name="Normal 78 2 5 3 2" xfId="14295"/>
    <cellStyle name="Normal 78 2 5 4" xfId="12521"/>
    <cellStyle name="Normal 78 2 6" xfId="9751"/>
    <cellStyle name="Normal 78 2 6 2" xfId="16242"/>
    <cellStyle name="Normal 78 2 7" xfId="8089"/>
    <cellStyle name="Normal 78 2 7 2" xfId="14689"/>
    <cellStyle name="Normal 78 2 8" xfId="6362"/>
    <cellStyle name="Normal 78 2 8 2" xfId="13085"/>
    <cellStyle name="Normal 78 2 9" xfId="11304"/>
    <cellStyle name="Normal 78 3" xfId="4564"/>
    <cellStyle name="Normal 78 3 2" xfId="5008"/>
    <cellStyle name="Normal 78 3 2 2" xfId="8751"/>
    <cellStyle name="Normal 78 3 2 2 2" xfId="15299"/>
    <cellStyle name="Normal 78 3 2 3" xfId="7032"/>
    <cellStyle name="Normal 78 3 2 3 2" xfId="13718"/>
    <cellStyle name="Normal 78 3 2 4" xfId="11933"/>
    <cellStyle name="Normal 78 3 3" xfId="5391"/>
    <cellStyle name="Normal 78 3 3 2" xfId="9134"/>
    <cellStyle name="Normal 78 3 3 2 2" xfId="15678"/>
    <cellStyle name="Normal 78 3 3 3" xfId="7415"/>
    <cellStyle name="Normal 78 3 3 3 2" xfId="14097"/>
    <cellStyle name="Normal 78 3 3 4" xfId="12312"/>
    <cellStyle name="Normal 78 3 4" xfId="5829"/>
    <cellStyle name="Normal 78 3 4 2" xfId="9570"/>
    <cellStyle name="Normal 78 3 4 2 2" xfId="16072"/>
    <cellStyle name="Normal 78 3 4 3" xfId="7851"/>
    <cellStyle name="Normal 78 3 4 3 2" xfId="14491"/>
    <cellStyle name="Normal 78 3 4 4" xfId="12722"/>
    <cellStyle name="Normal 78 3 5" xfId="10004"/>
    <cellStyle name="Normal 78 3 5 2" xfId="16485"/>
    <cellStyle name="Normal 78 3 6" xfId="8328"/>
    <cellStyle name="Normal 78 3 6 2" xfId="14885"/>
    <cellStyle name="Normal 78 3 7" xfId="6609"/>
    <cellStyle name="Normal 78 3 7 2" xfId="13299"/>
    <cellStyle name="Normal 78 3 8" xfId="11509"/>
    <cellStyle name="Normal 78 4" xfId="4699"/>
    <cellStyle name="Normal 78 4 2" xfId="8444"/>
    <cellStyle name="Normal 78 4 2 2" xfId="14996"/>
    <cellStyle name="Normal 78 4 3" xfId="6725"/>
    <cellStyle name="Normal 78 4 3 2" xfId="13415"/>
    <cellStyle name="Normal 78 4 4" xfId="11629"/>
    <cellStyle name="Normal 78 5" xfId="5194"/>
    <cellStyle name="Normal 78 5 2" xfId="8937"/>
    <cellStyle name="Normal 78 5 2 2" xfId="15481"/>
    <cellStyle name="Normal 78 5 3" xfId="7218"/>
    <cellStyle name="Normal 78 5 3 2" xfId="13900"/>
    <cellStyle name="Normal 78 5 4" xfId="12115"/>
    <cellStyle name="Normal 78 6" xfId="5627"/>
    <cellStyle name="Normal 78 6 2" xfId="9368"/>
    <cellStyle name="Normal 78 6 2 2" xfId="15875"/>
    <cellStyle name="Normal 78 6 3" xfId="7649"/>
    <cellStyle name="Normal 78 6 3 2" xfId="14294"/>
    <cellStyle name="Normal 78 6 4" xfId="12520"/>
    <cellStyle name="Normal 78 7" xfId="9681"/>
    <cellStyle name="Normal 78 7 2" xfId="16181"/>
    <cellStyle name="Normal 78 8" xfId="8088"/>
    <cellStyle name="Normal 78 8 2" xfId="14688"/>
    <cellStyle name="Normal 78 9" xfId="6361"/>
    <cellStyle name="Normal 78 9 2" xfId="13084"/>
    <cellStyle name="Normal 8" xfId="4169"/>
    <cellStyle name="Normal 84" xfId="4170"/>
    <cellStyle name="Normal 84 2" xfId="4566"/>
    <cellStyle name="Normal 84 2 2" xfId="5009"/>
    <cellStyle name="Normal 84 2 2 2" xfId="8752"/>
    <cellStyle name="Normal 84 2 2 2 2" xfId="15300"/>
    <cellStyle name="Normal 84 2 2 3" xfId="7033"/>
    <cellStyle name="Normal 84 2 2 3 2" xfId="13719"/>
    <cellStyle name="Normal 84 2 2 4" xfId="11934"/>
    <cellStyle name="Normal 84 2 3" xfId="5393"/>
    <cellStyle name="Normal 84 2 3 2" xfId="9136"/>
    <cellStyle name="Normal 84 2 3 2 2" xfId="15680"/>
    <cellStyle name="Normal 84 2 3 3" xfId="7417"/>
    <cellStyle name="Normal 84 2 3 3 2" xfId="14099"/>
    <cellStyle name="Normal 84 2 3 4" xfId="12314"/>
    <cellStyle name="Normal 84 2 4" xfId="5831"/>
    <cellStyle name="Normal 84 2 4 2" xfId="9572"/>
    <cellStyle name="Normal 84 2 4 2 2" xfId="16074"/>
    <cellStyle name="Normal 84 2 4 3" xfId="7853"/>
    <cellStyle name="Normal 84 2 4 3 2" xfId="14493"/>
    <cellStyle name="Normal 84 2 4 4" xfId="12724"/>
    <cellStyle name="Normal 84 2 5" xfId="10005"/>
    <cellStyle name="Normal 84 2 5 2" xfId="16486"/>
    <cellStyle name="Normal 84 2 6" xfId="8330"/>
    <cellStyle name="Normal 84 2 6 2" xfId="14887"/>
    <cellStyle name="Normal 84 2 7" xfId="6611"/>
    <cellStyle name="Normal 84 2 7 2" xfId="13301"/>
    <cellStyle name="Normal 84 2 8" xfId="11511"/>
    <cellStyle name="Normal 84 3" xfId="4844"/>
    <cellStyle name="Normal 84 3 2" xfId="8587"/>
    <cellStyle name="Normal 84 3 2 2" xfId="15135"/>
    <cellStyle name="Normal 84 3 3" xfId="6868"/>
    <cellStyle name="Normal 84 3 3 2" xfId="13554"/>
    <cellStyle name="Normal 84 3 4" xfId="11769"/>
    <cellStyle name="Normal 84 4" xfId="5196"/>
    <cellStyle name="Normal 84 4 2" xfId="8939"/>
    <cellStyle name="Normal 84 4 2 2" xfId="15483"/>
    <cellStyle name="Normal 84 4 3" xfId="7220"/>
    <cellStyle name="Normal 84 4 3 2" xfId="13902"/>
    <cellStyle name="Normal 84 4 4" xfId="12117"/>
    <cellStyle name="Normal 84 5" xfId="5629"/>
    <cellStyle name="Normal 84 5 2" xfId="9370"/>
    <cellStyle name="Normal 84 5 2 2" xfId="15877"/>
    <cellStyle name="Normal 84 5 3" xfId="7651"/>
    <cellStyle name="Normal 84 5 3 2" xfId="14296"/>
    <cellStyle name="Normal 84 5 4" xfId="12522"/>
    <cellStyle name="Normal 84 6" xfId="9835"/>
    <cellStyle name="Normal 84 6 2" xfId="16321"/>
    <cellStyle name="Normal 84 7" xfId="8090"/>
    <cellStyle name="Normal 84 7 2" xfId="14690"/>
    <cellStyle name="Normal 84 8" xfId="6363"/>
    <cellStyle name="Normal 84 8 2" xfId="13086"/>
    <cellStyle name="Normal 84 9" xfId="11305"/>
    <cellStyle name="Normal 86" xfId="4171"/>
    <cellStyle name="Normal 86 2" xfId="4567"/>
    <cellStyle name="Normal 86 2 2" xfId="5010"/>
    <cellStyle name="Normal 86 2 2 2" xfId="8753"/>
    <cellStyle name="Normal 86 2 2 2 2" xfId="15301"/>
    <cellStyle name="Normal 86 2 2 3" xfId="7034"/>
    <cellStyle name="Normal 86 2 2 3 2" xfId="13720"/>
    <cellStyle name="Normal 86 2 2 4" xfId="11935"/>
    <cellStyle name="Normal 86 2 3" xfId="5394"/>
    <cellStyle name="Normal 86 2 3 2" xfId="9137"/>
    <cellStyle name="Normal 86 2 3 2 2" xfId="15681"/>
    <cellStyle name="Normal 86 2 3 3" xfId="7418"/>
    <cellStyle name="Normal 86 2 3 3 2" xfId="14100"/>
    <cellStyle name="Normal 86 2 3 4" xfId="12315"/>
    <cellStyle name="Normal 86 2 4" xfId="5832"/>
    <cellStyle name="Normal 86 2 4 2" xfId="9573"/>
    <cellStyle name="Normal 86 2 4 2 2" xfId="16075"/>
    <cellStyle name="Normal 86 2 4 3" xfId="7854"/>
    <cellStyle name="Normal 86 2 4 3 2" xfId="14494"/>
    <cellStyle name="Normal 86 2 4 4" xfId="12725"/>
    <cellStyle name="Normal 86 2 5" xfId="10006"/>
    <cellStyle name="Normal 86 2 5 2" xfId="16487"/>
    <cellStyle name="Normal 86 2 6" xfId="8331"/>
    <cellStyle name="Normal 86 2 6 2" xfId="14888"/>
    <cellStyle name="Normal 86 2 7" xfId="6612"/>
    <cellStyle name="Normal 86 2 7 2" xfId="13302"/>
    <cellStyle name="Normal 86 2 8" xfId="11512"/>
    <cellStyle name="Normal 86 3" xfId="4845"/>
    <cellStyle name="Normal 86 3 2" xfId="8588"/>
    <cellStyle name="Normal 86 3 2 2" xfId="15136"/>
    <cellStyle name="Normal 86 3 3" xfId="6869"/>
    <cellStyle name="Normal 86 3 3 2" xfId="13555"/>
    <cellStyle name="Normal 86 3 4" xfId="11770"/>
    <cellStyle name="Normal 86 4" xfId="5197"/>
    <cellStyle name="Normal 86 4 2" xfId="8940"/>
    <cellStyle name="Normal 86 4 2 2" xfId="15484"/>
    <cellStyle name="Normal 86 4 3" xfId="7221"/>
    <cellStyle name="Normal 86 4 3 2" xfId="13903"/>
    <cellStyle name="Normal 86 4 4" xfId="12118"/>
    <cellStyle name="Normal 86 5" xfId="5630"/>
    <cellStyle name="Normal 86 5 2" xfId="9371"/>
    <cellStyle name="Normal 86 5 2 2" xfId="15878"/>
    <cellStyle name="Normal 86 5 3" xfId="7652"/>
    <cellStyle name="Normal 86 5 3 2" xfId="14297"/>
    <cellStyle name="Normal 86 5 4" xfId="12523"/>
    <cellStyle name="Normal 86 6" xfId="9836"/>
    <cellStyle name="Normal 86 6 2" xfId="16322"/>
    <cellStyle name="Normal 86 7" xfId="8091"/>
    <cellStyle name="Normal 86 7 2" xfId="14691"/>
    <cellStyle name="Normal 86 8" xfId="6364"/>
    <cellStyle name="Normal 86 8 2" xfId="13087"/>
    <cellStyle name="Normal 86 9" xfId="11306"/>
    <cellStyle name="Normal 9" xfId="4172"/>
    <cellStyle name="Normal 9 10" xfId="4173"/>
    <cellStyle name="Normal 9 11" xfId="11307"/>
    <cellStyle name="Normal 9 2" xfId="4174"/>
    <cellStyle name="Normal 9 2 10" xfId="11308"/>
    <cellStyle name="Normal 9 2 2" xfId="4175"/>
    <cellStyle name="Normal 9 2 3" xfId="4569"/>
    <cellStyle name="Normal 9 2 3 2" xfId="5011"/>
    <cellStyle name="Normal 9 2 3 2 2" xfId="8754"/>
    <cellStyle name="Normal 9 2 3 2 2 2" xfId="15302"/>
    <cellStyle name="Normal 9 2 3 2 3" xfId="7035"/>
    <cellStyle name="Normal 9 2 3 2 3 2" xfId="13721"/>
    <cellStyle name="Normal 9 2 3 2 4" xfId="11936"/>
    <cellStyle name="Normal 9 2 3 3" xfId="5396"/>
    <cellStyle name="Normal 9 2 3 3 2" xfId="9139"/>
    <cellStyle name="Normal 9 2 3 3 2 2" xfId="15683"/>
    <cellStyle name="Normal 9 2 3 3 3" xfId="7420"/>
    <cellStyle name="Normal 9 2 3 3 3 2" xfId="14102"/>
    <cellStyle name="Normal 9 2 3 3 4" xfId="12317"/>
    <cellStyle name="Normal 9 2 3 4" xfId="5834"/>
    <cellStyle name="Normal 9 2 3 4 2" xfId="9575"/>
    <cellStyle name="Normal 9 2 3 4 2 2" xfId="16077"/>
    <cellStyle name="Normal 9 2 3 4 3" xfId="7856"/>
    <cellStyle name="Normal 9 2 3 4 3 2" xfId="14496"/>
    <cellStyle name="Normal 9 2 3 4 4" xfId="12727"/>
    <cellStyle name="Normal 9 2 3 5" xfId="10007"/>
    <cellStyle name="Normal 9 2 3 5 2" xfId="16488"/>
    <cellStyle name="Normal 9 2 3 6" xfId="8333"/>
    <cellStyle name="Normal 9 2 3 6 2" xfId="14890"/>
    <cellStyle name="Normal 9 2 3 7" xfId="6614"/>
    <cellStyle name="Normal 9 2 3 7 2" xfId="13304"/>
    <cellStyle name="Normal 9 2 3 8" xfId="11514"/>
    <cellStyle name="Normal 9 2 4" xfId="4814"/>
    <cellStyle name="Normal 9 2 4 2" xfId="8557"/>
    <cellStyle name="Normal 9 2 4 2 2" xfId="15109"/>
    <cellStyle name="Normal 9 2 4 3" xfId="6838"/>
    <cellStyle name="Normal 9 2 4 3 2" xfId="13528"/>
    <cellStyle name="Normal 9 2 4 4" xfId="11743"/>
    <cellStyle name="Normal 9 2 5" xfId="5199"/>
    <cellStyle name="Normal 9 2 5 2" xfId="8942"/>
    <cellStyle name="Normal 9 2 5 2 2" xfId="15486"/>
    <cellStyle name="Normal 9 2 5 3" xfId="7223"/>
    <cellStyle name="Normal 9 2 5 3 2" xfId="13905"/>
    <cellStyle name="Normal 9 2 5 4" xfId="12120"/>
    <cellStyle name="Normal 9 2 6" xfId="5632"/>
    <cellStyle name="Normal 9 2 6 2" xfId="9373"/>
    <cellStyle name="Normal 9 2 6 2 2" xfId="15880"/>
    <cellStyle name="Normal 9 2 6 3" xfId="7654"/>
    <cellStyle name="Normal 9 2 6 3 2" xfId="14299"/>
    <cellStyle name="Normal 9 2 6 4" xfId="12525"/>
    <cellStyle name="Normal 9 2 7" xfId="9804"/>
    <cellStyle name="Normal 9 2 7 2" xfId="16295"/>
    <cellStyle name="Normal 9 2 8" xfId="8093"/>
    <cellStyle name="Normal 9 2 8 2" xfId="14693"/>
    <cellStyle name="Normal 9 2 9" xfId="6366"/>
    <cellStyle name="Normal 9 2 9 2" xfId="13089"/>
    <cellStyle name="Normal 9 3" xfId="4568"/>
    <cellStyle name="Normal 9 3 2" xfId="5012"/>
    <cellStyle name="Normal 9 3 2 2" xfId="8755"/>
    <cellStyle name="Normal 9 3 2 2 2" xfId="15303"/>
    <cellStyle name="Normal 9 3 2 3" xfId="7036"/>
    <cellStyle name="Normal 9 3 2 3 2" xfId="13722"/>
    <cellStyle name="Normal 9 3 2 4" xfId="11937"/>
    <cellStyle name="Normal 9 3 3" xfId="5395"/>
    <cellStyle name="Normal 9 3 3 2" xfId="9138"/>
    <cellStyle name="Normal 9 3 3 2 2" xfId="15682"/>
    <cellStyle name="Normal 9 3 3 3" xfId="7419"/>
    <cellStyle name="Normal 9 3 3 3 2" xfId="14101"/>
    <cellStyle name="Normal 9 3 3 4" xfId="12316"/>
    <cellStyle name="Normal 9 3 4" xfId="5833"/>
    <cellStyle name="Normal 9 3 4 2" xfId="9574"/>
    <cellStyle name="Normal 9 3 4 2 2" xfId="16076"/>
    <cellStyle name="Normal 9 3 4 3" xfId="7855"/>
    <cellStyle name="Normal 9 3 4 3 2" xfId="14495"/>
    <cellStyle name="Normal 9 3 4 4" xfId="12726"/>
    <cellStyle name="Normal 9 3 5" xfId="10008"/>
    <cellStyle name="Normal 9 3 5 2" xfId="16489"/>
    <cellStyle name="Normal 9 3 6" xfId="8332"/>
    <cellStyle name="Normal 9 3 6 2" xfId="14889"/>
    <cellStyle name="Normal 9 3 7" xfId="6613"/>
    <cellStyle name="Normal 9 3 7 2" xfId="13303"/>
    <cellStyle name="Normal 9 3 8" xfId="11513"/>
    <cellStyle name="Normal 9 4" xfId="4732"/>
    <cellStyle name="Normal 9 4 2" xfId="8476"/>
    <cellStyle name="Normal 9 4 2 2" xfId="15028"/>
    <cellStyle name="Normal 9 4 3" xfId="6757"/>
    <cellStyle name="Normal 9 4 3 2" xfId="13447"/>
    <cellStyle name="Normal 9 4 4" xfId="11661"/>
    <cellStyle name="Normal 9 5" xfId="5198"/>
    <cellStyle name="Normal 9 5 2" xfId="8941"/>
    <cellStyle name="Normal 9 5 2 2" xfId="15485"/>
    <cellStyle name="Normal 9 5 3" xfId="7222"/>
    <cellStyle name="Normal 9 5 3 2" xfId="13904"/>
    <cellStyle name="Normal 9 5 4" xfId="12119"/>
    <cellStyle name="Normal 9 6" xfId="5631"/>
    <cellStyle name="Normal 9 6 2" xfId="9372"/>
    <cellStyle name="Normal 9 6 2 2" xfId="15879"/>
    <cellStyle name="Normal 9 6 3" xfId="7653"/>
    <cellStyle name="Normal 9 6 3 2" xfId="14298"/>
    <cellStyle name="Normal 9 6 4" xfId="12524"/>
    <cellStyle name="Normal 9 7" xfId="9720"/>
    <cellStyle name="Normal 9 7 2" xfId="16213"/>
    <cellStyle name="Normal 9 8" xfId="8092"/>
    <cellStyle name="Normal 9 8 2" xfId="14692"/>
    <cellStyle name="Normal 9 9" xfId="6365"/>
    <cellStyle name="Normal 9 9 2" xfId="13088"/>
    <cellStyle name="Normal U" xfId="4176"/>
    <cellStyle name="Normale_Foglio1" xfId="4177"/>
    <cellStyle name="Num_Inputs" xfId="4178"/>
    <cellStyle name="Num1_Inputs" xfId="4179"/>
    <cellStyle name="Num3_Input" xfId="4180"/>
    <cellStyle name="Number" xfId="4181"/>
    <cellStyle name="Numeric point input" xfId="4182"/>
    <cellStyle name="OLELink" xfId="4183"/>
    <cellStyle name="Operis comma" xfId="4184"/>
    <cellStyle name="Operis date" xfId="4185"/>
    <cellStyle name="Operis documentation item" xfId="4186"/>
    <cellStyle name="Operis documentation item 2" xfId="4187"/>
    <cellStyle name="Operis heading" xfId="4188"/>
    <cellStyle name="Operis heading 1" xfId="4189"/>
    <cellStyle name="Operis heading 2" xfId="4190"/>
    <cellStyle name="Operis Heading Centered" xfId="4191"/>
    <cellStyle name="Operis million" xfId="4192"/>
    <cellStyle name="Operis million currency" xfId="4193"/>
    <cellStyle name="Operis million, 3dp" xfId="4194"/>
    <cellStyle name="Operis money" xfId="4195"/>
    <cellStyle name="Operis names" xfId="4196"/>
    <cellStyle name="Operis output" xfId="4197"/>
    <cellStyle name="Operis Percent" xfId="4198"/>
    <cellStyle name="Operis Proforma" xfId="4199"/>
    <cellStyle name="Operis ratio" xfId="4200"/>
    <cellStyle name="Operis ratio 2" xfId="4201"/>
    <cellStyle name="Operis ratio 2 2" xfId="5103"/>
    <cellStyle name="Operis ratio 2 2 2" xfId="8846"/>
    <cellStyle name="Operis ratio 2 2 2 2" xfId="6221"/>
    <cellStyle name="Operis ratio 2 2 2 2 2" xfId="12946"/>
    <cellStyle name="Operis ratio 2 2 3" xfId="7127"/>
    <cellStyle name="Operis ratio 2 3" xfId="8095"/>
    <cellStyle name="Operis ratio 2 3 2" xfId="6166"/>
    <cellStyle name="Operis ratio 2 3 2 2" xfId="12891"/>
    <cellStyle name="Operis ratio 2 4" xfId="6373"/>
    <cellStyle name="Operis ratio 3" xfId="5104"/>
    <cellStyle name="Operis ratio 3 2" xfId="8847"/>
    <cellStyle name="Operis ratio 3 2 2" xfId="6222"/>
    <cellStyle name="Operis ratio 3 2 2 2" xfId="12947"/>
    <cellStyle name="Operis ratio 3 3" xfId="7128"/>
    <cellStyle name="Operis ratio 4" xfId="8094"/>
    <cellStyle name="Operis ratio 4 2" xfId="6165"/>
    <cellStyle name="Operis ratio 4 2 2" xfId="12890"/>
    <cellStyle name="Operis ratio 5" xfId="6372"/>
    <cellStyle name="OperisAuditSections" xfId="4202"/>
    <cellStyle name="OperisBase" xfId="4203"/>
    <cellStyle name="OperisDateMonthly" xfId="4204"/>
    <cellStyle name="OperisDatePeriodic" xfId="4205"/>
    <cellStyle name="OperisGroups" xfId="4206"/>
    <cellStyle name="OperisMoney" xfId="4207"/>
    <cellStyle name="OperisNames" xfId="4208"/>
    <cellStyle name="OperisOutputTitles" xfId="4209"/>
    <cellStyle name="OperisOutputTotals" xfId="4210"/>
    <cellStyle name="OperisPercent" xfId="4211"/>
    <cellStyle name="OperisRatio" xfId="4212"/>
    <cellStyle name="Out%2" xfId="4213"/>
    <cellStyle name="Out0" xfId="4214"/>
    <cellStyle name="Out1" xfId="4215"/>
    <cellStyle name="Out2" xfId="4216"/>
    <cellStyle name="OutputCurrency" xfId="4217"/>
    <cellStyle name="OutputText" xfId="4218"/>
    <cellStyle name="overheads" xfId="4219"/>
    <cellStyle name="Percent" xfId="4" builtinId="5"/>
    <cellStyle name="Percent (2dp)" xfId="4220"/>
    <cellStyle name="Percent [0%]" xfId="4221"/>
    <cellStyle name="Percent [0.00%]" xfId="4222"/>
    <cellStyle name="Percent [2]" xfId="4223"/>
    <cellStyle name="Percent [2] U" xfId="4224"/>
    <cellStyle name="Percent 10" xfId="4225"/>
    <cellStyle name="Percent 10 10" xfId="11309"/>
    <cellStyle name="Percent 10 2" xfId="4226"/>
    <cellStyle name="Percent 10 2 2" xfId="4571"/>
    <cellStyle name="Percent 10 2 2 2" xfId="5013"/>
    <cellStyle name="Percent 10 2 2 2 2" xfId="8756"/>
    <cellStyle name="Percent 10 2 2 2 2 2" xfId="15304"/>
    <cellStyle name="Percent 10 2 2 2 3" xfId="7037"/>
    <cellStyle name="Percent 10 2 2 2 3 2" xfId="13723"/>
    <cellStyle name="Percent 10 2 2 2 4" xfId="11938"/>
    <cellStyle name="Percent 10 2 2 3" xfId="5398"/>
    <cellStyle name="Percent 10 2 2 3 2" xfId="9141"/>
    <cellStyle name="Percent 10 2 2 3 2 2" xfId="15685"/>
    <cellStyle name="Percent 10 2 2 3 3" xfId="7422"/>
    <cellStyle name="Percent 10 2 2 3 3 2" xfId="14104"/>
    <cellStyle name="Percent 10 2 2 3 4" xfId="12319"/>
    <cellStyle name="Percent 10 2 2 4" xfId="5836"/>
    <cellStyle name="Percent 10 2 2 4 2" xfId="9577"/>
    <cellStyle name="Percent 10 2 2 4 2 2" xfId="16079"/>
    <cellStyle name="Percent 10 2 2 4 3" xfId="7858"/>
    <cellStyle name="Percent 10 2 2 4 3 2" xfId="14498"/>
    <cellStyle name="Percent 10 2 2 4 4" xfId="12729"/>
    <cellStyle name="Percent 10 2 2 5" xfId="10009"/>
    <cellStyle name="Percent 10 2 2 5 2" xfId="16490"/>
    <cellStyle name="Percent 10 2 2 6" xfId="8335"/>
    <cellStyle name="Percent 10 2 2 6 2" xfId="14892"/>
    <cellStyle name="Percent 10 2 2 7" xfId="6616"/>
    <cellStyle name="Percent 10 2 2 7 2" xfId="13306"/>
    <cellStyle name="Percent 10 2 2 8" xfId="11516"/>
    <cellStyle name="Percent 10 2 3" xfId="4791"/>
    <cellStyle name="Percent 10 2 3 2" xfId="8534"/>
    <cellStyle name="Percent 10 2 3 2 2" xfId="15086"/>
    <cellStyle name="Percent 10 2 3 3" xfId="6815"/>
    <cellStyle name="Percent 10 2 3 3 2" xfId="13505"/>
    <cellStyle name="Percent 10 2 3 4" xfId="11720"/>
    <cellStyle name="Percent 10 2 4" xfId="5201"/>
    <cellStyle name="Percent 10 2 4 2" xfId="8944"/>
    <cellStyle name="Percent 10 2 4 2 2" xfId="15488"/>
    <cellStyle name="Percent 10 2 4 3" xfId="7225"/>
    <cellStyle name="Percent 10 2 4 3 2" xfId="13907"/>
    <cellStyle name="Percent 10 2 4 4" xfId="12122"/>
    <cellStyle name="Percent 10 2 5" xfId="5634"/>
    <cellStyle name="Percent 10 2 5 2" xfId="9375"/>
    <cellStyle name="Percent 10 2 5 2 2" xfId="15882"/>
    <cellStyle name="Percent 10 2 5 3" xfId="7656"/>
    <cellStyle name="Percent 10 2 5 3 2" xfId="14301"/>
    <cellStyle name="Percent 10 2 5 4" xfId="12527"/>
    <cellStyle name="Percent 10 2 6" xfId="9781"/>
    <cellStyle name="Percent 10 2 6 2" xfId="16272"/>
    <cellStyle name="Percent 10 2 7" xfId="8097"/>
    <cellStyle name="Percent 10 2 7 2" xfId="14695"/>
    <cellStyle name="Percent 10 2 8" xfId="6379"/>
    <cellStyle name="Percent 10 2 8 2" xfId="13100"/>
    <cellStyle name="Percent 10 2 9" xfId="11310"/>
    <cellStyle name="Percent 10 3" xfId="4570"/>
    <cellStyle name="Percent 10 3 2" xfId="5014"/>
    <cellStyle name="Percent 10 3 2 2" xfId="8757"/>
    <cellStyle name="Percent 10 3 2 2 2" xfId="15305"/>
    <cellStyle name="Percent 10 3 2 3" xfId="7038"/>
    <cellStyle name="Percent 10 3 2 3 2" xfId="13724"/>
    <cellStyle name="Percent 10 3 2 4" xfId="11939"/>
    <cellStyle name="Percent 10 3 3" xfId="5397"/>
    <cellStyle name="Percent 10 3 3 2" xfId="9140"/>
    <cellStyle name="Percent 10 3 3 2 2" xfId="15684"/>
    <cellStyle name="Percent 10 3 3 3" xfId="7421"/>
    <cellStyle name="Percent 10 3 3 3 2" xfId="14103"/>
    <cellStyle name="Percent 10 3 3 4" xfId="12318"/>
    <cellStyle name="Percent 10 3 4" xfId="5835"/>
    <cellStyle name="Percent 10 3 4 2" xfId="9576"/>
    <cellStyle name="Percent 10 3 4 2 2" xfId="16078"/>
    <cellStyle name="Percent 10 3 4 3" xfId="7857"/>
    <cellStyle name="Percent 10 3 4 3 2" xfId="14497"/>
    <cellStyle name="Percent 10 3 4 4" xfId="12728"/>
    <cellStyle name="Percent 10 3 5" xfId="10010"/>
    <cellStyle name="Percent 10 3 5 2" xfId="16491"/>
    <cellStyle name="Percent 10 3 6" xfId="8334"/>
    <cellStyle name="Percent 10 3 6 2" xfId="14891"/>
    <cellStyle name="Percent 10 3 7" xfId="6615"/>
    <cellStyle name="Percent 10 3 7 2" xfId="13305"/>
    <cellStyle name="Percent 10 3 8" xfId="11515"/>
    <cellStyle name="Percent 10 4" xfId="4709"/>
    <cellStyle name="Percent 10 4 2" xfId="8453"/>
    <cellStyle name="Percent 10 4 2 2" xfId="15005"/>
    <cellStyle name="Percent 10 4 3" xfId="6734"/>
    <cellStyle name="Percent 10 4 3 2" xfId="13424"/>
    <cellStyle name="Percent 10 4 4" xfId="11638"/>
    <cellStyle name="Percent 10 5" xfId="5200"/>
    <cellStyle name="Percent 10 5 2" xfId="8943"/>
    <cellStyle name="Percent 10 5 2 2" xfId="15487"/>
    <cellStyle name="Percent 10 5 3" xfId="7224"/>
    <cellStyle name="Percent 10 5 3 2" xfId="13906"/>
    <cellStyle name="Percent 10 5 4" xfId="12121"/>
    <cellStyle name="Percent 10 6" xfId="5633"/>
    <cellStyle name="Percent 10 6 2" xfId="9374"/>
    <cellStyle name="Percent 10 6 2 2" xfId="15881"/>
    <cellStyle name="Percent 10 6 3" xfId="7655"/>
    <cellStyle name="Percent 10 6 3 2" xfId="14300"/>
    <cellStyle name="Percent 10 6 4" xfId="12526"/>
    <cellStyle name="Percent 10 7" xfId="9697"/>
    <cellStyle name="Percent 10 7 2" xfId="16190"/>
    <cellStyle name="Percent 10 8" xfId="8096"/>
    <cellStyle name="Percent 10 8 2" xfId="14694"/>
    <cellStyle name="Percent 10 9" xfId="6378"/>
    <cellStyle name="Percent 10 9 2" xfId="13099"/>
    <cellStyle name="Percent 11" xfId="4227"/>
    <cellStyle name="Percent 11 10" xfId="11311"/>
    <cellStyle name="Percent 11 2" xfId="4228"/>
    <cellStyle name="Percent 11 2 2" xfId="4573"/>
    <cellStyle name="Percent 11 2 2 2" xfId="5015"/>
    <cellStyle name="Percent 11 2 2 2 2" xfId="8758"/>
    <cellStyle name="Percent 11 2 2 2 2 2" xfId="15306"/>
    <cellStyle name="Percent 11 2 2 2 3" xfId="7039"/>
    <cellStyle name="Percent 11 2 2 2 3 2" xfId="13725"/>
    <cellStyle name="Percent 11 2 2 2 4" xfId="11940"/>
    <cellStyle name="Percent 11 2 2 3" xfId="5400"/>
    <cellStyle name="Percent 11 2 2 3 2" xfId="9143"/>
    <cellStyle name="Percent 11 2 2 3 2 2" xfId="15687"/>
    <cellStyle name="Percent 11 2 2 3 3" xfId="7424"/>
    <cellStyle name="Percent 11 2 2 3 3 2" xfId="14106"/>
    <cellStyle name="Percent 11 2 2 3 4" xfId="12321"/>
    <cellStyle name="Percent 11 2 2 4" xfId="5838"/>
    <cellStyle name="Percent 11 2 2 4 2" xfId="9579"/>
    <cellStyle name="Percent 11 2 2 4 2 2" xfId="16081"/>
    <cellStyle name="Percent 11 2 2 4 3" xfId="7860"/>
    <cellStyle name="Percent 11 2 2 4 3 2" xfId="14500"/>
    <cellStyle name="Percent 11 2 2 4 4" xfId="12731"/>
    <cellStyle name="Percent 11 2 2 5" xfId="10011"/>
    <cellStyle name="Percent 11 2 2 5 2" xfId="16492"/>
    <cellStyle name="Percent 11 2 2 6" xfId="8337"/>
    <cellStyle name="Percent 11 2 2 6 2" xfId="14894"/>
    <cellStyle name="Percent 11 2 2 7" xfId="6618"/>
    <cellStyle name="Percent 11 2 2 7 2" xfId="13308"/>
    <cellStyle name="Percent 11 2 2 8" xfId="11518"/>
    <cellStyle name="Percent 11 2 3" xfId="4794"/>
    <cellStyle name="Percent 11 2 3 2" xfId="8537"/>
    <cellStyle name="Percent 11 2 3 2 2" xfId="15089"/>
    <cellStyle name="Percent 11 2 3 3" xfId="6818"/>
    <cellStyle name="Percent 11 2 3 3 2" xfId="13508"/>
    <cellStyle name="Percent 11 2 3 4" xfId="11723"/>
    <cellStyle name="Percent 11 2 4" xfId="5203"/>
    <cellStyle name="Percent 11 2 4 2" xfId="8946"/>
    <cellStyle name="Percent 11 2 4 2 2" xfId="15490"/>
    <cellStyle name="Percent 11 2 4 3" xfId="7227"/>
    <cellStyle name="Percent 11 2 4 3 2" xfId="13909"/>
    <cellStyle name="Percent 11 2 4 4" xfId="12124"/>
    <cellStyle name="Percent 11 2 5" xfId="5636"/>
    <cellStyle name="Percent 11 2 5 2" xfId="9377"/>
    <cellStyle name="Percent 11 2 5 2 2" xfId="15884"/>
    <cellStyle name="Percent 11 2 5 3" xfId="7658"/>
    <cellStyle name="Percent 11 2 5 3 2" xfId="14303"/>
    <cellStyle name="Percent 11 2 5 4" xfId="12529"/>
    <cellStyle name="Percent 11 2 6" xfId="9784"/>
    <cellStyle name="Percent 11 2 6 2" xfId="16275"/>
    <cellStyle name="Percent 11 2 7" xfId="8099"/>
    <cellStyle name="Percent 11 2 7 2" xfId="14697"/>
    <cellStyle name="Percent 11 2 8" xfId="6381"/>
    <cellStyle name="Percent 11 2 8 2" xfId="13102"/>
    <cellStyle name="Percent 11 2 9" xfId="11312"/>
    <cellStyle name="Percent 11 3" xfId="4572"/>
    <cellStyle name="Percent 11 3 2" xfId="5016"/>
    <cellStyle name="Percent 11 3 2 2" xfId="8759"/>
    <cellStyle name="Percent 11 3 2 2 2" xfId="15307"/>
    <cellStyle name="Percent 11 3 2 3" xfId="7040"/>
    <cellStyle name="Percent 11 3 2 3 2" xfId="13726"/>
    <cellStyle name="Percent 11 3 2 4" xfId="11941"/>
    <cellStyle name="Percent 11 3 3" xfId="5399"/>
    <cellStyle name="Percent 11 3 3 2" xfId="9142"/>
    <cellStyle name="Percent 11 3 3 2 2" xfId="15686"/>
    <cellStyle name="Percent 11 3 3 3" xfId="7423"/>
    <cellStyle name="Percent 11 3 3 3 2" xfId="14105"/>
    <cellStyle name="Percent 11 3 3 4" xfId="12320"/>
    <cellStyle name="Percent 11 3 4" xfId="5837"/>
    <cellStyle name="Percent 11 3 4 2" xfId="9578"/>
    <cellStyle name="Percent 11 3 4 2 2" xfId="16080"/>
    <cellStyle name="Percent 11 3 4 3" xfId="7859"/>
    <cellStyle name="Percent 11 3 4 3 2" xfId="14499"/>
    <cellStyle name="Percent 11 3 4 4" xfId="12730"/>
    <cellStyle name="Percent 11 3 5" xfId="10012"/>
    <cellStyle name="Percent 11 3 5 2" xfId="16493"/>
    <cellStyle name="Percent 11 3 6" xfId="8336"/>
    <cellStyle name="Percent 11 3 6 2" xfId="14893"/>
    <cellStyle name="Percent 11 3 7" xfId="6617"/>
    <cellStyle name="Percent 11 3 7 2" xfId="13307"/>
    <cellStyle name="Percent 11 3 8" xfId="11517"/>
    <cellStyle name="Percent 11 4" xfId="4712"/>
    <cellStyle name="Percent 11 4 2" xfId="8456"/>
    <cellStyle name="Percent 11 4 2 2" xfId="15008"/>
    <cellStyle name="Percent 11 4 3" xfId="6737"/>
    <cellStyle name="Percent 11 4 3 2" xfId="13427"/>
    <cellStyle name="Percent 11 4 4" xfId="11641"/>
    <cellStyle name="Percent 11 5" xfId="5202"/>
    <cellStyle name="Percent 11 5 2" xfId="8945"/>
    <cellStyle name="Percent 11 5 2 2" xfId="15489"/>
    <cellStyle name="Percent 11 5 3" xfId="7226"/>
    <cellStyle name="Percent 11 5 3 2" xfId="13908"/>
    <cellStyle name="Percent 11 5 4" xfId="12123"/>
    <cellStyle name="Percent 11 6" xfId="5635"/>
    <cellStyle name="Percent 11 6 2" xfId="9376"/>
    <cellStyle name="Percent 11 6 2 2" xfId="15883"/>
    <cellStyle name="Percent 11 6 3" xfId="7657"/>
    <cellStyle name="Percent 11 6 3 2" xfId="14302"/>
    <cellStyle name="Percent 11 6 4" xfId="12528"/>
    <cellStyle name="Percent 11 7" xfId="9700"/>
    <cellStyle name="Percent 11 7 2" xfId="16193"/>
    <cellStyle name="Percent 11 8" xfId="8098"/>
    <cellStyle name="Percent 11 8 2" xfId="14696"/>
    <cellStyle name="Percent 11 9" xfId="6380"/>
    <cellStyle name="Percent 11 9 2" xfId="13101"/>
    <cellStyle name="Percent 12" xfId="4229"/>
    <cellStyle name="Percent 12 10" xfId="11313"/>
    <cellStyle name="Percent 12 2" xfId="4230"/>
    <cellStyle name="Percent 12 2 2" xfId="4575"/>
    <cellStyle name="Percent 12 2 2 2" xfId="5017"/>
    <cellStyle name="Percent 12 2 2 2 2" xfId="8760"/>
    <cellStyle name="Percent 12 2 2 2 2 2" xfId="15308"/>
    <cellStyle name="Percent 12 2 2 2 3" xfId="7041"/>
    <cellStyle name="Percent 12 2 2 2 3 2" xfId="13727"/>
    <cellStyle name="Percent 12 2 2 2 4" xfId="11942"/>
    <cellStyle name="Percent 12 2 2 3" xfId="5402"/>
    <cellStyle name="Percent 12 2 2 3 2" xfId="9145"/>
    <cellStyle name="Percent 12 2 2 3 2 2" xfId="15689"/>
    <cellStyle name="Percent 12 2 2 3 3" xfId="7426"/>
    <cellStyle name="Percent 12 2 2 3 3 2" xfId="14108"/>
    <cellStyle name="Percent 12 2 2 3 4" xfId="12323"/>
    <cellStyle name="Percent 12 2 2 4" xfId="5840"/>
    <cellStyle name="Percent 12 2 2 4 2" xfId="9581"/>
    <cellStyle name="Percent 12 2 2 4 2 2" xfId="16083"/>
    <cellStyle name="Percent 12 2 2 4 3" xfId="7862"/>
    <cellStyle name="Percent 12 2 2 4 3 2" xfId="14502"/>
    <cellStyle name="Percent 12 2 2 4 4" xfId="12733"/>
    <cellStyle name="Percent 12 2 2 5" xfId="10013"/>
    <cellStyle name="Percent 12 2 2 5 2" xfId="16494"/>
    <cellStyle name="Percent 12 2 2 6" xfId="8339"/>
    <cellStyle name="Percent 12 2 2 6 2" xfId="14896"/>
    <cellStyle name="Percent 12 2 2 7" xfId="6620"/>
    <cellStyle name="Percent 12 2 2 7 2" xfId="13310"/>
    <cellStyle name="Percent 12 2 2 8" xfId="11520"/>
    <cellStyle name="Percent 12 2 3" xfId="4796"/>
    <cellStyle name="Percent 12 2 3 2" xfId="8539"/>
    <cellStyle name="Percent 12 2 3 2 2" xfId="15091"/>
    <cellStyle name="Percent 12 2 3 3" xfId="6820"/>
    <cellStyle name="Percent 12 2 3 3 2" xfId="13510"/>
    <cellStyle name="Percent 12 2 3 4" xfId="11725"/>
    <cellStyle name="Percent 12 2 4" xfId="5205"/>
    <cellStyle name="Percent 12 2 4 2" xfId="8948"/>
    <cellStyle name="Percent 12 2 4 2 2" xfId="15492"/>
    <cellStyle name="Percent 12 2 4 3" xfId="7229"/>
    <cellStyle name="Percent 12 2 4 3 2" xfId="13911"/>
    <cellStyle name="Percent 12 2 4 4" xfId="12126"/>
    <cellStyle name="Percent 12 2 5" xfId="5638"/>
    <cellStyle name="Percent 12 2 5 2" xfId="9379"/>
    <cellStyle name="Percent 12 2 5 2 2" xfId="15886"/>
    <cellStyle name="Percent 12 2 5 3" xfId="7660"/>
    <cellStyle name="Percent 12 2 5 3 2" xfId="14305"/>
    <cellStyle name="Percent 12 2 5 4" xfId="12531"/>
    <cellStyle name="Percent 12 2 6" xfId="9786"/>
    <cellStyle name="Percent 12 2 6 2" xfId="16277"/>
    <cellStyle name="Percent 12 2 7" xfId="8101"/>
    <cellStyle name="Percent 12 2 7 2" xfId="14699"/>
    <cellStyle name="Percent 12 2 8" xfId="6383"/>
    <cellStyle name="Percent 12 2 8 2" xfId="13104"/>
    <cellStyle name="Percent 12 2 9" xfId="11314"/>
    <cellStyle name="Percent 12 3" xfId="4574"/>
    <cellStyle name="Percent 12 3 2" xfId="5018"/>
    <cellStyle name="Percent 12 3 2 2" xfId="8761"/>
    <cellStyle name="Percent 12 3 2 2 2" xfId="15309"/>
    <cellStyle name="Percent 12 3 2 3" xfId="7042"/>
    <cellStyle name="Percent 12 3 2 3 2" xfId="13728"/>
    <cellStyle name="Percent 12 3 2 4" xfId="11943"/>
    <cellStyle name="Percent 12 3 3" xfId="5401"/>
    <cellStyle name="Percent 12 3 3 2" xfId="9144"/>
    <cellStyle name="Percent 12 3 3 2 2" xfId="15688"/>
    <cellStyle name="Percent 12 3 3 3" xfId="7425"/>
    <cellStyle name="Percent 12 3 3 3 2" xfId="14107"/>
    <cellStyle name="Percent 12 3 3 4" xfId="12322"/>
    <cellStyle name="Percent 12 3 4" xfId="5839"/>
    <cellStyle name="Percent 12 3 4 2" xfId="9580"/>
    <cellStyle name="Percent 12 3 4 2 2" xfId="16082"/>
    <cellStyle name="Percent 12 3 4 3" xfId="7861"/>
    <cellStyle name="Percent 12 3 4 3 2" xfId="14501"/>
    <cellStyle name="Percent 12 3 4 4" xfId="12732"/>
    <cellStyle name="Percent 12 3 5" xfId="10014"/>
    <cellStyle name="Percent 12 3 5 2" xfId="16495"/>
    <cellStyle name="Percent 12 3 6" xfId="8338"/>
    <cellStyle name="Percent 12 3 6 2" xfId="14895"/>
    <cellStyle name="Percent 12 3 7" xfId="6619"/>
    <cellStyle name="Percent 12 3 7 2" xfId="13309"/>
    <cellStyle name="Percent 12 3 8" xfId="11519"/>
    <cellStyle name="Percent 12 4" xfId="4714"/>
    <cellStyle name="Percent 12 4 2" xfId="8458"/>
    <cellStyle name="Percent 12 4 2 2" xfId="15010"/>
    <cellStyle name="Percent 12 4 3" xfId="6739"/>
    <cellStyle name="Percent 12 4 3 2" xfId="13429"/>
    <cellStyle name="Percent 12 4 4" xfId="11643"/>
    <cellStyle name="Percent 12 5" xfId="5204"/>
    <cellStyle name="Percent 12 5 2" xfId="8947"/>
    <cellStyle name="Percent 12 5 2 2" xfId="15491"/>
    <cellStyle name="Percent 12 5 3" xfId="7228"/>
    <cellStyle name="Percent 12 5 3 2" xfId="13910"/>
    <cellStyle name="Percent 12 5 4" xfId="12125"/>
    <cellStyle name="Percent 12 6" xfId="5637"/>
    <cellStyle name="Percent 12 6 2" xfId="9378"/>
    <cellStyle name="Percent 12 6 2 2" xfId="15885"/>
    <cellStyle name="Percent 12 6 3" xfId="7659"/>
    <cellStyle name="Percent 12 6 3 2" xfId="14304"/>
    <cellStyle name="Percent 12 6 4" xfId="12530"/>
    <cellStyle name="Percent 12 7" xfId="9702"/>
    <cellStyle name="Percent 12 7 2" xfId="16195"/>
    <cellStyle name="Percent 12 8" xfId="8100"/>
    <cellStyle name="Percent 12 8 2" xfId="14698"/>
    <cellStyle name="Percent 12 9" xfId="6382"/>
    <cellStyle name="Percent 12 9 2" xfId="13103"/>
    <cellStyle name="Percent 13" xfId="4231"/>
    <cellStyle name="Percent 13 10" xfId="11315"/>
    <cellStyle name="Percent 13 2" xfId="4232"/>
    <cellStyle name="Percent 13 2 2" xfId="4577"/>
    <cellStyle name="Percent 13 2 2 2" xfId="5019"/>
    <cellStyle name="Percent 13 2 2 2 2" xfId="8762"/>
    <cellStyle name="Percent 13 2 2 2 2 2" xfId="15310"/>
    <cellStyle name="Percent 13 2 2 2 3" xfId="7043"/>
    <cellStyle name="Percent 13 2 2 2 3 2" xfId="13729"/>
    <cellStyle name="Percent 13 2 2 2 4" xfId="11944"/>
    <cellStyle name="Percent 13 2 2 3" xfId="5404"/>
    <cellStyle name="Percent 13 2 2 3 2" xfId="9147"/>
    <cellStyle name="Percent 13 2 2 3 2 2" xfId="15691"/>
    <cellStyle name="Percent 13 2 2 3 3" xfId="7428"/>
    <cellStyle name="Percent 13 2 2 3 3 2" xfId="14110"/>
    <cellStyle name="Percent 13 2 2 3 4" xfId="12325"/>
    <cellStyle name="Percent 13 2 2 4" xfId="5842"/>
    <cellStyle name="Percent 13 2 2 4 2" xfId="9583"/>
    <cellStyle name="Percent 13 2 2 4 2 2" xfId="16085"/>
    <cellStyle name="Percent 13 2 2 4 3" xfId="7864"/>
    <cellStyle name="Percent 13 2 2 4 3 2" xfId="14504"/>
    <cellStyle name="Percent 13 2 2 4 4" xfId="12735"/>
    <cellStyle name="Percent 13 2 2 5" xfId="10015"/>
    <cellStyle name="Percent 13 2 2 5 2" xfId="16496"/>
    <cellStyle name="Percent 13 2 2 6" xfId="8341"/>
    <cellStyle name="Percent 13 2 2 6 2" xfId="14898"/>
    <cellStyle name="Percent 13 2 2 7" xfId="6622"/>
    <cellStyle name="Percent 13 2 2 7 2" xfId="13312"/>
    <cellStyle name="Percent 13 2 2 8" xfId="11522"/>
    <cellStyle name="Percent 13 2 3" xfId="4797"/>
    <cellStyle name="Percent 13 2 3 2" xfId="8540"/>
    <cellStyle name="Percent 13 2 3 2 2" xfId="15092"/>
    <cellStyle name="Percent 13 2 3 3" xfId="6821"/>
    <cellStyle name="Percent 13 2 3 3 2" xfId="13511"/>
    <cellStyle name="Percent 13 2 3 4" xfId="11726"/>
    <cellStyle name="Percent 13 2 4" xfId="5207"/>
    <cellStyle name="Percent 13 2 4 2" xfId="8950"/>
    <cellStyle name="Percent 13 2 4 2 2" xfId="15494"/>
    <cellStyle name="Percent 13 2 4 3" xfId="7231"/>
    <cellStyle name="Percent 13 2 4 3 2" xfId="13913"/>
    <cellStyle name="Percent 13 2 4 4" xfId="12128"/>
    <cellStyle name="Percent 13 2 5" xfId="5640"/>
    <cellStyle name="Percent 13 2 5 2" xfId="9381"/>
    <cellStyle name="Percent 13 2 5 2 2" xfId="15888"/>
    <cellStyle name="Percent 13 2 5 3" xfId="7662"/>
    <cellStyle name="Percent 13 2 5 3 2" xfId="14307"/>
    <cellStyle name="Percent 13 2 5 4" xfId="12533"/>
    <cellStyle name="Percent 13 2 6" xfId="9787"/>
    <cellStyle name="Percent 13 2 6 2" xfId="16278"/>
    <cellStyle name="Percent 13 2 7" xfId="8103"/>
    <cellStyle name="Percent 13 2 7 2" xfId="14701"/>
    <cellStyle name="Percent 13 2 8" xfId="6385"/>
    <cellStyle name="Percent 13 2 8 2" xfId="13106"/>
    <cellStyle name="Percent 13 2 9" xfId="11316"/>
    <cellStyle name="Percent 13 3" xfId="4576"/>
    <cellStyle name="Percent 13 3 2" xfId="5020"/>
    <cellStyle name="Percent 13 3 2 2" xfId="8763"/>
    <cellStyle name="Percent 13 3 2 2 2" xfId="15311"/>
    <cellStyle name="Percent 13 3 2 3" xfId="7044"/>
    <cellStyle name="Percent 13 3 2 3 2" xfId="13730"/>
    <cellStyle name="Percent 13 3 2 4" xfId="11945"/>
    <cellStyle name="Percent 13 3 3" xfId="5403"/>
    <cellStyle name="Percent 13 3 3 2" xfId="9146"/>
    <cellStyle name="Percent 13 3 3 2 2" xfId="15690"/>
    <cellStyle name="Percent 13 3 3 3" xfId="7427"/>
    <cellStyle name="Percent 13 3 3 3 2" xfId="14109"/>
    <cellStyle name="Percent 13 3 3 4" xfId="12324"/>
    <cellStyle name="Percent 13 3 4" xfId="5841"/>
    <cellStyle name="Percent 13 3 4 2" xfId="9582"/>
    <cellStyle name="Percent 13 3 4 2 2" xfId="16084"/>
    <cellStyle name="Percent 13 3 4 3" xfId="7863"/>
    <cellStyle name="Percent 13 3 4 3 2" xfId="14503"/>
    <cellStyle name="Percent 13 3 4 4" xfId="12734"/>
    <cellStyle name="Percent 13 3 5" xfId="10016"/>
    <cellStyle name="Percent 13 3 5 2" xfId="16497"/>
    <cellStyle name="Percent 13 3 6" xfId="8340"/>
    <cellStyle name="Percent 13 3 6 2" xfId="14897"/>
    <cellStyle name="Percent 13 3 7" xfId="6621"/>
    <cellStyle name="Percent 13 3 7 2" xfId="13311"/>
    <cellStyle name="Percent 13 3 8" xfId="11521"/>
    <cellStyle name="Percent 13 4" xfId="4715"/>
    <cellStyle name="Percent 13 4 2" xfId="8459"/>
    <cellStyle name="Percent 13 4 2 2" xfId="15011"/>
    <cellStyle name="Percent 13 4 3" xfId="6740"/>
    <cellStyle name="Percent 13 4 3 2" xfId="13430"/>
    <cellStyle name="Percent 13 4 4" xfId="11644"/>
    <cellStyle name="Percent 13 5" xfId="5206"/>
    <cellStyle name="Percent 13 5 2" xfId="8949"/>
    <cellStyle name="Percent 13 5 2 2" xfId="15493"/>
    <cellStyle name="Percent 13 5 3" xfId="7230"/>
    <cellStyle name="Percent 13 5 3 2" xfId="13912"/>
    <cellStyle name="Percent 13 5 4" xfId="12127"/>
    <cellStyle name="Percent 13 6" xfId="5639"/>
    <cellStyle name="Percent 13 6 2" xfId="9380"/>
    <cellStyle name="Percent 13 6 2 2" xfId="15887"/>
    <cellStyle name="Percent 13 6 3" xfId="7661"/>
    <cellStyle name="Percent 13 6 3 2" xfId="14306"/>
    <cellStyle name="Percent 13 6 4" xfId="12532"/>
    <cellStyle name="Percent 13 7" xfId="9703"/>
    <cellStyle name="Percent 13 7 2" xfId="16196"/>
    <cellStyle name="Percent 13 8" xfId="8102"/>
    <cellStyle name="Percent 13 8 2" xfId="14700"/>
    <cellStyle name="Percent 13 9" xfId="6384"/>
    <cellStyle name="Percent 13 9 2" xfId="13105"/>
    <cellStyle name="Percent 14" xfId="4233"/>
    <cellStyle name="Percent 14 10" xfId="11317"/>
    <cellStyle name="Percent 14 2" xfId="4234"/>
    <cellStyle name="Percent 14 2 2" xfId="4579"/>
    <cellStyle name="Percent 14 2 2 2" xfId="5021"/>
    <cellStyle name="Percent 14 2 2 2 2" xfId="8764"/>
    <cellStyle name="Percent 14 2 2 2 2 2" xfId="15312"/>
    <cellStyle name="Percent 14 2 2 2 3" xfId="7045"/>
    <cellStyle name="Percent 14 2 2 2 3 2" xfId="13731"/>
    <cellStyle name="Percent 14 2 2 2 4" xfId="11946"/>
    <cellStyle name="Percent 14 2 2 3" xfId="5406"/>
    <cellStyle name="Percent 14 2 2 3 2" xfId="9149"/>
    <cellStyle name="Percent 14 2 2 3 2 2" xfId="15693"/>
    <cellStyle name="Percent 14 2 2 3 3" xfId="7430"/>
    <cellStyle name="Percent 14 2 2 3 3 2" xfId="14112"/>
    <cellStyle name="Percent 14 2 2 3 4" xfId="12327"/>
    <cellStyle name="Percent 14 2 2 4" xfId="5844"/>
    <cellStyle name="Percent 14 2 2 4 2" xfId="9585"/>
    <cellStyle name="Percent 14 2 2 4 2 2" xfId="16087"/>
    <cellStyle name="Percent 14 2 2 4 3" xfId="7866"/>
    <cellStyle name="Percent 14 2 2 4 3 2" xfId="14506"/>
    <cellStyle name="Percent 14 2 2 4 4" xfId="12737"/>
    <cellStyle name="Percent 14 2 2 5" xfId="10017"/>
    <cellStyle name="Percent 14 2 2 5 2" xfId="16498"/>
    <cellStyle name="Percent 14 2 2 6" xfId="8343"/>
    <cellStyle name="Percent 14 2 2 6 2" xfId="14900"/>
    <cellStyle name="Percent 14 2 2 7" xfId="6624"/>
    <cellStyle name="Percent 14 2 2 7 2" xfId="13314"/>
    <cellStyle name="Percent 14 2 2 8" xfId="11524"/>
    <cellStyle name="Percent 14 2 3" xfId="4799"/>
    <cellStyle name="Percent 14 2 3 2" xfId="8542"/>
    <cellStyle name="Percent 14 2 3 2 2" xfId="15094"/>
    <cellStyle name="Percent 14 2 3 3" xfId="6823"/>
    <cellStyle name="Percent 14 2 3 3 2" xfId="13513"/>
    <cellStyle name="Percent 14 2 3 4" xfId="11728"/>
    <cellStyle name="Percent 14 2 4" xfId="5209"/>
    <cellStyle name="Percent 14 2 4 2" xfId="8952"/>
    <cellStyle name="Percent 14 2 4 2 2" xfId="15496"/>
    <cellStyle name="Percent 14 2 4 3" xfId="7233"/>
    <cellStyle name="Percent 14 2 4 3 2" xfId="13915"/>
    <cellStyle name="Percent 14 2 4 4" xfId="12130"/>
    <cellStyle name="Percent 14 2 5" xfId="5642"/>
    <cellStyle name="Percent 14 2 5 2" xfId="9383"/>
    <cellStyle name="Percent 14 2 5 2 2" xfId="15890"/>
    <cellStyle name="Percent 14 2 5 3" xfId="7664"/>
    <cellStyle name="Percent 14 2 5 3 2" xfId="14309"/>
    <cellStyle name="Percent 14 2 5 4" xfId="12535"/>
    <cellStyle name="Percent 14 2 6" xfId="9789"/>
    <cellStyle name="Percent 14 2 6 2" xfId="16280"/>
    <cellStyle name="Percent 14 2 7" xfId="8105"/>
    <cellStyle name="Percent 14 2 7 2" xfId="14703"/>
    <cellStyle name="Percent 14 2 8" xfId="6387"/>
    <cellStyle name="Percent 14 2 8 2" xfId="13108"/>
    <cellStyle name="Percent 14 2 9" xfId="11318"/>
    <cellStyle name="Percent 14 3" xfId="4578"/>
    <cellStyle name="Percent 14 3 2" xfId="5022"/>
    <cellStyle name="Percent 14 3 2 2" xfId="8765"/>
    <cellStyle name="Percent 14 3 2 2 2" xfId="15313"/>
    <cellStyle name="Percent 14 3 2 3" xfId="7046"/>
    <cellStyle name="Percent 14 3 2 3 2" xfId="13732"/>
    <cellStyle name="Percent 14 3 2 4" xfId="11947"/>
    <cellStyle name="Percent 14 3 3" xfId="5405"/>
    <cellStyle name="Percent 14 3 3 2" xfId="9148"/>
    <cellStyle name="Percent 14 3 3 2 2" xfId="15692"/>
    <cellStyle name="Percent 14 3 3 3" xfId="7429"/>
    <cellStyle name="Percent 14 3 3 3 2" xfId="14111"/>
    <cellStyle name="Percent 14 3 3 4" xfId="12326"/>
    <cellStyle name="Percent 14 3 4" xfId="5843"/>
    <cellStyle name="Percent 14 3 4 2" xfId="9584"/>
    <cellStyle name="Percent 14 3 4 2 2" xfId="16086"/>
    <cellStyle name="Percent 14 3 4 3" xfId="7865"/>
    <cellStyle name="Percent 14 3 4 3 2" xfId="14505"/>
    <cellStyle name="Percent 14 3 4 4" xfId="12736"/>
    <cellStyle name="Percent 14 3 5" xfId="10018"/>
    <cellStyle name="Percent 14 3 5 2" xfId="16499"/>
    <cellStyle name="Percent 14 3 6" xfId="8342"/>
    <cellStyle name="Percent 14 3 6 2" xfId="14899"/>
    <cellStyle name="Percent 14 3 7" xfId="6623"/>
    <cellStyle name="Percent 14 3 7 2" xfId="13313"/>
    <cellStyle name="Percent 14 3 8" xfId="11523"/>
    <cellStyle name="Percent 14 4" xfId="4717"/>
    <cellStyle name="Percent 14 4 2" xfId="8461"/>
    <cellStyle name="Percent 14 4 2 2" xfId="15013"/>
    <cellStyle name="Percent 14 4 3" xfId="6742"/>
    <cellStyle name="Percent 14 4 3 2" xfId="13432"/>
    <cellStyle name="Percent 14 4 4" xfId="11646"/>
    <cellStyle name="Percent 14 5" xfId="5208"/>
    <cellStyle name="Percent 14 5 2" xfId="8951"/>
    <cellStyle name="Percent 14 5 2 2" xfId="15495"/>
    <cellStyle name="Percent 14 5 3" xfId="7232"/>
    <cellStyle name="Percent 14 5 3 2" xfId="13914"/>
    <cellStyle name="Percent 14 5 4" xfId="12129"/>
    <cellStyle name="Percent 14 6" xfId="5641"/>
    <cellStyle name="Percent 14 6 2" xfId="9382"/>
    <cellStyle name="Percent 14 6 2 2" xfId="15889"/>
    <cellStyle name="Percent 14 6 3" xfId="7663"/>
    <cellStyle name="Percent 14 6 3 2" xfId="14308"/>
    <cellStyle name="Percent 14 6 4" xfId="12534"/>
    <cellStyle name="Percent 14 7" xfId="9705"/>
    <cellStyle name="Percent 14 7 2" xfId="16198"/>
    <cellStyle name="Percent 14 8" xfId="8104"/>
    <cellStyle name="Percent 14 8 2" xfId="14702"/>
    <cellStyle name="Percent 14 9" xfId="6386"/>
    <cellStyle name="Percent 14 9 2" xfId="13107"/>
    <cellStyle name="Percent 15" xfId="4235"/>
    <cellStyle name="Percent 15 10" xfId="11319"/>
    <cellStyle name="Percent 15 2" xfId="4236"/>
    <cellStyle name="Percent 15 2 2" xfId="4581"/>
    <cellStyle name="Percent 15 2 2 2" xfId="5023"/>
    <cellStyle name="Percent 15 2 2 2 2" xfId="8766"/>
    <cellStyle name="Percent 15 2 2 2 2 2" xfId="15314"/>
    <cellStyle name="Percent 15 2 2 2 3" xfId="7047"/>
    <cellStyle name="Percent 15 2 2 2 3 2" xfId="13733"/>
    <cellStyle name="Percent 15 2 2 2 4" xfId="11948"/>
    <cellStyle name="Percent 15 2 2 3" xfId="5408"/>
    <cellStyle name="Percent 15 2 2 3 2" xfId="9151"/>
    <cellStyle name="Percent 15 2 2 3 2 2" xfId="15695"/>
    <cellStyle name="Percent 15 2 2 3 3" xfId="7432"/>
    <cellStyle name="Percent 15 2 2 3 3 2" xfId="14114"/>
    <cellStyle name="Percent 15 2 2 3 4" xfId="12329"/>
    <cellStyle name="Percent 15 2 2 4" xfId="5846"/>
    <cellStyle name="Percent 15 2 2 4 2" xfId="9587"/>
    <cellStyle name="Percent 15 2 2 4 2 2" xfId="16089"/>
    <cellStyle name="Percent 15 2 2 4 3" xfId="7868"/>
    <cellStyle name="Percent 15 2 2 4 3 2" xfId="14508"/>
    <cellStyle name="Percent 15 2 2 4 4" xfId="12739"/>
    <cellStyle name="Percent 15 2 2 5" xfId="10019"/>
    <cellStyle name="Percent 15 2 2 5 2" xfId="16500"/>
    <cellStyle name="Percent 15 2 2 6" xfId="8345"/>
    <cellStyle name="Percent 15 2 2 6 2" xfId="14902"/>
    <cellStyle name="Percent 15 2 2 7" xfId="6626"/>
    <cellStyle name="Percent 15 2 2 7 2" xfId="13316"/>
    <cellStyle name="Percent 15 2 2 8" xfId="11526"/>
    <cellStyle name="Percent 15 2 3" xfId="4801"/>
    <cellStyle name="Percent 15 2 3 2" xfId="8544"/>
    <cellStyle name="Percent 15 2 3 2 2" xfId="15096"/>
    <cellStyle name="Percent 15 2 3 3" xfId="6825"/>
    <cellStyle name="Percent 15 2 3 3 2" xfId="13515"/>
    <cellStyle name="Percent 15 2 3 4" xfId="11730"/>
    <cellStyle name="Percent 15 2 4" xfId="5211"/>
    <cellStyle name="Percent 15 2 4 2" xfId="8954"/>
    <cellStyle name="Percent 15 2 4 2 2" xfId="15498"/>
    <cellStyle name="Percent 15 2 4 3" xfId="7235"/>
    <cellStyle name="Percent 15 2 4 3 2" xfId="13917"/>
    <cellStyle name="Percent 15 2 4 4" xfId="12132"/>
    <cellStyle name="Percent 15 2 5" xfId="5644"/>
    <cellStyle name="Percent 15 2 5 2" xfId="9385"/>
    <cellStyle name="Percent 15 2 5 2 2" xfId="15892"/>
    <cellStyle name="Percent 15 2 5 3" xfId="7666"/>
    <cellStyle name="Percent 15 2 5 3 2" xfId="14311"/>
    <cellStyle name="Percent 15 2 5 4" xfId="12537"/>
    <cellStyle name="Percent 15 2 6" xfId="9791"/>
    <cellStyle name="Percent 15 2 6 2" xfId="16282"/>
    <cellStyle name="Percent 15 2 7" xfId="8107"/>
    <cellStyle name="Percent 15 2 7 2" xfId="14705"/>
    <cellStyle name="Percent 15 2 8" xfId="6389"/>
    <cellStyle name="Percent 15 2 8 2" xfId="13110"/>
    <cellStyle name="Percent 15 2 9" xfId="11320"/>
    <cellStyle name="Percent 15 3" xfId="4580"/>
    <cellStyle name="Percent 15 3 2" xfId="5024"/>
    <cellStyle name="Percent 15 3 2 2" xfId="8767"/>
    <cellStyle name="Percent 15 3 2 2 2" xfId="15315"/>
    <cellStyle name="Percent 15 3 2 3" xfId="7048"/>
    <cellStyle name="Percent 15 3 2 3 2" xfId="13734"/>
    <cellStyle name="Percent 15 3 2 4" xfId="11949"/>
    <cellStyle name="Percent 15 3 3" xfId="5407"/>
    <cellStyle name="Percent 15 3 3 2" xfId="9150"/>
    <cellStyle name="Percent 15 3 3 2 2" xfId="15694"/>
    <cellStyle name="Percent 15 3 3 3" xfId="7431"/>
    <cellStyle name="Percent 15 3 3 3 2" xfId="14113"/>
    <cellStyle name="Percent 15 3 3 4" xfId="12328"/>
    <cellStyle name="Percent 15 3 4" xfId="5845"/>
    <cellStyle name="Percent 15 3 4 2" xfId="9586"/>
    <cellStyle name="Percent 15 3 4 2 2" xfId="16088"/>
    <cellStyle name="Percent 15 3 4 3" xfId="7867"/>
    <cellStyle name="Percent 15 3 4 3 2" xfId="14507"/>
    <cellStyle name="Percent 15 3 4 4" xfId="12738"/>
    <cellStyle name="Percent 15 3 5" xfId="10020"/>
    <cellStyle name="Percent 15 3 5 2" xfId="16501"/>
    <cellStyle name="Percent 15 3 6" xfId="8344"/>
    <cellStyle name="Percent 15 3 6 2" xfId="14901"/>
    <cellStyle name="Percent 15 3 7" xfId="6625"/>
    <cellStyle name="Percent 15 3 7 2" xfId="13315"/>
    <cellStyle name="Percent 15 3 8" xfId="11525"/>
    <cellStyle name="Percent 15 4" xfId="4719"/>
    <cellStyle name="Percent 15 4 2" xfId="8463"/>
    <cellStyle name="Percent 15 4 2 2" xfId="15015"/>
    <cellStyle name="Percent 15 4 3" xfId="6744"/>
    <cellStyle name="Percent 15 4 3 2" xfId="13434"/>
    <cellStyle name="Percent 15 4 4" xfId="11648"/>
    <cellStyle name="Percent 15 5" xfId="5210"/>
    <cellStyle name="Percent 15 5 2" xfId="8953"/>
    <cellStyle name="Percent 15 5 2 2" xfId="15497"/>
    <cellStyle name="Percent 15 5 3" xfId="7234"/>
    <cellStyle name="Percent 15 5 3 2" xfId="13916"/>
    <cellStyle name="Percent 15 5 4" xfId="12131"/>
    <cellStyle name="Percent 15 6" xfId="5643"/>
    <cellStyle name="Percent 15 6 2" xfId="9384"/>
    <cellStyle name="Percent 15 6 2 2" xfId="15891"/>
    <cellStyle name="Percent 15 6 3" xfId="7665"/>
    <cellStyle name="Percent 15 6 3 2" xfId="14310"/>
    <cellStyle name="Percent 15 6 4" xfId="12536"/>
    <cellStyle name="Percent 15 7" xfId="9707"/>
    <cellStyle name="Percent 15 7 2" xfId="16200"/>
    <cellStyle name="Percent 15 8" xfId="8106"/>
    <cellStyle name="Percent 15 8 2" xfId="14704"/>
    <cellStyle name="Percent 15 9" xfId="6388"/>
    <cellStyle name="Percent 15 9 2" xfId="13109"/>
    <cellStyle name="Percent 16" xfId="4237"/>
    <cellStyle name="Percent 16 10" xfId="11321"/>
    <cellStyle name="Percent 16 2" xfId="4238"/>
    <cellStyle name="Percent 16 2 2" xfId="4583"/>
    <cellStyle name="Percent 16 2 2 2" xfId="5025"/>
    <cellStyle name="Percent 16 2 2 2 2" xfId="8768"/>
    <cellStyle name="Percent 16 2 2 2 2 2" xfId="15316"/>
    <cellStyle name="Percent 16 2 2 2 3" xfId="7049"/>
    <cellStyle name="Percent 16 2 2 2 3 2" xfId="13735"/>
    <cellStyle name="Percent 16 2 2 2 4" xfId="11950"/>
    <cellStyle name="Percent 16 2 2 3" xfId="5410"/>
    <cellStyle name="Percent 16 2 2 3 2" xfId="9153"/>
    <cellStyle name="Percent 16 2 2 3 2 2" xfId="15697"/>
    <cellStyle name="Percent 16 2 2 3 3" xfId="7434"/>
    <cellStyle name="Percent 16 2 2 3 3 2" xfId="14116"/>
    <cellStyle name="Percent 16 2 2 3 4" xfId="12331"/>
    <cellStyle name="Percent 16 2 2 4" xfId="5848"/>
    <cellStyle name="Percent 16 2 2 4 2" xfId="9589"/>
    <cellStyle name="Percent 16 2 2 4 2 2" xfId="16091"/>
    <cellStyle name="Percent 16 2 2 4 3" xfId="7870"/>
    <cellStyle name="Percent 16 2 2 4 3 2" xfId="14510"/>
    <cellStyle name="Percent 16 2 2 4 4" xfId="12741"/>
    <cellStyle name="Percent 16 2 2 5" xfId="10021"/>
    <cellStyle name="Percent 16 2 2 5 2" xfId="16502"/>
    <cellStyle name="Percent 16 2 2 6" xfId="8347"/>
    <cellStyle name="Percent 16 2 2 6 2" xfId="14904"/>
    <cellStyle name="Percent 16 2 2 7" xfId="6628"/>
    <cellStyle name="Percent 16 2 2 7 2" xfId="13318"/>
    <cellStyle name="Percent 16 2 2 8" xfId="11528"/>
    <cellStyle name="Percent 16 2 3" xfId="4803"/>
    <cellStyle name="Percent 16 2 3 2" xfId="8546"/>
    <cellStyle name="Percent 16 2 3 2 2" xfId="15098"/>
    <cellStyle name="Percent 16 2 3 3" xfId="6827"/>
    <cellStyle name="Percent 16 2 3 3 2" xfId="13517"/>
    <cellStyle name="Percent 16 2 3 4" xfId="11732"/>
    <cellStyle name="Percent 16 2 4" xfId="5213"/>
    <cellStyle name="Percent 16 2 4 2" xfId="8956"/>
    <cellStyle name="Percent 16 2 4 2 2" xfId="15500"/>
    <cellStyle name="Percent 16 2 4 3" xfId="7237"/>
    <cellStyle name="Percent 16 2 4 3 2" xfId="13919"/>
    <cellStyle name="Percent 16 2 4 4" xfId="12134"/>
    <cellStyle name="Percent 16 2 5" xfId="5646"/>
    <cellStyle name="Percent 16 2 5 2" xfId="9387"/>
    <cellStyle name="Percent 16 2 5 2 2" xfId="15894"/>
    <cellStyle name="Percent 16 2 5 3" xfId="7668"/>
    <cellStyle name="Percent 16 2 5 3 2" xfId="14313"/>
    <cellStyle name="Percent 16 2 5 4" xfId="12539"/>
    <cellStyle name="Percent 16 2 6" xfId="9793"/>
    <cellStyle name="Percent 16 2 6 2" xfId="16284"/>
    <cellStyle name="Percent 16 2 7" xfId="8109"/>
    <cellStyle name="Percent 16 2 7 2" xfId="14707"/>
    <cellStyle name="Percent 16 2 8" xfId="6391"/>
    <cellStyle name="Percent 16 2 8 2" xfId="13112"/>
    <cellStyle name="Percent 16 2 9" xfId="11322"/>
    <cellStyle name="Percent 16 3" xfId="4582"/>
    <cellStyle name="Percent 16 3 2" xfId="5026"/>
    <cellStyle name="Percent 16 3 2 2" xfId="8769"/>
    <cellStyle name="Percent 16 3 2 2 2" xfId="15317"/>
    <cellStyle name="Percent 16 3 2 3" xfId="7050"/>
    <cellStyle name="Percent 16 3 2 3 2" xfId="13736"/>
    <cellStyle name="Percent 16 3 2 4" xfId="11951"/>
    <cellStyle name="Percent 16 3 3" xfId="5409"/>
    <cellStyle name="Percent 16 3 3 2" xfId="9152"/>
    <cellStyle name="Percent 16 3 3 2 2" xfId="15696"/>
    <cellStyle name="Percent 16 3 3 3" xfId="7433"/>
    <cellStyle name="Percent 16 3 3 3 2" xfId="14115"/>
    <cellStyle name="Percent 16 3 3 4" xfId="12330"/>
    <cellStyle name="Percent 16 3 4" xfId="5847"/>
    <cellStyle name="Percent 16 3 4 2" xfId="9588"/>
    <cellStyle name="Percent 16 3 4 2 2" xfId="16090"/>
    <cellStyle name="Percent 16 3 4 3" xfId="7869"/>
    <cellStyle name="Percent 16 3 4 3 2" xfId="14509"/>
    <cellStyle name="Percent 16 3 4 4" xfId="12740"/>
    <cellStyle name="Percent 16 3 5" xfId="10022"/>
    <cellStyle name="Percent 16 3 5 2" xfId="16503"/>
    <cellStyle name="Percent 16 3 6" xfId="8346"/>
    <cellStyle name="Percent 16 3 6 2" xfId="14903"/>
    <cellStyle name="Percent 16 3 7" xfId="6627"/>
    <cellStyle name="Percent 16 3 7 2" xfId="13317"/>
    <cellStyle name="Percent 16 3 8" xfId="11527"/>
    <cellStyle name="Percent 16 4" xfId="4721"/>
    <cellStyle name="Percent 16 4 2" xfId="8465"/>
    <cellStyle name="Percent 16 4 2 2" xfId="15017"/>
    <cellStyle name="Percent 16 4 3" xfId="6746"/>
    <cellStyle name="Percent 16 4 3 2" xfId="13436"/>
    <cellStyle name="Percent 16 4 4" xfId="11650"/>
    <cellStyle name="Percent 16 5" xfId="5212"/>
    <cellStyle name="Percent 16 5 2" xfId="8955"/>
    <cellStyle name="Percent 16 5 2 2" xfId="15499"/>
    <cellStyle name="Percent 16 5 3" xfId="7236"/>
    <cellStyle name="Percent 16 5 3 2" xfId="13918"/>
    <cellStyle name="Percent 16 5 4" xfId="12133"/>
    <cellStyle name="Percent 16 6" xfId="5645"/>
    <cellStyle name="Percent 16 6 2" xfId="9386"/>
    <cellStyle name="Percent 16 6 2 2" xfId="15893"/>
    <cellStyle name="Percent 16 6 3" xfId="7667"/>
    <cellStyle name="Percent 16 6 3 2" xfId="14312"/>
    <cellStyle name="Percent 16 6 4" xfId="12538"/>
    <cellStyle name="Percent 16 7" xfId="9709"/>
    <cellStyle name="Percent 16 7 2" xfId="16202"/>
    <cellStyle name="Percent 16 8" xfId="8108"/>
    <cellStyle name="Percent 16 8 2" xfId="14706"/>
    <cellStyle name="Percent 16 9" xfId="6390"/>
    <cellStyle name="Percent 16 9 2" xfId="13111"/>
    <cellStyle name="Percent 17" xfId="4239"/>
    <cellStyle name="Percent 17 10" xfId="11323"/>
    <cellStyle name="Percent 17 2" xfId="4240"/>
    <cellStyle name="Percent 17 2 2" xfId="4585"/>
    <cellStyle name="Percent 17 2 2 2" xfId="5027"/>
    <cellStyle name="Percent 17 2 2 2 2" xfId="8770"/>
    <cellStyle name="Percent 17 2 2 2 2 2" xfId="15318"/>
    <cellStyle name="Percent 17 2 2 2 3" xfId="7051"/>
    <cellStyle name="Percent 17 2 2 2 3 2" xfId="13737"/>
    <cellStyle name="Percent 17 2 2 2 4" xfId="11952"/>
    <cellStyle name="Percent 17 2 2 3" xfId="5412"/>
    <cellStyle name="Percent 17 2 2 3 2" xfId="9155"/>
    <cellStyle name="Percent 17 2 2 3 2 2" xfId="15699"/>
    <cellStyle name="Percent 17 2 2 3 3" xfId="7436"/>
    <cellStyle name="Percent 17 2 2 3 3 2" xfId="14118"/>
    <cellStyle name="Percent 17 2 2 3 4" xfId="12333"/>
    <cellStyle name="Percent 17 2 2 4" xfId="5850"/>
    <cellStyle name="Percent 17 2 2 4 2" xfId="9591"/>
    <cellStyle name="Percent 17 2 2 4 2 2" xfId="16093"/>
    <cellStyle name="Percent 17 2 2 4 3" xfId="7872"/>
    <cellStyle name="Percent 17 2 2 4 3 2" xfId="14512"/>
    <cellStyle name="Percent 17 2 2 4 4" xfId="12743"/>
    <cellStyle name="Percent 17 2 2 5" xfId="10023"/>
    <cellStyle name="Percent 17 2 2 5 2" xfId="16504"/>
    <cellStyle name="Percent 17 2 2 6" xfId="8349"/>
    <cellStyle name="Percent 17 2 2 6 2" xfId="14906"/>
    <cellStyle name="Percent 17 2 2 7" xfId="6630"/>
    <cellStyle name="Percent 17 2 2 7 2" xfId="13320"/>
    <cellStyle name="Percent 17 2 2 8" xfId="11530"/>
    <cellStyle name="Percent 17 2 3" xfId="4806"/>
    <cellStyle name="Percent 17 2 3 2" xfId="8549"/>
    <cellStyle name="Percent 17 2 3 2 2" xfId="15101"/>
    <cellStyle name="Percent 17 2 3 3" xfId="6830"/>
    <cellStyle name="Percent 17 2 3 3 2" xfId="13520"/>
    <cellStyle name="Percent 17 2 3 4" xfId="11735"/>
    <cellStyle name="Percent 17 2 4" xfId="5215"/>
    <cellStyle name="Percent 17 2 4 2" xfId="8958"/>
    <cellStyle name="Percent 17 2 4 2 2" xfId="15502"/>
    <cellStyle name="Percent 17 2 4 3" xfId="7239"/>
    <cellStyle name="Percent 17 2 4 3 2" xfId="13921"/>
    <cellStyle name="Percent 17 2 4 4" xfId="12136"/>
    <cellStyle name="Percent 17 2 5" xfId="5648"/>
    <cellStyle name="Percent 17 2 5 2" xfId="9389"/>
    <cellStyle name="Percent 17 2 5 2 2" xfId="15896"/>
    <cellStyle name="Percent 17 2 5 3" xfId="7670"/>
    <cellStyle name="Percent 17 2 5 3 2" xfId="14315"/>
    <cellStyle name="Percent 17 2 5 4" xfId="12541"/>
    <cellStyle name="Percent 17 2 6" xfId="9796"/>
    <cellStyle name="Percent 17 2 6 2" xfId="16287"/>
    <cellStyle name="Percent 17 2 7" xfId="8111"/>
    <cellStyle name="Percent 17 2 7 2" xfId="14709"/>
    <cellStyle name="Percent 17 2 8" xfId="6393"/>
    <cellStyle name="Percent 17 2 8 2" xfId="13114"/>
    <cellStyle name="Percent 17 2 9" xfId="11324"/>
    <cellStyle name="Percent 17 3" xfId="4584"/>
    <cellStyle name="Percent 17 3 2" xfId="5028"/>
    <cellStyle name="Percent 17 3 2 2" xfId="8771"/>
    <cellStyle name="Percent 17 3 2 2 2" xfId="15319"/>
    <cellStyle name="Percent 17 3 2 3" xfId="7052"/>
    <cellStyle name="Percent 17 3 2 3 2" xfId="13738"/>
    <cellStyle name="Percent 17 3 2 4" xfId="11953"/>
    <cellStyle name="Percent 17 3 3" xfId="5411"/>
    <cellStyle name="Percent 17 3 3 2" xfId="9154"/>
    <cellStyle name="Percent 17 3 3 2 2" xfId="15698"/>
    <cellStyle name="Percent 17 3 3 3" xfId="7435"/>
    <cellStyle name="Percent 17 3 3 3 2" xfId="14117"/>
    <cellStyle name="Percent 17 3 3 4" xfId="12332"/>
    <cellStyle name="Percent 17 3 4" xfId="5849"/>
    <cellStyle name="Percent 17 3 4 2" xfId="9590"/>
    <cellStyle name="Percent 17 3 4 2 2" xfId="16092"/>
    <cellStyle name="Percent 17 3 4 3" xfId="7871"/>
    <cellStyle name="Percent 17 3 4 3 2" xfId="14511"/>
    <cellStyle name="Percent 17 3 4 4" xfId="12742"/>
    <cellStyle name="Percent 17 3 5" xfId="10024"/>
    <cellStyle name="Percent 17 3 5 2" xfId="16505"/>
    <cellStyle name="Percent 17 3 6" xfId="8348"/>
    <cellStyle name="Percent 17 3 6 2" xfId="14905"/>
    <cellStyle name="Percent 17 3 7" xfId="6629"/>
    <cellStyle name="Percent 17 3 7 2" xfId="13319"/>
    <cellStyle name="Percent 17 3 8" xfId="11529"/>
    <cellStyle name="Percent 17 4" xfId="4724"/>
    <cellStyle name="Percent 17 4 2" xfId="8468"/>
    <cellStyle name="Percent 17 4 2 2" xfId="15020"/>
    <cellStyle name="Percent 17 4 3" xfId="6749"/>
    <cellStyle name="Percent 17 4 3 2" xfId="13439"/>
    <cellStyle name="Percent 17 4 4" xfId="11653"/>
    <cellStyle name="Percent 17 5" xfId="5214"/>
    <cellStyle name="Percent 17 5 2" xfId="8957"/>
    <cellStyle name="Percent 17 5 2 2" xfId="15501"/>
    <cellStyle name="Percent 17 5 3" xfId="7238"/>
    <cellStyle name="Percent 17 5 3 2" xfId="13920"/>
    <cellStyle name="Percent 17 5 4" xfId="12135"/>
    <cellStyle name="Percent 17 6" xfId="5647"/>
    <cellStyle name="Percent 17 6 2" xfId="9388"/>
    <cellStyle name="Percent 17 6 2 2" xfId="15895"/>
    <cellStyle name="Percent 17 6 3" xfId="7669"/>
    <cellStyle name="Percent 17 6 3 2" xfId="14314"/>
    <cellStyle name="Percent 17 6 4" xfId="12540"/>
    <cellStyle name="Percent 17 7" xfId="9712"/>
    <cellStyle name="Percent 17 7 2" xfId="16205"/>
    <cellStyle name="Percent 17 8" xfId="8110"/>
    <cellStyle name="Percent 17 8 2" xfId="14708"/>
    <cellStyle name="Percent 17 9" xfId="6392"/>
    <cellStyle name="Percent 17 9 2" xfId="13113"/>
    <cellStyle name="Percent 18" xfId="4241"/>
    <cellStyle name="Percent 18 10" xfId="11325"/>
    <cellStyle name="Percent 18 2" xfId="4242"/>
    <cellStyle name="Percent 18 2 2" xfId="4587"/>
    <cellStyle name="Percent 18 2 2 2" xfId="5029"/>
    <cellStyle name="Percent 18 2 2 2 2" xfId="8772"/>
    <cellStyle name="Percent 18 2 2 2 2 2" xfId="15320"/>
    <cellStyle name="Percent 18 2 2 2 3" xfId="7053"/>
    <cellStyle name="Percent 18 2 2 2 3 2" xfId="13739"/>
    <cellStyle name="Percent 18 2 2 2 4" xfId="11954"/>
    <cellStyle name="Percent 18 2 2 3" xfId="5414"/>
    <cellStyle name="Percent 18 2 2 3 2" xfId="9157"/>
    <cellStyle name="Percent 18 2 2 3 2 2" xfId="15701"/>
    <cellStyle name="Percent 18 2 2 3 3" xfId="7438"/>
    <cellStyle name="Percent 18 2 2 3 3 2" xfId="14120"/>
    <cellStyle name="Percent 18 2 2 3 4" xfId="12335"/>
    <cellStyle name="Percent 18 2 2 4" xfId="5852"/>
    <cellStyle name="Percent 18 2 2 4 2" xfId="9593"/>
    <cellStyle name="Percent 18 2 2 4 2 2" xfId="16095"/>
    <cellStyle name="Percent 18 2 2 4 3" xfId="7874"/>
    <cellStyle name="Percent 18 2 2 4 3 2" xfId="14514"/>
    <cellStyle name="Percent 18 2 2 4 4" xfId="12745"/>
    <cellStyle name="Percent 18 2 2 5" xfId="10025"/>
    <cellStyle name="Percent 18 2 2 5 2" xfId="16506"/>
    <cellStyle name="Percent 18 2 2 6" xfId="8351"/>
    <cellStyle name="Percent 18 2 2 6 2" xfId="14908"/>
    <cellStyle name="Percent 18 2 2 7" xfId="6632"/>
    <cellStyle name="Percent 18 2 2 7 2" xfId="13322"/>
    <cellStyle name="Percent 18 2 2 8" xfId="11532"/>
    <cellStyle name="Percent 18 2 3" xfId="4807"/>
    <cellStyle name="Percent 18 2 3 2" xfId="8550"/>
    <cellStyle name="Percent 18 2 3 2 2" xfId="15102"/>
    <cellStyle name="Percent 18 2 3 3" xfId="6831"/>
    <cellStyle name="Percent 18 2 3 3 2" xfId="13521"/>
    <cellStyle name="Percent 18 2 3 4" xfId="11736"/>
    <cellStyle name="Percent 18 2 4" xfId="5217"/>
    <cellStyle name="Percent 18 2 4 2" xfId="8960"/>
    <cellStyle name="Percent 18 2 4 2 2" xfId="15504"/>
    <cellStyle name="Percent 18 2 4 3" xfId="7241"/>
    <cellStyle name="Percent 18 2 4 3 2" xfId="13923"/>
    <cellStyle name="Percent 18 2 4 4" xfId="12138"/>
    <cellStyle name="Percent 18 2 5" xfId="5650"/>
    <cellStyle name="Percent 18 2 5 2" xfId="9391"/>
    <cellStyle name="Percent 18 2 5 2 2" xfId="15898"/>
    <cellStyle name="Percent 18 2 5 3" xfId="7672"/>
    <cellStyle name="Percent 18 2 5 3 2" xfId="14317"/>
    <cellStyle name="Percent 18 2 5 4" xfId="12543"/>
    <cellStyle name="Percent 18 2 6" xfId="9797"/>
    <cellStyle name="Percent 18 2 6 2" xfId="16288"/>
    <cellStyle name="Percent 18 2 7" xfId="8113"/>
    <cellStyle name="Percent 18 2 7 2" xfId="14711"/>
    <cellStyle name="Percent 18 2 8" xfId="6395"/>
    <cellStyle name="Percent 18 2 8 2" xfId="13116"/>
    <cellStyle name="Percent 18 2 9" xfId="11326"/>
    <cellStyle name="Percent 18 3" xfId="4586"/>
    <cellStyle name="Percent 18 3 2" xfId="5030"/>
    <cellStyle name="Percent 18 3 2 2" xfId="8773"/>
    <cellStyle name="Percent 18 3 2 2 2" xfId="15321"/>
    <cellStyle name="Percent 18 3 2 3" xfId="7054"/>
    <cellStyle name="Percent 18 3 2 3 2" xfId="13740"/>
    <cellStyle name="Percent 18 3 2 4" xfId="11955"/>
    <cellStyle name="Percent 18 3 3" xfId="5413"/>
    <cellStyle name="Percent 18 3 3 2" xfId="9156"/>
    <cellStyle name="Percent 18 3 3 2 2" xfId="15700"/>
    <cellStyle name="Percent 18 3 3 3" xfId="7437"/>
    <cellStyle name="Percent 18 3 3 3 2" xfId="14119"/>
    <cellStyle name="Percent 18 3 3 4" xfId="12334"/>
    <cellStyle name="Percent 18 3 4" xfId="5851"/>
    <cellStyle name="Percent 18 3 4 2" xfId="9592"/>
    <cellStyle name="Percent 18 3 4 2 2" xfId="16094"/>
    <cellStyle name="Percent 18 3 4 3" xfId="7873"/>
    <cellStyle name="Percent 18 3 4 3 2" xfId="14513"/>
    <cellStyle name="Percent 18 3 4 4" xfId="12744"/>
    <cellStyle name="Percent 18 3 5" xfId="10026"/>
    <cellStyle name="Percent 18 3 5 2" xfId="16507"/>
    <cellStyle name="Percent 18 3 6" xfId="8350"/>
    <cellStyle name="Percent 18 3 6 2" xfId="14907"/>
    <cellStyle name="Percent 18 3 7" xfId="6631"/>
    <cellStyle name="Percent 18 3 7 2" xfId="13321"/>
    <cellStyle name="Percent 18 3 8" xfId="11531"/>
    <cellStyle name="Percent 18 4" xfId="4725"/>
    <cellStyle name="Percent 18 4 2" xfId="8469"/>
    <cellStyle name="Percent 18 4 2 2" xfId="15021"/>
    <cellStyle name="Percent 18 4 3" xfId="6750"/>
    <cellStyle name="Percent 18 4 3 2" xfId="13440"/>
    <cellStyle name="Percent 18 4 4" xfId="11654"/>
    <cellStyle name="Percent 18 5" xfId="5216"/>
    <cellStyle name="Percent 18 5 2" xfId="8959"/>
    <cellStyle name="Percent 18 5 2 2" xfId="15503"/>
    <cellStyle name="Percent 18 5 3" xfId="7240"/>
    <cellStyle name="Percent 18 5 3 2" xfId="13922"/>
    <cellStyle name="Percent 18 5 4" xfId="12137"/>
    <cellStyle name="Percent 18 6" xfId="5649"/>
    <cellStyle name="Percent 18 6 2" xfId="9390"/>
    <cellStyle name="Percent 18 6 2 2" xfId="15897"/>
    <cellStyle name="Percent 18 6 3" xfId="7671"/>
    <cellStyle name="Percent 18 6 3 2" xfId="14316"/>
    <cellStyle name="Percent 18 6 4" xfId="12542"/>
    <cellStyle name="Percent 18 7" xfId="9713"/>
    <cellStyle name="Percent 18 7 2" xfId="16206"/>
    <cellStyle name="Percent 18 8" xfId="8112"/>
    <cellStyle name="Percent 18 8 2" xfId="14710"/>
    <cellStyle name="Percent 18 9" xfId="6394"/>
    <cellStyle name="Percent 18 9 2" xfId="13115"/>
    <cellStyle name="Percent 19" xfId="4243"/>
    <cellStyle name="Percent 19 10" xfId="11327"/>
    <cellStyle name="Percent 19 2" xfId="4244"/>
    <cellStyle name="Percent 19 3" xfId="4588"/>
    <cellStyle name="Percent 19 3 2" xfId="5031"/>
    <cellStyle name="Percent 19 3 2 2" xfId="8774"/>
    <cellStyle name="Percent 19 3 2 2 2" xfId="15322"/>
    <cellStyle name="Percent 19 3 2 3" xfId="7055"/>
    <cellStyle name="Percent 19 3 2 3 2" xfId="13741"/>
    <cellStyle name="Percent 19 3 2 4" xfId="11956"/>
    <cellStyle name="Percent 19 3 3" xfId="5415"/>
    <cellStyle name="Percent 19 3 3 2" xfId="9158"/>
    <cellStyle name="Percent 19 3 3 2 2" xfId="15702"/>
    <cellStyle name="Percent 19 3 3 3" xfId="7439"/>
    <cellStyle name="Percent 19 3 3 3 2" xfId="14121"/>
    <cellStyle name="Percent 19 3 3 4" xfId="12336"/>
    <cellStyle name="Percent 19 3 4" xfId="5853"/>
    <cellStyle name="Percent 19 3 4 2" xfId="9594"/>
    <cellStyle name="Percent 19 3 4 2 2" xfId="16096"/>
    <cellStyle name="Percent 19 3 4 3" xfId="7875"/>
    <cellStyle name="Percent 19 3 4 3 2" xfId="14515"/>
    <cellStyle name="Percent 19 3 4 4" xfId="12746"/>
    <cellStyle name="Percent 19 3 5" xfId="10027"/>
    <cellStyle name="Percent 19 3 5 2" xfId="16508"/>
    <cellStyle name="Percent 19 3 6" xfId="8352"/>
    <cellStyle name="Percent 19 3 6 2" xfId="14909"/>
    <cellStyle name="Percent 19 3 7" xfId="6633"/>
    <cellStyle name="Percent 19 3 7 2" xfId="13323"/>
    <cellStyle name="Percent 19 3 8" xfId="11533"/>
    <cellStyle name="Percent 19 4" xfId="4735"/>
    <cellStyle name="Percent 19 4 2" xfId="8478"/>
    <cellStyle name="Percent 19 4 2 2" xfId="15030"/>
    <cellStyle name="Percent 19 4 3" xfId="6759"/>
    <cellStyle name="Percent 19 4 3 2" xfId="13449"/>
    <cellStyle name="Percent 19 4 4" xfId="11664"/>
    <cellStyle name="Percent 19 5" xfId="5218"/>
    <cellStyle name="Percent 19 5 2" xfId="8961"/>
    <cellStyle name="Percent 19 5 2 2" xfId="15505"/>
    <cellStyle name="Percent 19 5 3" xfId="7242"/>
    <cellStyle name="Percent 19 5 3 2" xfId="13924"/>
    <cellStyle name="Percent 19 5 4" xfId="12139"/>
    <cellStyle name="Percent 19 6" xfId="5651"/>
    <cellStyle name="Percent 19 6 2" xfId="9392"/>
    <cellStyle name="Percent 19 6 2 2" xfId="15899"/>
    <cellStyle name="Percent 19 6 3" xfId="7673"/>
    <cellStyle name="Percent 19 6 3 2" xfId="14318"/>
    <cellStyle name="Percent 19 6 4" xfId="12544"/>
    <cellStyle name="Percent 19 7" xfId="9723"/>
    <cellStyle name="Percent 19 7 2" xfId="16216"/>
    <cellStyle name="Percent 19 8" xfId="8114"/>
    <cellStyle name="Percent 19 8 2" xfId="14712"/>
    <cellStyle name="Percent 19 9" xfId="6396"/>
    <cellStyle name="Percent 19 9 2" xfId="13117"/>
    <cellStyle name="Percent 2" xfId="7"/>
    <cellStyle name="Percent 2 10" xfId="4687"/>
    <cellStyle name="Percent 2 10 2" xfId="8433"/>
    <cellStyle name="Percent 2 10 2 2" xfId="14985"/>
    <cellStyle name="Percent 2 10 3" xfId="6714"/>
    <cellStyle name="Percent 2 10 3 2" xfId="13404"/>
    <cellStyle name="Percent 2 10 4" xfId="11618"/>
    <cellStyle name="Percent 2 11" xfId="5077"/>
    <cellStyle name="Percent 2 11 2" xfId="8820"/>
    <cellStyle name="Percent 2 11 2 2" xfId="15368"/>
    <cellStyle name="Percent 2 11 3" xfId="7101"/>
    <cellStyle name="Percent 2 11 3 2" xfId="13787"/>
    <cellStyle name="Percent 2 11 4" xfId="12002"/>
    <cellStyle name="Percent 2 12" xfId="5514"/>
    <cellStyle name="Percent 2 12 2" xfId="9255"/>
    <cellStyle name="Percent 2 12 2 2" xfId="15762"/>
    <cellStyle name="Percent 2 12 3" xfId="7536"/>
    <cellStyle name="Percent 2 12 3 2" xfId="14181"/>
    <cellStyle name="Percent 2 12 4" xfId="12407"/>
    <cellStyle name="Percent 2 13" xfId="9667"/>
    <cellStyle name="Percent 2 13 2" xfId="16169"/>
    <cellStyle name="Percent 2 14" xfId="7935"/>
    <cellStyle name="Percent 2 14 2" xfId="14575"/>
    <cellStyle name="Percent 2 15" xfId="5914"/>
    <cellStyle name="Percent 2 15 2" xfId="12807"/>
    <cellStyle name="Percent 2 16" xfId="10246"/>
    <cellStyle name="Percent 2 17" xfId="16629"/>
    <cellStyle name="Percent 2 2" xfId="20"/>
    <cellStyle name="Percent 2 2 10" xfId="7941"/>
    <cellStyle name="Percent 2 2 10 2" xfId="14581"/>
    <cellStyle name="Percent 2 2 11" xfId="5920"/>
    <cellStyle name="Percent 2 2 11 2" xfId="12813"/>
    <cellStyle name="Percent 2 2 12" xfId="10255"/>
    <cellStyle name="Percent 2 2 2" xfId="41"/>
    <cellStyle name="Percent 2 2 2 10" xfId="5939"/>
    <cellStyle name="Percent 2 2 2 10 2" xfId="12832"/>
    <cellStyle name="Percent 2 2 2 11" xfId="10274"/>
    <cellStyle name="Percent 2 2 2 2" xfId="4245"/>
    <cellStyle name="Percent 2 2 2 2 2" xfId="4589"/>
    <cellStyle name="Percent 2 2 2 2 2 2" xfId="5032"/>
    <cellStyle name="Percent 2 2 2 2 2 2 2" xfId="8775"/>
    <cellStyle name="Percent 2 2 2 2 2 2 2 2" xfId="15323"/>
    <cellStyle name="Percent 2 2 2 2 2 2 3" xfId="7056"/>
    <cellStyle name="Percent 2 2 2 2 2 2 3 2" xfId="13742"/>
    <cellStyle name="Percent 2 2 2 2 2 2 4" xfId="11957"/>
    <cellStyle name="Percent 2 2 2 2 2 3" xfId="5416"/>
    <cellStyle name="Percent 2 2 2 2 2 3 2" xfId="9159"/>
    <cellStyle name="Percent 2 2 2 2 2 3 2 2" xfId="15703"/>
    <cellStyle name="Percent 2 2 2 2 2 3 3" xfId="7440"/>
    <cellStyle name="Percent 2 2 2 2 2 3 3 2" xfId="14122"/>
    <cellStyle name="Percent 2 2 2 2 2 3 4" xfId="12337"/>
    <cellStyle name="Percent 2 2 2 2 2 4" xfId="5854"/>
    <cellStyle name="Percent 2 2 2 2 2 4 2" xfId="9595"/>
    <cellStyle name="Percent 2 2 2 2 2 4 2 2" xfId="16097"/>
    <cellStyle name="Percent 2 2 2 2 2 4 3" xfId="7876"/>
    <cellStyle name="Percent 2 2 2 2 2 4 3 2" xfId="14516"/>
    <cellStyle name="Percent 2 2 2 2 2 4 4" xfId="12747"/>
    <cellStyle name="Percent 2 2 2 2 2 5" xfId="10028"/>
    <cellStyle name="Percent 2 2 2 2 2 5 2" xfId="16509"/>
    <cellStyle name="Percent 2 2 2 2 2 6" xfId="8353"/>
    <cellStyle name="Percent 2 2 2 2 2 6 2" xfId="14910"/>
    <cellStyle name="Percent 2 2 2 2 2 7" xfId="6634"/>
    <cellStyle name="Percent 2 2 2 2 2 7 2" xfId="13324"/>
    <cellStyle name="Percent 2 2 2 2 2 8" xfId="11534"/>
    <cellStyle name="Percent 2 2 2 2 3" xfId="4780"/>
    <cellStyle name="Percent 2 2 2 2 3 2" xfId="8523"/>
    <cellStyle name="Percent 2 2 2 2 3 2 2" xfId="15075"/>
    <cellStyle name="Percent 2 2 2 2 3 3" xfId="6804"/>
    <cellStyle name="Percent 2 2 2 2 3 3 2" xfId="13494"/>
    <cellStyle name="Percent 2 2 2 2 3 4" xfId="11709"/>
    <cellStyle name="Percent 2 2 2 2 4" xfId="5219"/>
    <cellStyle name="Percent 2 2 2 2 4 2" xfId="8962"/>
    <cellStyle name="Percent 2 2 2 2 4 2 2" xfId="15506"/>
    <cellStyle name="Percent 2 2 2 2 4 3" xfId="7243"/>
    <cellStyle name="Percent 2 2 2 2 4 3 2" xfId="13925"/>
    <cellStyle name="Percent 2 2 2 2 4 4" xfId="12140"/>
    <cellStyle name="Percent 2 2 2 2 5" xfId="5652"/>
    <cellStyle name="Percent 2 2 2 2 5 2" xfId="9393"/>
    <cellStyle name="Percent 2 2 2 2 5 2 2" xfId="15900"/>
    <cellStyle name="Percent 2 2 2 2 5 3" xfId="7674"/>
    <cellStyle name="Percent 2 2 2 2 5 3 2" xfId="14319"/>
    <cellStyle name="Percent 2 2 2 2 5 4" xfId="12545"/>
    <cellStyle name="Percent 2 2 2 2 6" xfId="9770"/>
    <cellStyle name="Percent 2 2 2 2 6 2" xfId="16261"/>
    <cellStyle name="Percent 2 2 2 2 7" xfId="8115"/>
    <cellStyle name="Percent 2 2 2 2 7 2" xfId="14713"/>
    <cellStyle name="Percent 2 2 2 2 8" xfId="6397"/>
    <cellStyle name="Percent 2 2 2 2 8 2" xfId="13118"/>
    <cellStyle name="Percent 2 2 2 2 9" xfId="11328"/>
    <cellStyle name="Percent 2 2 2 3" xfId="4246"/>
    <cellStyle name="Percent 2 2 2 3 2" xfId="4590"/>
    <cellStyle name="Percent 2 2 2 3 2 2" xfId="5033"/>
    <cellStyle name="Percent 2 2 2 3 2 2 2" xfId="8776"/>
    <cellStyle name="Percent 2 2 2 3 2 2 2 2" xfId="15324"/>
    <cellStyle name="Percent 2 2 2 3 2 2 3" xfId="7057"/>
    <cellStyle name="Percent 2 2 2 3 2 2 3 2" xfId="13743"/>
    <cellStyle name="Percent 2 2 2 3 2 2 4" xfId="11958"/>
    <cellStyle name="Percent 2 2 2 3 2 3" xfId="5417"/>
    <cellStyle name="Percent 2 2 2 3 2 3 2" xfId="9160"/>
    <cellStyle name="Percent 2 2 2 3 2 3 2 2" xfId="15704"/>
    <cellStyle name="Percent 2 2 2 3 2 3 3" xfId="7441"/>
    <cellStyle name="Percent 2 2 2 3 2 3 3 2" xfId="14123"/>
    <cellStyle name="Percent 2 2 2 3 2 3 4" xfId="12338"/>
    <cellStyle name="Percent 2 2 2 3 2 4" xfId="5855"/>
    <cellStyle name="Percent 2 2 2 3 2 4 2" xfId="9596"/>
    <cellStyle name="Percent 2 2 2 3 2 4 2 2" xfId="16098"/>
    <cellStyle name="Percent 2 2 2 3 2 4 3" xfId="7877"/>
    <cellStyle name="Percent 2 2 2 3 2 4 3 2" xfId="14517"/>
    <cellStyle name="Percent 2 2 2 3 2 4 4" xfId="12748"/>
    <cellStyle name="Percent 2 2 2 3 2 5" xfId="10029"/>
    <cellStyle name="Percent 2 2 2 3 2 5 2" xfId="16510"/>
    <cellStyle name="Percent 2 2 2 3 2 6" xfId="8354"/>
    <cellStyle name="Percent 2 2 2 3 2 6 2" xfId="14911"/>
    <cellStyle name="Percent 2 2 2 3 2 7" xfId="6635"/>
    <cellStyle name="Percent 2 2 2 3 2 7 2" xfId="13325"/>
    <cellStyle name="Percent 2 2 2 3 2 8" xfId="11535"/>
    <cellStyle name="Percent 2 2 2 3 3" xfId="4840"/>
    <cellStyle name="Percent 2 2 2 3 3 2" xfId="8583"/>
    <cellStyle name="Percent 2 2 2 3 3 2 2" xfId="15131"/>
    <cellStyle name="Percent 2 2 2 3 3 3" xfId="6864"/>
    <cellStyle name="Percent 2 2 2 3 3 3 2" xfId="13550"/>
    <cellStyle name="Percent 2 2 2 3 3 4" xfId="11765"/>
    <cellStyle name="Percent 2 2 2 3 4" xfId="5220"/>
    <cellStyle name="Percent 2 2 2 3 4 2" xfId="8963"/>
    <cellStyle name="Percent 2 2 2 3 4 2 2" xfId="15507"/>
    <cellStyle name="Percent 2 2 2 3 4 3" xfId="7244"/>
    <cellStyle name="Percent 2 2 2 3 4 3 2" xfId="13926"/>
    <cellStyle name="Percent 2 2 2 3 4 4" xfId="12141"/>
    <cellStyle name="Percent 2 2 2 3 5" xfId="5653"/>
    <cellStyle name="Percent 2 2 2 3 5 2" xfId="9394"/>
    <cellStyle name="Percent 2 2 2 3 5 2 2" xfId="15901"/>
    <cellStyle name="Percent 2 2 2 3 5 3" xfId="7675"/>
    <cellStyle name="Percent 2 2 2 3 5 3 2" xfId="14320"/>
    <cellStyle name="Percent 2 2 2 3 5 4" xfId="12546"/>
    <cellStyle name="Percent 2 2 2 3 6" xfId="9831"/>
    <cellStyle name="Percent 2 2 2 3 6 2" xfId="16317"/>
    <cellStyle name="Percent 2 2 2 3 7" xfId="8116"/>
    <cellStyle name="Percent 2 2 2 3 7 2" xfId="14714"/>
    <cellStyle name="Percent 2 2 2 3 8" xfId="6398"/>
    <cellStyle name="Percent 2 2 2 3 8 2" xfId="13119"/>
    <cellStyle name="Percent 2 2 2 3 9" xfId="11329"/>
    <cellStyle name="Percent 2 2 2 4" xfId="4475"/>
    <cellStyle name="Percent 2 2 2 4 2" xfId="5034"/>
    <cellStyle name="Percent 2 2 2 4 2 2" xfId="8777"/>
    <cellStyle name="Percent 2 2 2 4 2 2 2" xfId="15325"/>
    <cellStyle name="Percent 2 2 2 4 2 3" xfId="7058"/>
    <cellStyle name="Percent 2 2 2 4 2 3 2" xfId="13744"/>
    <cellStyle name="Percent 2 2 2 4 2 4" xfId="11959"/>
    <cellStyle name="Percent 2 2 2 4 3" xfId="5303"/>
    <cellStyle name="Percent 2 2 2 4 3 2" xfId="9046"/>
    <cellStyle name="Percent 2 2 2 4 3 2 2" xfId="15590"/>
    <cellStyle name="Percent 2 2 2 4 3 3" xfId="7327"/>
    <cellStyle name="Percent 2 2 2 4 3 3 2" xfId="14009"/>
    <cellStyle name="Percent 2 2 2 4 3 4" xfId="12224"/>
    <cellStyle name="Percent 2 2 2 4 4" xfId="5741"/>
    <cellStyle name="Percent 2 2 2 4 4 2" xfId="9482"/>
    <cellStyle name="Percent 2 2 2 4 4 2 2" xfId="15984"/>
    <cellStyle name="Percent 2 2 2 4 4 3" xfId="7763"/>
    <cellStyle name="Percent 2 2 2 4 4 3 2" xfId="14403"/>
    <cellStyle name="Percent 2 2 2 4 4 4" xfId="12634"/>
    <cellStyle name="Percent 2 2 2 4 5" xfId="10030"/>
    <cellStyle name="Percent 2 2 2 4 5 2" xfId="16511"/>
    <cellStyle name="Percent 2 2 2 4 6" xfId="8240"/>
    <cellStyle name="Percent 2 2 2 4 6 2" xfId="14797"/>
    <cellStyle name="Percent 2 2 2 4 7" xfId="6521"/>
    <cellStyle name="Percent 2 2 2 4 7 2" xfId="13211"/>
    <cellStyle name="Percent 2 2 2 4 8" xfId="11420"/>
    <cellStyle name="Percent 2 2 2 5" xfId="4689"/>
    <cellStyle name="Percent 2 2 2 5 2" xfId="8435"/>
    <cellStyle name="Percent 2 2 2 5 2 2" xfId="14987"/>
    <cellStyle name="Percent 2 2 2 5 3" xfId="6716"/>
    <cellStyle name="Percent 2 2 2 5 3 2" xfId="13406"/>
    <cellStyle name="Percent 2 2 2 5 4" xfId="11620"/>
    <cellStyle name="Percent 2 2 2 6" xfId="5102"/>
    <cellStyle name="Percent 2 2 2 6 2" xfId="8845"/>
    <cellStyle name="Percent 2 2 2 6 2 2" xfId="15393"/>
    <cellStyle name="Percent 2 2 2 6 3" xfId="7126"/>
    <cellStyle name="Percent 2 2 2 6 3 2" xfId="13812"/>
    <cellStyle name="Percent 2 2 2 6 4" xfId="12027"/>
    <cellStyle name="Percent 2 2 2 7" xfId="5539"/>
    <cellStyle name="Percent 2 2 2 7 2" xfId="9280"/>
    <cellStyle name="Percent 2 2 2 7 2 2" xfId="15787"/>
    <cellStyle name="Percent 2 2 2 7 3" xfId="7561"/>
    <cellStyle name="Percent 2 2 2 7 3 2" xfId="14206"/>
    <cellStyle name="Percent 2 2 2 7 4" xfId="12432"/>
    <cellStyle name="Percent 2 2 2 8" xfId="9669"/>
    <cellStyle name="Percent 2 2 2 8 2" xfId="16171"/>
    <cellStyle name="Percent 2 2 2 9" xfId="7960"/>
    <cellStyle name="Percent 2 2 2 9 2" xfId="14600"/>
    <cellStyle name="Percent 2 2 3" xfId="28"/>
    <cellStyle name="Percent 2 2 3 2" xfId="4463"/>
    <cellStyle name="Percent 2 2 3 2 2" xfId="5035"/>
    <cellStyle name="Percent 2 2 3 2 2 2" xfId="8778"/>
    <cellStyle name="Percent 2 2 3 2 2 2 2" xfId="15326"/>
    <cellStyle name="Percent 2 2 3 2 2 3" xfId="7059"/>
    <cellStyle name="Percent 2 2 3 2 2 3 2" xfId="13745"/>
    <cellStyle name="Percent 2 2 3 2 2 4" xfId="11960"/>
    <cellStyle name="Percent 2 2 3 2 3" xfId="5291"/>
    <cellStyle name="Percent 2 2 3 2 3 2" xfId="9034"/>
    <cellStyle name="Percent 2 2 3 2 3 2 2" xfId="15578"/>
    <cellStyle name="Percent 2 2 3 2 3 3" xfId="7315"/>
    <cellStyle name="Percent 2 2 3 2 3 3 2" xfId="13997"/>
    <cellStyle name="Percent 2 2 3 2 3 4" xfId="12212"/>
    <cellStyle name="Percent 2 2 3 2 4" xfId="5729"/>
    <cellStyle name="Percent 2 2 3 2 4 2" xfId="9470"/>
    <cellStyle name="Percent 2 2 3 2 4 2 2" xfId="15972"/>
    <cellStyle name="Percent 2 2 3 2 4 3" xfId="7751"/>
    <cellStyle name="Percent 2 2 3 2 4 3 2" xfId="14391"/>
    <cellStyle name="Percent 2 2 3 2 4 4" xfId="12622"/>
    <cellStyle name="Percent 2 2 3 2 5" xfId="10031"/>
    <cellStyle name="Percent 2 2 3 2 5 2" xfId="16512"/>
    <cellStyle name="Percent 2 2 3 2 6" xfId="8228"/>
    <cellStyle name="Percent 2 2 3 2 6 2" xfId="14785"/>
    <cellStyle name="Percent 2 2 3 2 7" xfId="6509"/>
    <cellStyle name="Percent 2 2 3 2 7 2" xfId="13199"/>
    <cellStyle name="Percent 2 2 3 2 8" xfId="11408"/>
    <cellStyle name="Percent 2 2 3 3" xfId="4779"/>
    <cellStyle name="Percent 2 2 3 3 2" xfId="8522"/>
    <cellStyle name="Percent 2 2 3 3 2 2" xfId="15074"/>
    <cellStyle name="Percent 2 2 3 3 3" xfId="6803"/>
    <cellStyle name="Percent 2 2 3 3 3 2" xfId="13493"/>
    <cellStyle name="Percent 2 2 3 3 4" xfId="11708"/>
    <cellStyle name="Percent 2 2 3 4" xfId="5090"/>
    <cellStyle name="Percent 2 2 3 4 2" xfId="8833"/>
    <cellStyle name="Percent 2 2 3 4 2 2" xfId="15381"/>
    <cellStyle name="Percent 2 2 3 4 3" xfId="7114"/>
    <cellStyle name="Percent 2 2 3 4 3 2" xfId="13800"/>
    <cellStyle name="Percent 2 2 3 4 4" xfId="12015"/>
    <cellStyle name="Percent 2 2 3 5" xfId="5527"/>
    <cellStyle name="Percent 2 2 3 5 2" xfId="9268"/>
    <cellStyle name="Percent 2 2 3 5 2 2" xfId="15775"/>
    <cellStyle name="Percent 2 2 3 5 3" xfId="7549"/>
    <cellStyle name="Percent 2 2 3 5 3 2" xfId="14194"/>
    <cellStyle name="Percent 2 2 3 5 4" xfId="12420"/>
    <cellStyle name="Percent 2 2 3 6" xfId="9769"/>
    <cellStyle name="Percent 2 2 3 6 2" xfId="16260"/>
    <cellStyle name="Percent 2 2 3 7" xfId="7948"/>
    <cellStyle name="Percent 2 2 3 7 2" xfId="14588"/>
    <cellStyle name="Percent 2 2 3 8" xfId="5927"/>
    <cellStyle name="Percent 2 2 3 8 2" xfId="12820"/>
    <cellStyle name="Percent 2 2 3 9" xfId="10262"/>
    <cellStyle name="Percent 2 2 4" xfId="4247"/>
    <cellStyle name="Percent 2 2 4 2" xfId="4591"/>
    <cellStyle name="Percent 2 2 4 2 2" xfId="5036"/>
    <cellStyle name="Percent 2 2 4 2 2 2" xfId="8779"/>
    <cellStyle name="Percent 2 2 4 2 2 2 2" xfId="15327"/>
    <cellStyle name="Percent 2 2 4 2 2 3" xfId="7060"/>
    <cellStyle name="Percent 2 2 4 2 2 3 2" xfId="13746"/>
    <cellStyle name="Percent 2 2 4 2 2 4" xfId="11961"/>
    <cellStyle name="Percent 2 2 4 2 3" xfId="5418"/>
    <cellStyle name="Percent 2 2 4 2 3 2" xfId="9161"/>
    <cellStyle name="Percent 2 2 4 2 3 2 2" xfId="15705"/>
    <cellStyle name="Percent 2 2 4 2 3 3" xfId="7442"/>
    <cellStyle name="Percent 2 2 4 2 3 3 2" xfId="14124"/>
    <cellStyle name="Percent 2 2 4 2 3 4" xfId="12339"/>
    <cellStyle name="Percent 2 2 4 2 4" xfId="5856"/>
    <cellStyle name="Percent 2 2 4 2 4 2" xfId="9597"/>
    <cellStyle name="Percent 2 2 4 2 4 2 2" xfId="16099"/>
    <cellStyle name="Percent 2 2 4 2 4 3" xfId="7878"/>
    <cellStyle name="Percent 2 2 4 2 4 3 2" xfId="14518"/>
    <cellStyle name="Percent 2 2 4 2 4 4" xfId="12749"/>
    <cellStyle name="Percent 2 2 4 2 5" xfId="10032"/>
    <cellStyle name="Percent 2 2 4 2 5 2" xfId="16513"/>
    <cellStyle name="Percent 2 2 4 2 6" xfId="8355"/>
    <cellStyle name="Percent 2 2 4 2 6 2" xfId="14912"/>
    <cellStyle name="Percent 2 2 4 2 7" xfId="6636"/>
    <cellStyle name="Percent 2 2 4 2 7 2" xfId="13326"/>
    <cellStyle name="Percent 2 2 4 2 8" xfId="11536"/>
    <cellStyle name="Percent 2 2 4 3" xfId="4828"/>
    <cellStyle name="Percent 2 2 4 3 2" xfId="8571"/>
    <cellStyle name="Percent 2 2 4 3 2 2" xfId="15119"/>
    <cellStyle name="Percent 2 2 4 3 3" xfId="6852"/>
    <cellStyle name="Percent 2 2 4 3 3 2" xfId="13538"/>
    <cellStyle name="Percent 2 2 4 3 4" xfId="11753"/>
    <cellStyle name="Percent 2 2 4 4" xfId="5221"/>
    <cellStyle name="Percent 2 2 4 4 2" xfId="8964"/>
    <cellStyle name="Percent 2 2 4 4 2 2" xfId="15508"/>
    <cellStyle name="Percent 2 2 4 4 3" xfId="7245"/>
    <cellStyle name="Percent 2 2 4 4 3 2" xfId="13927"/>
    <cellStyle name="Percent 2 2 4 4 4" xfId="12142"/>
    <cellStyle name="Percent 2 2 4 5" xfId="5654"/>
    <cellStyle name="Percent 2 2 4 5 2" xfId="9395"/>
    <cellStyle name="Percent 2 2 4 5 2 2" xfId="15902"/>
    <cellStyle name="Percent 2 2 4 5 3" xfId="7676"/>
    <cellStyle name="Percent 2 2 4 5 3 2" xfId="14321"/>
    <cellStyle name="Percent 2 2 4 5 4" xfId="12547"/>
    <cellStyle name="Percent 2 2 4 6" xfId="9819"/>
    <cellStyle name="Percent 2 2 4 6 2" xfId="16305"/>
    <cellStyle name="Percent 2 2 4 7" xfId="8117"/>
    <cellStyle name="Percent 2 2 4 7 2" xfId="14715"/>
    <cellStyle name="Percent 2 2 4 8" xfId="6399"/>
    <cellStyle name="Percent 2 2 4 8 2" xfId="13120"/>
    <cellStyle name="Percent 2 2 4 9" xfId="11330"/>
    <cellStyle name="Percent 2 2 5" xfId="4456"/>
    <cellStyle name="Percent 2 2 5 2" xfId="5037"/>
    <cellStyle name="Percent 2 2 5 2 2" xfId="8780"/>
    <cellStyle name="Percent 2 2 5 2 2 2" xfId="15328"/>
    <cellStyle name="Percent 2 2 5 2 3" xfId="7061"/>
    <cellStyle name="Percent 2 2 5 2 3 2" xfId="13747"/>
    <cellStyle name="Percent 2 2 5 2 4" xfId="11962"/>
    <cellStyle name="Percent 2 2 5 3" xfId="5284"/>
    <cellStyle name="Percent 2 2 5 3 2" xfId="9027"/>
    <cellStyle name="Percent 2 2 5 3 2 2" xfId="15571"/>
    <cellStyle name="Percent 2 2 5 3 3" xfId="7308"/>
    <cellStyle name="Percent 2 2 5 3 3 2" xfId="13990"/>
    <cellStyle name="Percent 2 2 5 3 4" xfId="12205"/>
    <cellStyle name="Percent 2 2 5 4" xfId="5722"/>
    <cellStyle name="Percent 2 2 5 4 2" xfId="9463"/>
    <cellStyle name="Percent 2 2 5 4 2 2" xfId="15965"/>
    <cellStyle name="Percent 2 2 5 4 3" xfId="7744"/>
    <cellStyle name="Percent 2 2 5 4 3 2" xfId="14384"/>
    <cellStyle name="Percent 2 2 5 4 4" xfId="12615"/>
    <cellStyle name="Percent 2 2 5 5" xfId="10033"/>
    <cellStyle name="Percent 2 2 5 5 2" xfId="16514"/>
    <cellStyle name="Percent 2 2 5 6" xfId="8221"/>
    <cellStyle name="Percent 2 2 5 6 2" xfId="14778"/>
    <cellStyle name="Percent 2 2 5 7" xfId="6502"/>
    <cellStyle name="Percent 2 2 5 7 2" xfId="13192"/>
    <cellStyle name="Percent 2 2 5 8" xfId="11401"/>
    <cellStyle name="Percent 2 2 6" xfId="4688"/>
    <cellStyle name="Percent 2 2 6 2" xfId="8434"/>
    <cellStyle name="Percent 2 2 6 2 2" xfId="14986"/>
    <cellStyle name="Percent 2 2 6 3" xfId="6715"/>
    <cellStyle name="Percent 2 2 6 3 2" xfId="13405"/>
    <cellStyle name="Percent 2 2 6 4" xfId="11619"/>
    <cellStyle name="Percent 2 2 7" xfId="5083"/>
    <cellStyle name="Percent 2 2 7 2" xfId="8826"/>
    <cellStyle name="Percent 2 2 7 2 2" xfId="15374"/>
    <cellStyle name="Percent 2 2 7 3" xfId="7107"/>
    <cellStyle name="Percent 2 2 7 3 2" xfId="13793"/>
    <cellStyle name="Percent 2 2 7 4" xfId="12008"/>
    <cellStyle name="Percent 2 2 8" xfId="5520"/>
    <cellStyle name="Percent 2 2 8 2" xfId="9261"/>
    <cellStyle name="Percent 2 2 8 2 2" xfId="15768"/>
    <cellStyle name="Percent 2 2 8 3" xfId="7542"/>
    <cellStyle name="Percent 2 2 8 3 2" xfId="14187"/>
    <cellStyle name="Percent 2 2 8 4" xfId="12413"/>
    <cellStyle name="Percent 2 2 9" xfId="9668"/>
    <cellStyle name="Percent 2 2 9 2" xfId="16170"/>
    <cellStyle name="Percent 2 3" xfId="34"/>
    <cellStyle name="Percent 2 3 10" xfId="5933"/>
    <cellStyle name="Percent 2 3 10 2" xfId="12826"/>
    <cellStyle name="Percent 2 3 11" xfId="10268"/>
    <cellStyle name="Percent 2 3 2" xfId="4248"/>
    <cellStyle name="Percent 2 3 2 2" xfId="4592"/>
    <cellStyle name="Percent 2 3 2 2 2" xfId="5038"/>
    <cellStyle name="Percent 2 3 2 2 2 2" xfId="8781"/>
    <cellStyle name="Percent 2 3 2 2 2 2 2" xfId="15329"/>
    <cellStyle name="Percent 2 3 2 2 2 3" xfId="7062"/>
    <cellStyle name="Percent 2 3 2 2 2 3 2" xfId="13748"/>
    <cellStyle name="Percent 2 3 2 2 2 4" xfId="11963"/>
    <cellStyle name="Percent 2 3 2 2 3" xfId="5419"/>
    <cellStyle name="Percent 2 3 2 2 3 2" xfId="9162"/>
    <cellStyle name="Percent 2 3 2 2 3 2 2" xfId="15706"/>
    <cellStyle name="Percent 2 3 2 2 3 3" xfId="7443"/>
    <cellStyle name="Percent 2 3 2 2 3 3 2" xfId="14125"/>
    <cellStyle name="Percent 2 3 2 2 3 4" xfId="12340"/>
    <cellStyle name="Percent 2 3 2 2 4" xfId="5857"/>
    <cellStyle name="Percent 2 3 2 2 4 2" xfId="9598"/>
    <cellStyle name="Percent 2 3 2 2 4 2 2" xfId="16100"/>
    <cellStyle name="Percent 2 3 2 2 4 3" xfId="7879"/>
    <cellStyle name="Percent 2 3 2 2 4 3 2" xfId="14519"/>
    <cellStyle name="Percent 2 3 2 2 4 4" xfId="12750"/>
    <cellStyle name="Percent 2 3 2 2 5" xfId="10034"/>
    <cellStyle name="Percent 2 3 2 2 5 2" xfId="16515"/>
    <cellStyle name="Percent 2 3 2 2 6" xfId="8356"/>
    <cellStyle name="Percent 2 3 2 2 6 2" xfId="14913"/>
    <cellStyle name="Percent 2 3 2 2 7" xfId="6637"/>
    <cellStyle name="Percent 2 3 2 2 7 2" xfId="13327"/>
    <cellStyle name="Percent 2 3 2 2 8" xfId="11537"/>
    <cellStyle name="Percent 2 3 2 3" xfId="4781"/>
    <cellStyle name="Percent 2 3 2 3 2" xfId="8524"/>
    <cellStyle name="Percent 2 3 2 3 2 2" xfId="15076"/>
    <cellStyle name="Percent 2 3 2 3 3" xfId="6805"/>
    <cellStyle name="Percent 2 3 2 3 3 2" xfId="13495"/>
    <cellStyle name="Percent 2 3 2 3 4" xfId="11710"/>
    <cellStyle name="Percent 2 3 2 4" xfId="5222"/>
    <cellStyle name="Percent 2 3 2 4 2" xfId="8965"/>
    <cellStyle name="Percent 2 3 2 4 2 2" xfId="15509"/>
    <cellStyle name="Percent 2 3 2 4 3" xfId="7246"/>
    <cellStyle name="Percent 2 3 2 4 3 2" xfId="13928"/>
    <cellStyle name="Percent 2 3 2 4 4" xfId="12143"/>
    <cellStyle name="Percent 2 3 2 5" xfId="5655"/>
    <cellStyle name="Percent 2 3 2 5 2" xfId="9396"/>
    <cellStyle name="Percent 2 3 2 5 2 2" xfId="15903"/>
    <cellStyle name="Percent 2 3 2 5 3" xfId="7677"/>
    <cellStyle name="Percent 2 3 2 5 3 2" xfId="14322"/>
    <cellStyle name="Percent 2 3 2 5 4" xfId="12548"/>
    <cellStyle name="Percent 2 3 2 6" xfId="9771"/>
    <cellStyle name="Percent 2 3 2 6 2" xfId="16262"/>
    <cellStyle name="Percent 2 3 2 7" xfId="8118"/>
    <cellStyle name="Percent 2 3 2 7 2" xfId="14716"/>
    <cellStyle name="Percent 2 3 2 8" xfId="6400"/>
    <cellStyle name="Percent 2 3 2 8 2" xfId="13121"/>
    <cellStyle name="Percent 2 3 2 9" xfId="11331"/>
    <cellStyle name="Percent 2 3 3" xfId="4249"/>
    <cellStyle name="Percent 2 3 3 2" xfId="4593"/>
    <cellStyle name="Percent 2 3 3 2 2" xfId="5039"/>
    <cellStyle name="Percent 2 3 3 2 2 2" xfId="8782"/>
    <cellStyle name="Percent 2 3 3 2 2 2 2" xfId="15330"/>
    <cellStyle name="Percent 2 3 3 2 2 3" xfId="7063"/>
    <cellStyle name="Percent 2 3 3 2 2 3 2" xfId="13749"/>
    <cellStyle name="Percent 2 3 3 2 2 4" xfId="11964"/>
    <cellStyle name="Percent 2 3 3 2 3" xfId="5420"/>
    <cellStyle name="Percent 2 3 3 2 3 2" xfId="9163"/>
    <cellStyle name="Percent 2 3 3 2 3 2 2" xfId="15707"/>
    <cellStyle name="Percent 2 3 3 2 3 3" xfId="7444"/>
    <cellStyle name="Percent 2 3 3 2 3 3 2" xfId="14126"/>
    <cellStyle name="Percent 2 3 3 2 3 4" xfId="12341"/>
    <cellStyle name="Percent 2 3 3 2 4" xfId="5858"/>
    <cellStyle name="Percent 2 3 3 2 4 2" xfId="9599"/>
    <cellStyle name="Percent 2 3 3 2 4 2 2" xfId="16101"/>
    <cellStyle name="Percent 2 3 3 2 4 3" xfId="7880"/>
    <cellStyle name="Percent 2 3 3 2 4 3 2" xfId="14520"/>
    <cellStyle name="Percent 2 3 3 2 4 4" xfId="12751"/>
    <cellStyle name="Percent 2 3 3 2 5" xfId="10035"/>
    <cellStyle name="Percent 2 3 3 2 5 2" xfId="16516"/>
    <cellStyle name="Percent 2 3 3 2 6" xfId="8357"/>
    <cellStyle name="Percent 2 3 3 2 6 2" xfId="14914"/>
    <cellStyle name="Percent 2 3 3 2 7" xfId="6638"/>
    <cellStyle name="Percent 2 3 3 2 7 2" xfId="13328"/>
    <cellStyle name="Percent 2 3 3 2 8" xfId="11538"/>
    <cellStyle name="Percent 2 3 3 3" xfId="4834"/>
    <cellStyle name="Percent 2 3 3 3 2" xfId="8577"/>
    <cellStyle name="Percent 2 3 3 3 2 2" xfId="15125"/>
    <cellStyle name="Percent 2 3 3 3 3" xfId="6858"/>
    <cellStyle name="Percent 2 3 3 3 3 2" xfId="13544"/>
    <cellStyle name="Percent 2 3 3 3 4" xfId="11759"/>
    <cellStyle name="Percent 2 3 3 4" xfId="5223"/>
    <cellStyle name="Percent 2 3 3 4 2" xfId="8966"/>
    <cellStyle name="Percent 2 3 3 4 2 2" xfId="15510"/>
    <cellStyle name="Percent 2 3 3 4 3" xfId="7247"/>
    <cellStyle name="Percent 2 3 3 4 3 2" xfId="13929"/>
    <cellStyle name="Percent 2 3 3 4 4" xfId="12144"/>
    <cellStyle name="Percent 2 3 3 5" xfId="5656"/>
    <cellStyle name="Percent 2 3 3 5 2" xfId="9397"/>
    <cellStyle name="Percent 2 3 3 5 2 2" xfId="15904"/>
    <cellStyle name="Percent 2 3 3 5 3" xfId="7678"/>
    <cellStyle name="Percent 2 3 3 5 3 2" xfId="14323"/>
    <cellStyle name="Percent 2 3 3 5 4" xfId="12549"/>
    <cellStyle name="Percent 2 3 3 6" xfId="9825"/>
    <cellStyle name="Percent 2 3 3 6 2" xfId="16311"/>
    <cellStyle name="Percent 2 3 3 7" xfId="8119"/>
    <cellStyle name="Percent 2 3 3 7 2" xfId="14717"/>
    <cellStyle name="Percent 2 3 3 8" xfId="6401"/>
    <cellStyle name="Percent 2 3 3 8 2" xfId="13122"/>
    <cellStyle name="Percent 2 3 3 9" xfId="11332"/>
    <cellStyle name="Percent 2 3 4" xfId="4469"/>
    <cellStyle name="Percent 2 3 4 2" xfId="5040"/>
    <cellStyle name="Percent 2 3 4 2 2" xfId="8783"/>
    <cellStyle name="Percent 2 3 4 2 2 2" xfId="15331"/>
    <cellStyle name="Percent 2 3 4 2 3" xfId="7064"/>
    <cellStyle name="Percent 2 3 4 2 3 2" xfId="13750"/>
    <cellStyle name="Percent 2 3 4 2 4" xfId="11965"/>
    <cellStyle name="Percent 2 3 4 3" xfId="5297"/>
    <cellStyle name="Percent 2 3 4 3 2" xfId="9040"/>
    <cellStyle name="Percent 2 3 4 3 2 2" xfId="15584"/>
    <cellStyle name="Percent 2 3 4 3 3" xfId="7321"/>
    <cellStyle name="Percent 2 3 4 3 3 2" xfId="14003"/>
    <cellStyle name="Percent 2 3 4 3 4" xfId="12218"/>
    <cellStyle name="Percent 2 3 4 4" xfId="5735"/>
    <cellStyle name="Percent 2 3 4 4 2" xfId="9476"/>
    <cellStyle name="Percent 2 3 4 4 2 2" xfId="15978"/>
    <cellStyle name="Percent 2 3 4 4 3" xfId="7757"/>
    <cellStyle name="Percent 2 3 4 4 3 2" xfId="14397"/>
    <cellStyle name="Percent 2 3 4 4 4" xfId="12628"/>
    <cellStyle name="Percent 2 3 4 5" xfId="10036"/>
    <cellStyle name="Percent 2 3 4 5 2" xfId="16517"/>
    <cellStyle name="Percent 2 3 4 6" xfId="8234"/>
    <cellStyle name="Percent 2 3 4 6 2" xfId="14791"/>
    <cellStyle name="Percent 2 3 4 7" xfId="6515"/>
    <cellStyle name="Percent 2 3 4 7 2" xfId="13205"/>
    <cellStyle name="Percent 2 3 4 8" xfId="11414"/>
    <cellStyle name="Percent 2 3 5" xfId="4690"/>
    <cellStyle name="Percent 2 3 5 2" xfId="8436"/>
    <cellStyle name="Percent 2 3 5 2 2" xfId="14988"/>
    <cellStyle name="Percent 2 3 5 3" xfId="6717"/>
    <cellStyle name="Percent 2 3 5 3 2" xfId="13407"/>
    <cellStyle name="Percent 2 3 5 4" xfId="11621"/>
    <cellStyle name="Percent 2 3 6" xfId="5096"/>
    <cellStyle name="Percent 2 3 6 2" xfId="8839"/>
    <cellStyle name="Percent 2 3 6 2 2" xfId="15387"/>
    <cellStyle name="Percent 2 3 6 3" xfId="7120"/>
    <cellStyle name="Percent 2 3 6 3 2" xfId="13806"/>
    <cellStyle name="Percent 2 3 6 4" xfId="12021"/>
    <cellStyle name="Percent 2 3 7" xfId="5533"/>
    <cellStyle name="Percent 2 3 7 2" xfId="9274"/>
    <cellStyle name="Percent 2 3 7 2 2" xfId="15781"/>
    <cellStyle name="Percent 2 3 7 3" xfId="7555"/>
    <cellStyle name="Percent 2 3 7 3 2" xfId="14200"/>
    <cellStyle name="Percent 2 3 7 4" xfId="12426"/>
    <cellStyle name="Percent 2 3 8" xfId="9670"/>
    <cellStyle name="Percent 2 3 8 2" xfId="16172"/>
    <cellStyle name="Percent 2 3 9" xfId="7954"/>
    <cellStyle name="Percent 2 3 9 2" xfId="14594"/>
    <cellStyle name="Percent 2 4" xfId="25"/>
    <cellStyle name="Percent 2 4 2" xfId="4460"/>
    <cellStyle name="Percent 2 4 2 2" xfId="5041"/>
    <cellStyle name="Percent 2 4 2 2 2" xfId="8784"/>
    <cellStyle name="Percent 2 4 2 2 2 2" xfId="15332"/>
    <cellStyle name="Percent 2 4 2 2 3" xfId="7065"/>
    <cellStyle name="Percent 2 4 2 2 3 2" xfId="13751"/>
    <cellStyle name="Percent 2 4 2 2 4" xfId="11966"/>
    <cellStyle name="Percent 2 4 2 3" xfId="5288"/>
    <cellStyle name="Percent 2 4 2 3 2" xfId="9031"/>
    <cellStyle name="Percent 2 4 2 3 2 2" xfId="15575"/>
    <cellStyle name="Percent 2 4 2 3 3" xfId="7312"/>
    <cellStyle name="Percent 2 4 2 3 3 2" xfId="13994"/>
    <cellStyle name="Percent 2 4 2 3 4" xfId="12209"/>
    <cellStyle name="Percent 2 4 2 4" xfId="5726"/>
    <cellStyle name="Percent 2 4 2 4 2" xfId="9467"/>
    <cellStyle name="Percent 2 4 2 4 2 2" xfId="15969"/>
    <cellStyle name="Percent 2 4 2 4 3" xfId="7748"/>
    <cellStyle name="Percent 2 4 2 4 3 2" xfId="14388"/>
    <cellStyle name="Percent 2 4 2 4 4" xfId="12619"/>
    <cellStyle name="Percent 2 4 2 5" xfId="10037"/>
    <cellStyle name="Percent 2 4 2 5 2" xfId="16518"/>
    <cellStyle name="Percent 2 4 2 6" xfId="8225"/>
    <cellStyle name="Percent 2 4 2 6 2" xfId="14782"/>
    <cellStyle name="Percent 2 4 2 7" xfId="6506"/>
    <cellStyle name="Percent 2 4 2 7 2" xfId="13196"/>
    <cellStyle name="Percent 2 4 2 8" xfId="11405"/>
    <cellStyle name="Percent 2 4 3" xfId="4700"/>
    <cellStyle name="Percent 2 4 4" xfId="5087"/>
    <cellStyle name="Percent 2 4 4 2" xfId="8830"/>
    <cellStyle name="Percent 2 4 4 2 2" xfId="15378"/>
    <cellStyle name="Percent 2 4 4 3" xfId="7111"/>
    <cellStyle name="Percent 2 4 4 3 2" xfId="13797"/>
    <cellStyle name="Percent 2 4 4 4" xfId="12012"/>
    <cellStyle name="Percent 2 4 5" xfId="5524"/>
    <cellStyle name="Percent 2 4 5 2" xfId="9265"/>
    <cellStyle name="Percent 2 4 5 2 2" xfId="15772"/>
    <cellStyle name="Percent 2 4 5 3" xfId="7546"/>
    <cellStyle name="Percent 2 4 5 3 2" xfId="14191"/>
    <cellStyle name="Percent 2 4 5 4" xfId="12417"/>
    <cellStyle name="Percent 2 4 6" xfId="7945"/>
    <cellStyle name="Percent 2 4 6 2" xfId="14585"/>
    <cellStyle name="Percent 2 4 7" xfId="5924"/>
    <cellStyle name="Percent 2 4 7 2" xfId="12817"/>
    <cellStyle name="Percent 2 4 8" xfId="10259"/>
    <cellStyle name="Percent 2 5" xfId="4250"/>
    <cellStyle name="Percent 2 5 2" xfId="4594"/>
    <cellStyle name="Percent 2 5 2 2" xfId="5042"/>
    <cellStyle name="Percent 2 5 2 2 2" xfId="8785"/>
    <cellStyle name="Percent 2 5 2 2 2 2" xfId="15333"/>
    <cellStyle name="Percent 2 5 2 2 3" xfId="7066"/>
    <cellStyle name="Percent 2 5 2 2 3 2" xfId="13752"/>
    <cellStyle name="Percent 2 5 2 2 4" xfId="11967"/>
    <cellStyle name="Percent 2 5 2 3" xfId="5421"/>
    <cellStyle name="Percent 2 5 2 3 2" xfId="9164"/>
    <cellStyle name="Percent 2 5 2 3 2 2" xfId="15708"/>
    <cellStyle name="Percent 2 5 2 3 3" xfId="7445"/>
    <cellStyle name="Percent 2 5 2 3 3 2" xfId="14127"/>
    <cellStyle name="Percent 2 5 2 3 4" xfId="12342"/>
    <cellStyle name="Percent 2 5 2 4" xfId="5859"/>
    <cellStyle name="Percent 2 5 2 4 2" xfId="9600"/>
    <cellStyle name="Percent 2 5 2 4 2 2" xfId="16102"/>
    <cellStyle name="Percent 2 5 2 4 3" xfId="7881"/>
    <cellStyle name="Percent 2 5 2 4 3 2" xfId="14521"/>
    <cellStyle name="Percent 2 5 2 4 4" xfId="12752"/>
    <cellStyle name="Percent 2 5 2 5" xfId="10038"/>
    <cellStyle name="Percent 2 5 2 5 2" xfId="16519"/>
    <cellStyle name="Percent 2 5 2 6" xfId="8358"/>
    <cellStyle name="Percent 2 5 2 6 2" xfId="14915"/>
    <cellStyle name="Percent 2 5 2 7" xfId="6639"/>
    <cellStyle name="Percent 2 5 2 7 2" xfId="13329"/>
    <cellStyle name="Percent 2 5 2 8" xfId="11539"/>
    <cellStyle name="Percent 2 5 3" xfId="4778"/>
    <cellStyle name="Percent 2 5 3 2" xfId="8521"/>
    <cellStyle name="Percent 2 5 3 2 2" xfId="15073"/>
    <cellStyle name="Percent 2 5 3 3" xfId="6802"/>
    <cellStyle name="Percent 2 5 3 3 2" xfId="13492"/>
    <cellStyle name="Percent 2 5 3 4" xfId="11707"/>
    <cellStyle name="Percent 2 5 4" xfId="5224"/>
    <cellStyle name="Percent 2 5 4 2" xfId="8967"/>
    <cellStyle name="Percent 2 5 4 2 2" xfId="15511"/>
    <cellStyle name="Percent 2 5 4 3" xfId="7248"/>
    <cellStyle name="Percent 2 5 4 3 2" xfId="13930"/>
    <cellStyle name="Percent 2 5 4 4" xfId="12145"/>
    <cellStyle name="Percent 2 5 5" xfId="5657"/>
    <cellStyle name="Percent 2 5 5 2" xfId="9398"/>
    <cellStyle name="Percent 2 5 5 2 2" xfId="15905"/>
    <cellStyle name="Percent 2 5 5 3" xfId="7679"/>
    <cellStyle name="Percent 2 5 5 3 2" xfId="14324"/>
    <cellStyle name="Percent 2 5 5 4" xfId="12550"/>
    <cellStyle name="Percent 2 5 6" xfId="9768"/>
    <cellStyle name="Percent 2 5 6 2" xfId="16259"/>
    <cellStyle name="Percent 2 5 7" xfId="8120"/>
    <cellStyle name="Percent 2 5 7 2" xfId="14718"/>
    <cellStyle name="Percent 2 5 8" xfId="6402"/>
    <cellStyle name="Percent 2 5 8 2" xfId="13123"/>
    <cellStyle name="Percent 2 5 9" xfId="11333"/>
    <cellStyle name="Percent 2 6" xfId="4251"/>
    <cellStyle name="Percent 2 6 2" xfId="4595"/>
    <cellStyle name="Percent 2 6 2 2" xfId="5043"/>
    <cellStyle name="Percent 2 6 2 2 2" xfId="8786"/>
    <cellStyle name="Percent 2 6 2 2 2 2" xfId="15334"/>
    <cellStyle name="Percent 2 6 2 2 3" xfId="7067"/>
    <cellStyle name="Percent 2 6 2 2 3 2" xfId="13753"/>
    <cellStyle name="Percent 2 6 2 2 4" xfId="11968"/>
    <cellStyle name="Percent 2 6 2 3" xfId="5422"/>
    <cellStyle name="Percent 2 6 2 3 2" xfId="9165"/>
    <cellStyle name="Percent 2 6 2 3 2 2" xfId="15709"/>
    <cellStyle name="Percent 2 6 2 3 3" xfId="7446"/>
    <cellStyle name="Percent 2 6 2 3 3 2" xfId="14128"/>
    <cellStyle name="Percent 2 6 2 3 4" xfId="12343"/>
    <cellStyle name="Percent 2 6 2 4" xfId="5860"/>
    <cellStyle name="Percent 2 6 2 4 2" xfId="9601"/>
    <cellStyle name="Percent 2 6 2 4 2 2" xfId="16103"/>
    <cellStyle name="Percent 2 6 2 4 3" xfId="7882"/>
    <cellStyle name="Percent 2 6 2 4 3 2" xfId="14522"/>
    <cellStyle name="Percent 2 6 2 4 4" xfId="12753"/>
    <cellStyle name="Percent 2 6 2 5" xfId="10039"/>
    <cellStyle name="Percent 2 6 2 5 2" xfId="16520"/>
    <cellStyle name="Percent 2 6 2 6" xfId="8359"/>
    <cellStyle name="Percent 2 6 2 6 2" xfId="14916"/>
    <cellStyle name="Percent 2 6 2 7" xfId="6640"/>
    <cellStyle name="Percent 2 6 2 7 2" xfId="13330"/>
    <cellStyle name="Percent 2 6 2 8" xfId="11540"/>
    <cellStyle name="Percent 2 6 3" xfId="4825"/>
    <cellStyle name="Percent 2 6 3 2" xfId="8568"/>
    <cellStyle name="Percent 2 6 3 2 2" xfId="15116"/>
    <cellStyle name="Percent 2 6 3 3" xfId="6849"/>
    <cellStyle name="Percent 2 6 3 3 2" xfId="13535"/>
    <cellStyle name="Percent 2 6 3 4" xfId="11750"/>
    <cellStyle name="Percent 2 6 4" xfId="5225"/>
    <cellStyle name="Percent 2 6 4 2" xfId="8968"/>
    <cellStyle name="Percent 2 6 4 2 2" xfId="15512"/>
    <cellStyle name="Percent 2 6 4 3" xfId="7249"/>
    <cellStyle name="Percent 2 6 4 3 2" xfId="13931"/>
    <cellStyle name="Percent 2 6 4 4" xfId="12146"/>
    <cellStyle name="Percent 2 6 5" xfId="5658"/>
    <cellStyle name="Percent 2 6 5 2" xfId="9399"/>
    <cellStyle name="Percent 2 6 5 2 2" xfId="15906"/>
    <cellStyle name="Percent 2 6 5 3" xfId="7680"/>
    <cellStyle name="Percent 2 6 5 3 2" xfId="14325"/>
    <cellStyle name="Percent 2 6 5 4" xfId="12551"/>
    <cellStyle name="Percent 2 6 6" xfId="9816"/>
    <cellStyle name="Percent 2 6 6 2" xfId="16302"/>
    <cellStyle name="Percent 2 6 7" xfId="8121"/>
    <cellStyle name="Percent 2 6 7 2" xfId="14719"/>
    <cellStyle name="Percent 2 6 8" xfId="6403"/>
    <cellStyle name="Percent 2 6 8 2" xfId="13124"/>
    <cellStyle name="Percent 2 6 9" xfId="11334"/>
    <cellStyle name="Percent 2 7" xfId="4406"/>
    <cellStyle name="Percent 2 7 2" xfId="4620"/>
    <cellStyle name="Percent 2 7 2 2" xfId="5045"/>
    <cellStyle name="Percent 2 7 2 2 2" xfId="8788"/>
    <cellStyle name="Percent 2 7 2 2 2 2" xfId="15336"/>
    <cellStyle name="Percent 2 7 2 2 3" xfId="7069"/>
    <cellStyle name="Percent 2 7 2 2 3 2" xfId="13755"/>
    <cellStyle name="Percent 2 7 2 2 4" xfId="11970"/>
    <cellStyle name="Percent 2 7 2 3" xfId="5447"/>
    <cellStyle name="Percent 2 7 2 3 2" xfId="9190"/>
    <cellStyle name="Percent 2 7 2 3 2 2" xfId="15734"/>
    <cellStyle name="Percent 2 7 2 3 3" xfId="7471"/>
    <cellStyle name="Percent 2 7 2 3 3 2" xfId="14153"/>
    <cellStyle name="Percent 2 7 2 3 4" xfId="12368"/>
    <cellStyle name="Percent 2 7 2 4" xfId="5885"/>
    <cellStyle name="Percent 2 7 2 4 2" xfId="9626"/>
    <cellStyle name="Percent 2 7 2 4 2 2" xfId="16128"/>
    <cellStyle name="Percent 2 7 2 4 3" xfId="7907"/>
    <cellStyle name="Percent 2 7 2 4 3 2" xfId="14547"/>
    <cellStyle name="Percent 2 7 2 4 4" xfId="12778"/>
    <cellStyle name="Percent 2 7 2 5" xfId="10041"/>
    <cellStyle name="Percent 2 7 2 5 2" xfId="16522"/>
    <cellStyle name="Percent 2 7 2 6" xfId="8384"/>
    <cellStyle name="Percent 2 7 2 6 2" xfId="14941"/>
    <cellStyle name="Percent 2 7 2 7" xfId="6665"/>
    <cellStyle name="Percent 2 7 2 7 2" xfId="13355"/>
    <cellStyle name="Percent 2 7 2 8" xfId="11565"/>
    <cellStyle name="Percent 2 7 3" xfId="5044"/>
    <cellStyle name="Percent 2 7 3 2" xfId="8787"/>
    <cellStyle name="Percent 2 7 3 2 2" xfId="15335"/>
    <cellStyle name="Percent 2 7 3 3" xfId="7068"/>
    <cellStyle name="Percent 2 7 3 3 2" xfId="13754"/>
    <cellStyle name="Percent 2 7 3 4" xfId="11969"/>
    <cellStyle name="Percent 2 7 4" xfId="5250"/>
    <cellStyle name="Percent 2 7 4 2" xfId="8993"/>
    <cellStyle name="Percent 2 7 4 2 2" xfId="15537"/>
    <cellStyle name="Percent 2 7 4 3" xfId="7274"/>
    <cellStyle name="Percent 2 7 4 3 2" xfId="13956"/>
    <cellStyle name="Percent 2 7 4 4" xfId="12171"/>
    <cellStyle name="Percent 2 7 5" xfId="5688"/>
    <cellStyle name="Percent 2 7 5 2" xfId="9429"/>
    <cellStyle name="Percent 2 7 5 2 2" xfId="15931"/>
    <cellStyle name="Percent 2 7 5 3" xfId="7710"/>
    <cellStyle name="Percent 2 7 5 3 2" xfId="14350"/>
    <cellStyle name="Percent 2 7 5 4" xfId="12581"/>
    <cellStyle name="Percent 2 7 6" xfId="10040"/>
    <cellStyle name="Percent 2 7 6 2" xfId="16521"/>
    <cellStyle name="Percent 2 7 7" xfId="8187"/>
    <cellStyle name="Percent 2 7 7 2" xfId="14744"/>
    <cellStyle name="Percent 2 7 8" xfId="6468"/>
    <cellStyle name="Percent 2 7 8 2" xfId="13158"/>
    <cellStyle name="Percent 2 7 9" xfId="11364"/>
    <cellStyle name="Percent 2 8" xfId="4423"/>
    <cellStyle name="Percent 2 8 2" xfId="4632"/>
    <cellStyle name="Percent 2 8 2 2" xfId="5047"/>
    <cellStyle name="Percent 2 8 2 2 2" xfId="8790"/>
    <cellStyle name="Percent 2 8 2 2 2 2" xfId="15338"/>
    <cellStyle name="Percent 2 8 2 2 3" xfId="7071"/>
    <cellStyle name="Percent 2 8 2 2 3 2" xfId="13757"/>
    <cellStyle name="Percent 2 8 2 2 4" xfId="11972"/>
    <cellStyle name="Percent 2 8 2 3" xfId="5459"/>
    <cellStyle name="Percent 2 8 2 3 2" xfId="9202"/>
    <cellStyle name="Percent 2 8 2 3 2 2" xfId="15746"/>
    <cellStyle name="Percent 2 8 2 3 3" xfId="7483"/>
    <cellStyle name="Percent 2 8 2 3 3 2" xfId="14165"/>
    <cellStyle name="Percent 2 8 2 3 4" xfId="12380"/>
    <cellStyle name="Percent 2 8 2 4" xfId="5897"/>
    <cellStyle name="Percent 2 8 2 4 2" xfId="9638"/>
    <cellStyle name="Percent 2 8 2 4 2 2" xfId="16140"/>
    <cellStyle name="Percent 2 8 2 4 3" xfId="7919"/>
    <cellStyle name="Percent 2 8 2 4 3 2" xfId="14559"/>
    <cellStyle name="Percent 2 8 2 4 4" xfId="12790"/>
    <cellStyle name="Percent 2 8 2 5" xfId="10043"/>
    <cellStyle name="Percent 2 8 2 5 2" xfId="16524"/>
    <cellStyle name="Percent 2 8 2 6" xfId="8396"/>
    <cellStyle name="Percent 2 8 2 6 2" xfId="14953"/>
    <cellStyle name="Percent 2 8 2 7" xfId="6677"/>
    <cellStyle name="Percent 2 8 2 7 2" xfId="13367"/>
    <cellStyle name="Percent 2 8 2 8" xfId="11577"/>
    <cellStyle name="Percent 2 8 3" xfId="5046"/>
    <cellStyle name="Percent 2 8 3 2" xfId="8789"/>
    <cellStyle name="Percent 2 8 3 2 2" xfId="15337"/>
    <cellStyle name="Percent 2 8 3 3" xfId="7070"/>
    <cellStyle name="Percent 2 8 3 3 2" xfId="13756"/>
    <cellStyle name="Percent 2 8 3 4" xfId="11971"/>
    <cellStyle name="Percent 2 8 4" xfId="5262"/>
    <cellStyle name="Percent 2 8 4 2" xfId="9005"/>
    <cellStyle name="Percent 2 8 4 2 2" xfId="15549"/>
    <cellStyle name="Percent 2 8 4 3" xfId="7286"/>
    <cellStyle name="Percent 2 8 4 3 2" xfId="13968"/>
    <cellStyle name="Percent 2 8 4 4" xfId="12183"/>
    <cellStyle name="Percent 2 8 5" xfId="5700"/>
    <cellStyle name="Percent 2 8 5 2" xfId="9441"/>
    <cellStyle name="Percent 2 8 5 2 2" xfId="15943"/>
    <cellStyle name="Percent 2 8 5 3" xfId="7722"/>
    <cellStyle name="Percent 2 8 5 3 2" xfId="14362"/>
    <cellStyle name="Percent 2 8 5 4" xfId="12593"/>
    <cellStyle name="Percent 2 8 6" xfId="10042"/>
    <cellStyle name="Percent 2 8 6 2" xfId="16523"/>
    <cellStyle name="Percent 2 8 7" xfId="8199"/>
    <cellStyle name="Percent 2 8 7 2" xfId="14756"/>
    <cellStyle name="Percent 2 8 8" xfId="6480"/>
    <cellStyle name="Percent 2 8 8 2" xfId="13170"/>
    <cellStyle name="Percent 2 8 9" xfId="11378"/>
    <cellStyle name="Percent 2 9" xfId="4450"/>
    <cellStyle name="Percent 2 9 2" xfId="5048"/>
    <cellStyle name="Percent 2 9 2 2" xfId="8791"/>
    <cellStyle name="Percent 2 9 2 2 2" xfId="15339"/>
    <cellStyle name="Percent 2 9 2 3" xfId="7072"/>
    <cellStyle name="Percent 2 9 2 3 2" xfId="13758"/>
    <cellStyle name="Percent 2 9 2 4" xfId="11973"/>
    <cellStyle name="Percent 2 9 3" xfId="5278"/>
    <cellStyle name="Percent 2 9 3 2" xfId="9021"/>
    <cellStyle name="Percent 2 9 3 2 2" xfId="15565"/>
    <cellStyle name="Percent 2 9 3 3" xfId="7302"/>
    <cellStyle name="Percent 2 9 3 3 2" xfId="13984"/>
    <cellStyle name="Percent 2 9 3 4" xfId="12199"/>
    <cellStyle name="Percent 2 9 4" xfId="5716"/>
    <cellStyle name="Percent 2 9 4 2" xfId="9457"/>
    <cellStyle name="Percent 2 9 4 2 2" xfId="15959"/>
    <cellStyle name="Percent 2 9 4 3" xfId="7738"/>
    <cellStyle name="Percent 2 9 4 3 2" xfId="14378"/>
    <cellStyle name="Percent 2 9 4 4" xfId="12609"/>
    <cellStyle name="Percent 2 9 5" xfId="10044"/>
    <cellStyle name="Percent 2 9 5 2" xfId="16525"/>
    <cellStyle name="Percent 2 9 6" xfId="8215"/>
    <cellStyle name="Percent 2 9 6 2" xfId="14772"/>
    <cellStyle name="Percent 2 9 7" xfId="6496"/>
    <cellStyle name="Percent 2 9 7 2" xfId="13186"/>
    <cellStyle name="Percent 2 9 8" xfId="11395"/>
    <cellStyle name="Percent 20" xfId="4252"/>
    <cellStyle name="Percent 20 2" xfId="4596"/>
    <cellStyle name="Percent 20 2 2" xfId="5049"/>
    <cellStyle name="Percent 20 2 2 2" xfId="8792"/>
    <cellStyle name="Percent 20 2 2 2 2" xfId="15340"/>
    <cellStyle name="Percent 20 2 2 3" xfId="7073"/>
    <cellStyle name="Percent 20 2 2 3 2" xfId="13759"/>
    <cellStyle name="Percent 20 2 2 4" xfId="11974"/>
    <cellStyle name="Percent 20 2 3" xfId="5423"/>
    <cellStyle name="Percent 20 2 3 2" xfId="9166"/>
    <cellStyle name="Percent 20 2 3 2 2" xfId="15710"/>
    <cellStyle name="Percent 20 2 3 3" xfId="7447"/>
    <cellStyle name="Percent 20 2 3 3 2" xfId="14129"/>
    <cellStyle name="Percent 20 2 3 4" xfId="12344"/>
    <cellStyle name="Percent 20 2 4" xfId="5861"/>
    <cellStyle name="Percent 20 2 4 2" xfId="9602"/>
    <cellStyle name="Percent 20 2 4 2 2" xfId="16104"/>
    <cellStyle name="Percent 20 2 4 3" xfId="7883"/>
    <cellStyle name="Percent 20 2 4 3 2" xfId="14523"/>
    <cellStyle name="Percent 20 2 4 4" xfId="12754"/>
    <cellStyle name="Percent 20 2 5" xfId="10045"/>
    <cellStyle name="Percent 20 2 5 2" xfId="16526"/>
    <cellStyle name="Percent 20 2 6" xfId="8360"/>
    <cellStyle name="Percent 20 2 6 2" xfId="14917"/>
    <cellStyle name="Percent 20 2 7" xfId="6641"/>
    <cellStyle name="Percent 20 2 7 2" xfId="13331"/>
    <cellStyle name="Percent 20 2 8" xfId="11541"/>
    <cellStyle name="Percent 20 3" xfId="4736"/>
    <cellStyle name="Percent 20 3 2" xfId="8479"/>
    <cellStyle name="Percent 20 3 2 2" xfId="15031"/>
    <cellStyle name="Percent 20 3 3" xfId="6760"/>
    <cellStyle name="Percent 20 3 3 2" xfId="13450"/>
    <cellStyle name="Percent 20 3 4" xfId="11665"/>
    <cellStyle name="Percent 20 4" xfId="5226"/>
    <cellStyle name="Percent 20 4 2" xfId="8969"/>
    <cellStyle name="Percent 20 4 2 2" xfId="15513"/>
    <cellStyle name="Percent 20 4 3" xfId="7250"/>
    <cellStyle name="Percent 20 4 3 2" xfId="13932"/>
    <cellStyle name="Percent 20 4 4" xfId="12147"/>
    <cellStyle name="Percent 20 5" xfId="5659"/>
    <cellStyle name="Percent 20 5 2" xfId="9400"/>
    <cellStyle name="Percent 20 5 2 2" xfId="15907"/>
    <cellStyle name="Percent 20 5 3" xfId="7681"/>
    <cellStyle name="Percent 20 5 3 2" xfId="14326"/>
    <cellStyle name="Percent 20 5 4" xfId="12552"/>
    <cellStyle name="Percent 20 6" xfId="9724"/>
    <cellStyle name="Percent 20 6 2" xfId="16217"/>
    <cellStyle name="Percent 20 7" xfId="8122"/>
    <cellStyle name="Percent 20 7 2" xfId="14720"/>
    <cellStyle name="Percent 20 8" xfId="6404"/>
    <cellStyle name="Percent 20 8 2" xfId="13125"/>
    <cellStyle name="Percent 20 9" xfId="11335"/>
    <cellStyle name="Percent 21" xfId="4253"/>
    <cellStyle name="Percent 21 2" xfId="4597"/>
    <cellStyle name="Percent 21 2 2" xfId="5050"/>
    <cellStyle name="Percent 21 2 2 2" xfId="8793"/>
    <cellStyle name="Percent 21 2 2 2 2" xfId="15341"/>
    <cellStyle name="Percent 21 2 2 3" xfId="7074"/>
    <cellStyle name="Percent 21 2 2 3 2" xfId="13760"/>
    <cellStyle name="Percent 21 2 2 4" xfId="11975"/>
    <cellStyle name="Percent 21 2 3" xfId="5424"/>
    <cellStyle name="Percent 21 2 3 2" xfId="9167"/>
    <cellStyle name="Percent 21 2 3 2 2" xfId="15711"/>
    <cellStyle name="Percent 21 2 3 3" xfId="7448"/>
    <cellStyle name="Percent 21 2 3 3 2" xfId="14130"/>
    <cellStyle name="Percent 21 2 3 4" xfId="12345"/>
    <cellStyle name="Percent 21 2 4" xfId="5862"/>
    <cellStyle name="Percent 21 2 4 2" xfId="9603"/>
    <cellStyle name="Percent 21 2 4 2 2" xfId="16105"/>
    <cellStyle name="Percent 21 2 4 3" xfId="7884"/>
    <cellStyle name="Percent 21 2 4 3 2" xfId="14524"/>
    <cellStyle name="Percent 21 2 4 4" xfId="12755"/>
    <cellStyle name="Percent 21 2 5" xfId="10046"/>
    <cellStyle name="Percent 21 2 5 2" xfId="16527"/>
    <cellStyle name="Percent 21 2 6" xfId="8361"/>
    <cellStyle name="Percent 21 2 6 2" xfId="14918"/>
    <cellStyle name="Percent 21 2 7" xfId="6642"/>
    <cellStyle name="Percent 21 2 7 2" xfId="13332"/>
    <cellStyle name="Percent 21 2 8" xfId="11542"/>
    <cellStyle name="Percent 21 3" xfId="4738"/>
    <cellStyle name="Percent 21 3 2" xfId="8481"/>
    <cellStyle name="Percent 21 3 2 2" xfId="15033"/>
    <cellStyle name="Percent 21 3 3" xfId="6762"/>
    <cellStyle name="Percent 21 3 3 2" xfId="13452"/>
    <cellStyle name="Percent 21 3 4" xfId="11667"/>
    <cellStyle name="Percent 21 4" xfId="5227"/>
    <cellStyle name="Percent 21 4 2" xfId="8970"/>
    <cellStyle name="Percent 21 4 2 2" xfId="15514"/>
    <cellStyle name="Percent 21 4 3" xfId="7251"/>
    <cellStyle name="Percent 21 4 3 2" xfId="13933"/>
    <cellStyle name="Percent 21 4 4" xfId="12148"/>
    <cellStyle name="Percent 21 5" xfId="5660"/>
    <cellStyle name="Percent 21 5 2" xfId="9401"/>
    <cellStyle name="Percent 21 5 2 2" xfId="15908"/>
    <cellStyle name="Percent 21 5 3" xfId="7682"/>
    <cellStyle name="Percent 21 5 3 2" xfId="14327"/>
    <cellStyle name="Percent 21 5 4" xfId="12553"/>
    <cellStyle name="Percent 21 6" xfId="9726"/>
    <cellStyle name="Percent 21 6 2" xfId="16219"/>
    <cellStyle name="Percent 21 7" xfId="8123"/>
    <cellStyle name="Percent 21 7 2" xfId="14721"/>
    <cellStyle name="Percent 21 8" xfId="6405"/>
    <cellStyle name="Percent 21 8 2" xfId="13126"/>
    <cellStyle name="Percent 21 9" xfId="11336"/>
    <cellStyle name="Percent 22" xfId="4254"/>
    <cellStyle name="Percent 22 2" xfId="4598"/>
    <cellStyle name="Percent 22 2 2" xfId="5051"/>
    <cellStyle name="Percent 22 2 2 2" xfId="8794"/>
    <cellStyle name="Percent 22 2 2 2 2" xfId="15342"/>
    <cellStyle name="Percent 22 2 2 3" xfId="7075"/>
    <cellStyle name="Percent 22 2 2 3 2" xfId="13761"/>
    <cellStyle name="Percent 22 2 2 4" xfId="11976"/>
    <cellStyle name="Percent 22 2 3" xfId="5425"/>
    <cellStyle name="Percent 22 2 3 2" xfId="9168"/>
    <cellStyle name="Percent 22 2 3 2 2" xfId="15712"/>
    <cellStyle name="Percent 22 2 3 3" xfId="7449"/>
    <cellStyle name="Percent 22 2 3 3 2" xfId="14131"/>
    <cellStyle name="Percent 22 2 3 4" xfId="12346"/>
    <cellStyle name="Percent 22 2 4" xfId="5863"/>
    <cellStyle name="Percent 22 2 4 2" xfId="9604"/>
    <cellStyle name="Percent 22 2 4 2 2" xfId="16106"/>
    <cellStyle name="Percent 22 2 4 3" xfId="7885"/>
    <cellStyle name="Percent 22 2 4 3 2" xfId="14525"/>
    <cellStyle name="Percent 22 2 4 4" xfId="12756"/>
    <cellStyle name="Percent 22 2 5" xfId="10047"/>
    <cellStyle name="Percent 22 2 5 2" xfId="16528"/>
    <cellStyle name="Percent 22 2 6" xfId="8362"/>
    <cellStyle name="Percent 22 2 6 2" xfId="14919"/>
    <cellStyle name="Percent 22 2 7" xfId="6643"/>
    <cellStyle name="Percent 22 2 7 2" xfId="13333"/>
    <cellStyle name="Percent 22 2 8" xfId="11543"/>
    <cellStyle name="Percent 22 3" xfId="4740"/>
    <cellStyle name="Percent 22 3 2" xfId="8483"/>
    <cellStyle name="Percent 22 3 2 2" xfId="15035"/>
    <cellStyle name="Percent 22 3 3" xfId="6764"/>
    <cellStyle name="Percent 22 3 3 2" xfId="13454"/>
    <cellStyle name="Percent 22 3 4" xfId="11669"/>
    <cellStyle name="Percent 22 4" xfId="5228"/>
    <cellStyle name="Percent 22 4 2" xfId="8971"/>
    <cellStyle name="Percent 22 4 2 2" xfId="15515"/>
    <cellStyle name="Percent 22 4 3" xfId="7252"/>
    <cellStyle name="Percent 22 4 3 2" xfId="13934"/>
    <cellStyle name="Percent 22 4 4" xfId="12149"/>
    <cellStyle name="Percent 22 5" xfId="5661"/>
    <cellStyle name="Percent 22 5 2" xfId="9402"/>
    <cellStyle name="Percent 22 5 2 2" xfId="15909"/>
    <cellStyle name="Percent 22 5 3" xfId="7683"/>
    <cellStyle name="Percent 22 5 3 2" xfId="14328"/>
    <cellStyle name="Percent 22 5 4" xfId="12554"/>
    <cellStyle name="Percent 22 6" xfId="9728"/>
    <cellStyle name="Percent 22 6 2" xfId="16221"/>
    <cellStyle name="Percent 22 7" xfId="8124"/>
    <cellStyle name="Percent 22 7 2" xfId="14722"/>
    <cellStyle name="Percent 22 8" xfId="6406"/>
    <cellStyle name="Percent 22 8 2" xfId="13127"/>
    <cellStyle name="Percent 22 9" xfId="11337"/>
    <cellStyle name="Percent 23" xfId="4255"/>
    <cellStyle name="Percent 23 2" xfId="4599"/>
    <cellStyle name="Percent 23 2 2" xfId="5052"/>
    <cellStyle name="Percent 23 2 2 2" xfId="8795"/>
    <cellStyle name="Percent 23 2 2 2 2" xfId="15343"/>
    <cellStyle name="Percent 23 2 2 3" xfId="7076"/>
    <cellStyle name="Percent 23 2 2 3 2" xfId="13762"/>
    <cellStyle name="Percent 23 2 2 4" xfId="11977"/>
    <cellStyle name="Percent 23 2 3" xfId="5426"/>
    <cellStyle name="Percent 23 2 3 2" xfId="9169"/>
    <cellStyle name="Percent 23 2 3 2 2" xfId="15713"/>
    <cellStyle name="Percent 23 2 3 3" xfId="7450"/>
    <cellStyle name="Percent 23 2 3 3 2" xfId="14132"/>
    <cellStyle name="Percent 23 2 3 4" xfId="12347"/>
    <cellStyle name="Percent 23 2 4" xfId="5864"/>
    <cellStyle name="Percent 23 2 4 2" xfId="9605"/>
    <cellStyle name="Percent 23 2 4 2 2" xfId="16107"/>
    <cellStyle name="Percent 23 2 4 3" xfId="7886"/>
    <cellStyle name="Percent 23 2 4 3 2" xfId="14526"/>
    <cellStyle name="Percent 23 2 4 4" xfId="12757"/>
    <cellStyle name="Percent 23 2 5" xfId="10048"/>
    <cellStyle name="Percent 23 2 5 2" xfId="16529"/>
    <cellStyle name="Percent 23 2 6" xfId="8363"/>
    <cellStyle name="Percent 23 2 6 2" xfId="14920"/>
    <cellStyle name="Percent 23 2 7" xfId="6644"/>
    <cellStyle name="Percent 23 2 7 2" xfId="13334"/>
    <cellStyle name="Percent 23 2 8" xfId="11544"/>
    <cellStyle name="Percent 23 3" xfId="4742"/>
    <cellStyle name="Percent 23 3 2" xfId="8485"/>
    <cellStyle name="Percent 23 3 2 2" xfId="15037"/>
    <cellStyle name="Percent 23 3 3" xfId="6766"/>
    <cellStyle name="Percent 23 3 3 2" xfId="13456"/>
    <cellStyle name="Percent 23 3 4" xfId="11671"/>
    <cellStyle name="Percent 23 4" xfId="5229"/>
    <cellStyle name="Percent 23 4 2" xfId="8972"/>
    <cellStyle name="Percent 23 4 2 2" xfId="15516"/>
    <cellStyle name="Percent 23 4 3" xfId="7253"/>
    <cellStyle name="Percent 23 4 3 2" xfId="13935"/>
    <cellStyle name="Percent 23 4 4" xfId="12150"/>
    <cellStyle name="Percent 23 5" xfId="5662"/>
    <cellStyle name="Percent 23 5 2" xfId="9403"/>
    <cellStyle name="Percent 23 5 2 2" xfId="15910"/>
    <cellStyle name="Percent 23 5 3" xfId="7684"/>
    <cellStyle name="Percent 23 5 3 2" xfId="14329"/>
    <cellStyle name="Percent 23 5 4" xfId="12555"/>
    <cellStyle name="Percent 23 6" xfId="9730"/>
    <cellStyle name="Percent 23 6 2" xfId="16223"/>
    <cellStyle name="Percent 23 7" xfId="8125"/>
    <cellStyle name="Percent 23 7 2" xfId="14723"/>
    <cellStyle name="Percent 23 8" xfId="6407"/>
    <cellStyle name="Percent 23 8 2" xfId="13128"/>
    <cellStyle name="Percent 23 9" xfId="11338"/>
    <cellStyle name="Percent 24" xfId="4256"/>
    <cellStyle name="Percent 24 2" xfId="4600"/>
    <cellStyle name="Percent 24 2 2" xfId="5053"/>
    <cellStyle name="Percent 24 2 2 2" xfId="8796"/>
    <cellStyle name="Percent 24 2 2 2 2" xfId="15344"/>
    <cellStyle name="Percent 24 2 2 3" xfId="7077"/>
    <cellStyle name="Percent 24 2 2 3 2" xfId="13763"/>
    <cellStyle name="Percent 24 2 2 4" xfId="11978"/>
    <cellStyle name="Percent 24 2 3" xfId="5427"/>
    <cellStyle name="Percent 24 2 3 2" xfId="9170"/>
    <cellStyle name="Percent 24 2 3 2 2" xfId="15714"/>
    <cellStyle name="Percent 24 2 3 3" xfId="7451"/>
    <cellStyle name="Percent 24 2 3 3 2" xfId="14133"/>
    <cellStyle name="Percent 24 2 3 4" xfId="12348"/>
    <cellStyle name="Percent 24 2 4" xfId="5865"/>
    <cellStyle name="Percent 24 2 4 2" xfId="9606"/>
    <cellStyle name="Percent 24 2 4 2 2" xfId="16108"/>
    <cellStyle name="Percent 24 2 4 3" xfId="7887"/>
    <cellStyle name="Percent 24 2 4 3 2" xfId="14527"/>
    <cellStyle name="Percent 24 2 4 4" xfId="12758"/>
    <cellStyle name="Percent 24 2 5" xfId="10049"/>
    <cellStyle name="Percent 24 2 5 2" xfId="16530"/>
    <cellStyle name="Percent 24 2 6" xfId="8364"/>
    <cellStyle name="Percent 24 2 6 2" xfId="14921"/>
    <cellStyle name="Percent 24 2 7" xfId="6645"/>
    <cellStyle name="Percent 24 2 7 2" xfId="13335"/>
    <cellStyle name="Percent 24 2 8" xfId="11545"/>
    <cellStyle name="Percent 24 3" xfId="4744"/>
    <cellStyle name="Percent 24 3 2" xfId="8487"/>
    <cellStyle name="Percent 24 3 2 2" xfId="15039"/>
    <cellStyle name="Percent 24 3 3" xfId="6768"/>
    <cellStyle name="Percent 24 3 3 2" xfId="13458"/>
    <cellStyle name="Percent 24 3 4" xfId="11673"/>
    <cellStyle name="Percent 24 4" xfId="5230"/>
    <cellStyle name="Percent 24 4 2" xfId="8973"/>
    <cellStyle name="Percent 24 4 2 2" xfId="15517"/>
    <cellStyle name="Percent 24 4 3" xfId="7254"/>
    <cellStyle name="Percent 24 4 3 2" xfId="13936"/>
    <cellStyle name="Percent 24 4 4" xfId="12151"/>
    <cellStyle name="Percent 24 5" xfId="5663"/>
    <cellStyle name="Percent 24 5 2" xfId="9404"/>
    <cellStyle name="Percent 24 5 2 2" xfId="15911"/>
    <cellStyle name="Percent 24 5 3" xfId="7685"/>
    <cellStyle name="Percent 24 5 3 2" xfId="14330"/>
    <cellStyle name="Percent 24 5 4" xfId="12556"/>
    <cellStyle name="Percent 24 6" xfId="9732"/>
    <cellStyle name="Percent 24 6 2" xfId="16225"/>
    <cellStyle name="Percent 24 7" xfId="8126"/>
    <cellStyle name="Percent 24 7 2" xfId="14724"/>
    <cellStyle name="Percent 24 8" xfId="6408"/>
    <cellStyle name="Percent 24 8 2" xfId="13129"/>
    <cellStyle name="Percent 24 9" xfId="11339"/>
    <cellStyle name="Percent 25" xfId="4257"/>
    <cellStyle name="Percent 25 2" xfId="4601"/>
    <cellStyle name="Percent 25 2 2" xfId="5054"/>
    <cellStyle name="Percent 25 2 2 2" xfId="8797"/>
    <cellStyle name="Percent 25 2 2 2 2" xfId="15345"/>
    <cellStyle name="Percent 25 2 2 3" xfId="7078"/>
    <cellStyle name="Percent 25 2 2 3 2" xfId="13764"/>
    <cellStyle name="Percent 25 2 2 4" xfId="11979"/>
    <cellStyle name="Percent 25 2 3" xfId="5428"/>
    <cellStyle name="Percent 25 2 3 2" xfId="9171"/>
    <cellStyle name="Percent 25 2 3 2 2" xfId="15715"/>
    <cellStyle name="Percent 25 2 3 3" xfId="7452"/>
    <cellStyle name="Percent 25 2 3 3 2" xfId="14134"/>
    <cellStyle name="Percent 25 2 3 4" xfId="12349"/>
    <cellStyle name="Percent 25 2 4" xfId="5866"/>
    <cellStyle name="Percent 25 2 4 2" xfId="9607"/>
    <cellStyle name="Percent 25 2 4 2 2" xfId="16109"/>
    <cellStyle name="Percent 25 2 4 3" xfId="7888"/>
    <cellStyle name="Percent 25 2 4 3 2" xfId="14528"/>
    <cellStyle name="Percent 25 2 4 4" xfId="12759"/>
    <cellStyle name="Percent 25 2 5" xfId="10050"/>
    <cellStyle name="Percent 25 2 5 2" xfId="16531"/>
    <cellStyle name="Percent 25 2 6" xfId="8365"/>
    <cellStyle name="Percent 25 2 6 2" xfId="14922"/>
    <cellStyle name="Percent 25 2 7" xfId="6646"/>
    <cellStyle name="Percent 25 2 7 2" xfId="13336"/>
    <cellStyle name="Percent 25 2 8" xfId="11546"/>
    <cellStyle name="Percent 25 3" xfId="4746"/>
    <cellStyle name="Percent 25 3 2" xfId="8489"/>
    <cellStyle name="Percent 25 3 2 2" xfId="15041"/>
    <cellStyle name="Percent 25 3 3" xfId="6770"/>
    <cellStyle name="Percent 25 3 3 2" xfId="13460"/>
    <cellStyle name="Percent 25 3 4" xfId="11675"/>
    <cellStyle name="Percent 25 4" xfId="5231"/>
    <cellStyle name="Percent 25 4 2" xfId="8974"/>
    <cellStyle name="Percent 25 4 2 2" xfId="15518"/>
    <cellStyle name="Percent 25 4 3" xfId="7255"/>
    <cellStyle name="Percent 25 4 3 2" xfId="13937"/>
    <cellStyle name="Percent 25 4 4" xfId="12152"/>
    <cellStyle name="Percent 25 5" xfId="5664"/>
    <cellStyle name="Percent 25 5 2" xfId="9405"/>
    <cellStyle name="Percent 25 5 2 2" xfId="15912"/>
    <cellStyle name="Percent 25 5 3" xfId="7686"/>
    <cellStyle name="Percent 25 5 3 2" xfId="14331"/>
    <cellStyle name="Percent 25 5 4" xfId="12557"/>
    <cellStyle name="Percent 25 6" xfId="9734"/>
    <cellStyle name="Percent 25 6 2" xfId="16227"/>
    <cellStyle name="Percent 25 7" xfId="8127"/>
    <cellStyle name="Percent 25 7 2" xfId="14725"/>
    <cellStyle name="Percent 25 8" xfId="6409"/>
    <cellStyle name="Percent 25 8 2" xfId="13130"/>
    <cellStyle name="Percent 25 9" xfId="11340"/>
    <cellStyle name="Percent 26" xfId="4258"/>
    <cellStyle name="Percent 26 2" xfId="4602"/>
    <cellStyle name="Percent 26 2 2" xfId="5055"/>
    <cellStyle name="Percent 26 2 2 2" xfId="8798"/>
    <cellStyle name="Percent 26 2 2 2 2" xfId="15346"/>
    <cellStyle name="Percent 26 2 2 3" xfId="7079"/>
    <cellStyle name="Percent 26 2 2 3 2" xfId="13765"/>
    <cellStyle name="Percent 26 2 2 4" xfId="11980"/>
    <cellStyle name="Percent 26 2 3" xfId="5429"/>
    <cellStyle name="Percent 26 2 3 2" xfId="9172"/>
    <cellStyle name="Percent 26 2 3 2 2" xfId="15716"/>
    <cellStyle name="Percent 26 2 3 3" xfId="7453"/>
    <cellStyle name="Percent 26 2 3 3 2" xfId="14135"/>
    <cellStyle name="Percent 26 2 3 4" xfId="12350"/>
    <cellStyle name="Percent 26 2 4" xfId="5867"/>
    <cellStyle name="Percent 26 2 4 2" xfId="9608"/>
    <cellStyle name="Percent 26 2 4 2 2" xfId="16110"/>
    <cellStyle name="Percent 26 2 4 3" xfId="7889"/>
    <cellStyle name="Percent 26 2 4 3 2" xfId="14529"/>
    <cellStyle name="Percent 26 2 4 4" xfId="12760"/>
    <cellStyle name="Percent 26 2 5" xfId="10051"/>
    <cellStyle name="Percent 26 2 5 2" xfId="16532"/>
    <cellStyle name="Percent 26 2 6" xfId="8366"/>
    <cellStyle name="Percent 26 2 6 2" xfId="14923"/>
    <cellStyle name="Percent 26 2 7" xfId="6647"/>
    <cellStyle name="Percent 26 2 7 2" xfId="13337"/>
    <cellStyle name="Percent 26 2 8" xfId="11547"/>
    <cellStyle name="Percent 26 3" xfId="4748"/>
    <cellStyle name="Percent 26 3 2" xfId="8491"/>
    <cellStyle name="Percent 26 3 2 2" xfId="15043"/>
    <cellStyle name="Percent 26 3 3" xfId="6772"/>
    <cellStyle name="Percent 26 3 3 2" xfId="13462"/>
    <cellStyle name="Percent 26 3 4" xfId="11677"/>
    <cellStyle name="Percent 26 4" xfId="5232"/>
    <cellStyle name="Percent 26 4 2" xfId="8975"/>
    <cellStyle name="Percent 26 4 2 2" xfId="15519"/>
    <cellStyle name="Percent 26 4 3" xfId="7256"/>
    <cellStyle name="Percent 26 4 3 2" xfId="13938"/>
    <cellStyle name="Percent 26 4 4" xfId="12153"/>
    <cellStyle name="Percent 26 5" xfId="5665"/>
    <cellStyle name="Percent 26 5 2" xfId="9406"/>
    <cellStyle name="Percent 26 5 2 2" xfId="15913"/>
    <cellStyle name="Percent 26 5 3" xfId="7687"/>
    <cellStyle name="Percent 26 5 3 2" xfId="14332"/>
    <cellStyle name="Percent 26 5 4" xfId="12558"/>
    <cellStyle name="Percent 26 6" xfId="9736"/>
    <cellStyle name="Percent 26 6 2" xfId="16229"/>
    <cellStyle name="Percent 26 7" xfId="8128"/>
    <cellStyle name="Percent 26 7 2" xfId="14726"/>
    <cellStyle name="Percent 26 8" xfId="6410"/>
    <cellStyle name="Percent 26 8 2" xfId="13131"/>
    <cellStyle name="Percent 26 9" xfId="11341"/>
    <cellStyle name="Percent 27" xfId="4259"/>
    <cellStyle name="Percent 27 2" xfId="4603"/>
    <cellStyle name="Percent 27 2 2" xfId="5056"/>
    <cellStyle name="Percent 27 2 2 2" xfId="8799"/>
    <cellStyle name="Percent 27 2 2 2 2" xfId="15347"/>
    <cellStyle name="Percent 27 2 2 3" xfId="7080"/>
    <cellStyle name="Percent 27 2 2 3 2" xfId="13766"/>
    <cellStyle name="Percent 27 2 2 4" xfId="11981"/>
    <cellStyle name="Percent 27 2 3" xfId="5430"/>
    <cellStyle name="Percent 27 2 3 2" xfId="9173"/>
    <cellStyle name="Percent 27 2 3 2 2" xfId="15717"/>
    <cellStyle name="Percent 27 2 3 3" xfId="7454"/>
    <cellStyle name="Percent 27 2 3 3 2" xfId="14136"/>
    <cellStyle name="Percent 27 2 3 4" xfId="12351"/>
    <cellStyle name="Percent 27 2 4" xfId="5868"/>
    <cellStyle name="Percent 27 2 4 2" xfId="9609"/>
    <cellStyle name="Percent 27 2 4 2 2" xfId="16111"/>
    <cellStyle name="Percent 27 2 4 3" xfId="7890"/>
    <cellStyle name="Percent 27 2 4 3 2" xfId="14530"/>
    <cellStyle name="Percent 27 2 4 4" xfId="12761"/>
    <cellStyle name="Percent 27 2 5" xfId="10052"/>
    <cellStyle name="Percent 27 2 5 2" xfId="16533"/>
    <cellStyle name="Percent 27 2 6" xfId="8367"/>
    <cellStyle name="Percent 27 2 6 2" xfId="14924"/>
    <cellStyle name="Percent 27 2 7" xfId="6648"/>
    <cellStyle name="Percent 27 2 7 2" xfId="13338"/>
    <cellStyle name="Percent 27 2 8" xfId="11548"/>
    <cellStyle name="Percent 27 3" xfId="4751"/>
    <cellStyle name="Percent 27 3 2" xfId="8494"/>
    <cellStyle name="Percent 27 3 2 2" xfId="15046"/>
    <cellStyle name="Percent 27 3 3" xfId="6775"/>
    <cellStyle name="Percent 27 3 3 2" xfId="13465"/>
    <cellStyle name="Percent 27 3 4" xfId="11680"/>
    <cellStyle name="Percent 27 4" xfId="5233"/>
    <cellStyle name="Percent 27 4 2" xfId="8976"/>
    <cellStyle name="Percent 27 4 2 2" xfId="15520"/>
    <cellStyle name="Percent 27 4 3" xfId="7257"/>
    <cellStyle name="Percent 27 4 3 2" xfId="13939"/>
    <cellStyle name="Percent 27 4 4" xfId="12154"/>
    <cellStyle name="Percent 27 5" xfId="5666"/>
    <cellStyle name="Percent 27 5 2" xfId="9407"/>
    <cellStyle name="Percent 27 5 2 2" xfId="15914"/>
    <cellStyle name="Percent 27 5 3" xfId="7688"/>
    <cellStyle name="Percent 27 5 3 2" xfId="14333"/>
    <cellStyle name="Percent 27 5 4" xfId="12559"/>
    <cellStyle name="Percent 27 6" xfId="9739"/>
    <cellStyle name="Percent 27 6 2" xfId="16232"/>
    <cellStyle name="Percent 27 7" xfId="8129"/>
    <cellStyle name="Percent 27 7 2" xfId="14727"/>
    <cellStyle name="Percent 27 8" xfId="6411"/>
    <cellStyle name="Percent 27 8 2" xfId="13132"/>
    <cellStyle name="Percent 27 9" xfId="11342"/>
    <cellStyle name="Percent 28" xfId="4260"/>
    <cellStyle name="Percent 28 2" xfId="4604"/>
    <cellStyle name="Percent 28 2 2" xfId="5057"/>
    <cellStyle name="Percent 28 2 2 2" xfId="8800"/>
    <cellStyle name="Percent 28 2 2 2 2" xfId="15348"/>
    <cellStyle name="Percent 28 2 2 3" xfId="7081"/>
    <cellStyle name="Percent 28 2 2 3 2" xfId="13767"/>
    <cellStyle name="Percent 28 2 2 4" xfId="11982"/>
    <cellStyle name="Percent 28 2 3" xfId="5431"/>
    <cellStyle name="Percent 28 2 3 2" xfId="9174"/>
    <cellStyle name="Percent 28 2 3 2 2" xfId="15718"/>
    <cellStyle name="Percent 28 2 3 3" xfId="7455"/>
    <cellStyle name="Percent 28 2 3 3 2" xfId="14137"/>
    <cellStyle name="Percent 28 2 3 4" xfId="12352"/>
    <cellStyle name="Percent 28 2 4" xfId="5869"/>
    <cellStyle name="Percent 28 2 4 2" xfId="9610"/>
    <cellStyle name="Percent 28 2 4 2 2" xfId="16112"/>
    <cellStyle name="Percent 28 2 4 3" xfId="7891"/>
    <cellStyle name="Percent 28 2 4 3 2" xfId="14531"/>
    <cellStyle name="Percent 28 2 4 4" xfId="12762"/>
    <cellStyle name="Percent 28 2 5" xfId="10053"/>
    <cellStyle name="Percent 28 2 5 2" xfId="16534"/>
    <cellStyle name="Percent 28 2 6" xfId="8368"/>
    <cellStyle name="Percent 28 2 6 2" xfId="14925"/>
    <cellStyle name="Percent 28 2 7" xfId="6649"/>
    <cellStyle name="Percent 28 2 7 2" xfId="13339"/>
    <cellStyle name="Percent 28 2 8" xfId="11549"/>
    <cellStyle name="Percent 28 3" xfId="4752"/>
    <cellStyle name="Percent 28 3 2" xfId="8495"/>
    <cellStyle name="Percent 28 3 2 2" xfId="15047"/>
    <cellStyle name="Percent 28 3 3" xfId="6776"/>
    <cellStyle name="Percent 28 3 3 2" xfId="13466"/>
    <cellStyle name="Percent 28 3 4" xfId="11681"/>
    <cellStyle name="Percent 28 4" xfId="5234"/>
    <cellStyle name="Percent 28 4 2" xfId="8977"/>
    <cellStyle name="Percent 28 4 2 2" xfId="15521"/>
    <cellStyle name="Percent 28 4 3" xfId="7258"/>
    <cellStyle name="Percent 28 4 3 2" xfId="13940"/>
    <cellStyle name="Percent 28 4 4" xfId="12155"/>
    <cellStyle name="Percent 28 5" xfId="5667"/>
    <cellStyle name="Percent 28 5 2" xfId="9408"/>
    <cellStyle name="Percent 28 5 2 2" xfId="15915"/>
    <cellStyle name="Percent 28 5 3" xfId="7689"/>
    <cellStyle name="Percent 28 5 3 2" xfId="14334"/>
    <cellStyle name="Percent 28 5 4" xfId="12560"/>
    <cellStyle name="Percent 28 6" xfId="9740"/>
    <cellStyle name="Percent 28 6 2" xfId="16233"/>
    <cellStyle name="Percent 28 7" xfId="8130"/>
    <cellStyle name="Percent 28 7 2" xfId="14728"/>
    <cellStyle name="Percent 28 8" xfId="6412"/>
    <cellStyle name="Percent 28 8 2" xfId="13133"/>
    <cellStyle name="Percent 28 9" xfId="11343"/>
    <cellStyle name="Percent 29" xfId="4261"/>
    <cellStyle name="Percent 29 2" xfId="4605"/>
    <cellStyle name="Percent 29 2 2" xfId="5058"/>
    <cellStyle name="Percent 29 2 2 2" xfId="8801"/>
    <cellStyle name="Percent 29 2 2 2 2" xfId="15349"/>
    <cellStyle name="Percent 29 2 2 3" xfId="7082"/>
    <cellStyle name="Percent 29 2 2 3 2" xfId="13768"/>
    <cellStyle name="Percent 29 2 2 4" xfId="11983"/>
    <cellStyle name="Percent 29 2 3" xfId="5432"/>
    <cellStyle name="Percent 29 2 3 2" xfId="9175"/>
    <cellStyle name="Percent 29 2 3 2 2" xfId="15719"/>
    <cellStyle name="Percent 29 2 3 3" xfId="7456"/>
    <cellStyle name="Percent 29 2 3 3 2" xfId="14138"/>
    <cellStyle name="Percent 29 2 3 4" xfId="12353"/>
    <cellStyle name="Percent 29 2 4" xfId="5870"/>
    <cellStyle name="Percent 29 2 4 2" xfId="9611"/>
    <cellStyle name="Percent 29 2 4 2 2" xfId="16113"/>
    <cellStyle name="Percent 29 2 4 3" xfId="7892"/>
    <cellStyle name="Percent 29 2 4 3 2" xfId="14532"/>
    <cellStyle name="Percent 29 2 4 4" xfId="12763"/>
    <cellStyle name="Percent 29 2 5" xfId="10054"/>
    <cellStyle name="Percent 29 2 5 2" xfId="16535"/>
    <cellStyle name="Percent 29 2 6" xfId="8369"/>
    <cellStyle name="Percent 29 2 6 2" xfId="14926"/>
    <cellStyle name="Percent 29 2 7" xfId="6650"/>
    <cellStyle name="Percent 29 2 7 2" xfId="13340"/>
    <cellStyle name="Percent 29 2 8" xfId="11550"/>
    <cellStyle name="Percent 29 3" xfId="4820"/>
    <cellStyle name="Percent 29 3 2" xfId="8563"/>
    <cellStyle name="Percent 29 3 2 2" xfId="15111"/>
    <cellStyle name="Percent 29 3 3" xfId="6844"/>
    <cellStyle name="Percent 29 3 3 2" xfId="13530"/>
    <cellStyle name="Percent 29 3 4" xfId="11745"/>
    <cellStyle name="Percent 29 4" xfId="5235"/>
    <cellStyle name="Percent 29 4 2" xfId="8978"/>
    <cellStyle name="Percent 29 4 2 2" xfId="15522"/>
    <cellStyle name="Percent 29 4 3" xfId="7259"/>
    <cellStyle name="Percent 29 4 3 2" xfId="13941"/>
    <cellStyle name="Percent 29 4 4" xfId="12156"/>
    <cellStyle name="Percent 29 5" xfId="5668"/>
    <cellStyle name="Percent 29 5 2" xfId="9409"/>
    <cellStyle name="Percent 29 5 2 2" xfId="15916"/>
    <cellStyle name="Percent 29 5 3" xfId="7690"/>
    <cellStyle name="Percent 29 5 3 2" xfId="14335"/>
    <cellStyle name="Percent 29 5 4" xfId="12561"/>
    <cellStyle name="Percent 29 6" xfId="9811"/>
    <cellStyle name="Percent 29 6 2" xfId="16297"/>
    <cellStyle name="Percent 29 7" xfId="8131"/>
    <cellStyle name="Percent 29 7 2" xfId="14729"/>
    <cellStyle name="Percent 29 8" xfId="6413"/>
    <cellStyle name="Percent 29 8 2" xfId="13134"/>
    <cellStyle name="Percent 29 9" xfId="11344"/>
    <cellStyle name="Percent 3" xfId="4262"/>
    <cellStyle name="Percent 30" xfId="4447"/>
    <cellStyle name="Percent 30 2" xfId="4645"/>
    <cellStyle name="Percent 30 2 2" xfId="5059"/>
    <cellStyle name="Percent 30 2 2 2" xfId="8802"/>
    <cellStyle name="Percent 30 2 2 2 2" xfId="15350"/>
    <cellStyle name="Percent 30 2 2 3" xfId="7083"/>
    <cellStyle name="Percent 30 2 2 3 2" xfId="13769"/>
    <cellStyle name="Percent 30 2 2 4" xfId="11984"/>
    <cellStyle name="Percent 30 2 3" xfId="5472"/>
    <cellStyle name="Percent 30 2 3 2" xfId="9215"/>
    <cellStyle name="Percent 30 2 3 2 2" xfId="15759"/>
    <cellStyle name="Percent 30 2 3 3" xfId="7496"/>
    <cellStyle name="Percent 30 2 3 3 2" xfId="14178"/>
    <cellStyle name="Percent 30 2 3 4" xfId="12393"/>
    <cellStyle name="Percent 30 2 4" xfId="5910"/>
    <cellStyle name="Percent 30 2 4 2" xfId="9651"/>
    <cellStyle name="Percent 30 2 4 2 2" xfId="16153"/>
    <cellStyle name="Percent 30 2 4 3" xfId="7932"/>
    <cellStyle name="Percent 30 2 4 3 2" xfId="14572"/>
    <cellStyle name="Percent 30 2 4 4" xfId="12803"/>
    <cellStyle name="Percent 30 2 5" xfId="10055"/>
    <cellStyle name="Percent 30 2 5 2" xfId="16536"/>
    <cellStyle name="Percent 30 2 6" xfId="8409"/>
    <cellStyle name="Percent 30 2 6 2" xfId="14966"/>
    <cellStyle name="Percent 30 2 7" xfId="6690"/>
    <cellStyle name="Percent 30 2 7 2" xfId="13380"/>
    <cellStyle name="Percent 30 2 8" xfId="11590"/>
    <cellStyle name="Percent 30 3" xfId="4847"/>
    <cellStyle name="Percent 30 3 2" xfId="8590"/>
    <cellStyle name="Percent 30 3 2 2" xfId="15138"/>
    <cellStyle name="Percent 30 3 3" xfId="6871"/>
    <cellStyle name="Percent 30 3 3 2" xfId="13557"/>
    <cellStyle name="Percent 30 3 4" xfId="11772"/>
    <cellStyle name="Percent 30 4" xfId="5275"/>
    <cellStyle name="Percent 30 4 2" xfId="9018"/>
    <cellStyle name="Percent 30 4 2 2" xfId="15562"/>
    <cellStyle name="Percent 30 4 3" xfId="7299"/>
    <cellStyle name="Percent 30 4 3 2" xfId="13981"/>
    <cellStyle name="Percent 30 4 4" xfId="12196"/>
    <cellStyle name="Percent 30 5" xfId="5713"/>
    <cellStyle name="Percent 30 5 2" xfId="9454"/>
    <cellStyle name="Percent 30 5 2 2" xfId="15956"/>
    <cellStyle name="Percent 30 5 3" xfId="7735"/>
    <cellStyle name="Percent 30 5 3 2" xfId="14375"/>
    <cellStyle name="Percent 30 5 4" xfId="12606"/>
    <cellStyle name="Percent 30 6" xfId="9838"/>
    <cellStyle name="Percent 30 6 2" xfId="16324"/>
    <cellStyle name="Percent 30 7" xfId="8212"/>
    <cellStyle name="Percent 30 7 2" xfId="14769"/>
    <cellStyle name="Percent 30 8" xfId="6493"/>
    <cellStyle name="Percent 30 8 2" xfId="13183"/>
    <cellStyle name="Percent 30 9" xfId="11392"/>
    <cellStyle name="Percent 31" xfId="4655"/>
    <cellStyle name="Percent 32" xfId="4656"/>
    <cellStyle name="Percent 33" xfId="4657"/>
    <cellStyle name="Percent 34" xfId="4658"/>
    <cellStyle name="Percent 35" xfId="4659"/>
    <cellStyle name="Percent 36" xfId="4660"/>
    <cellStyle name="Percent 37" xfId="4661"/>
    <cellStyle name="Percent 38" xfId="4662"/>
    <cellStyle name="Percent 39" xfId="4669"/>
    <cellStyle name="Percent 39 2" xfId="5073"/>
    <cellStyle name="Percent 39 2 2" xfId="8816"/>
    <cellStyle name="Percent 39 2 2 2" xfId="15364"/>
    <cellStyle name="Percent 39 2 3" xfId="7097"/>
    <cellStyle name="Percent 39 2 3 2" xfId="13783"/>
    <cellStyle name="Percent 39 2 4" xfId="11998"/>
    <cellStyle name="Percent 39 3" xfId="10069"/>
    <cellStyle name="Percent 39 3 2" xfId="16550"/>
    <cellStyle name="Percent 39 4" xfId="8416"/>
    <cellStyle name="Percent 39 4 2" xfId="14968"/>
    <cellStyle name="Percent 39 5" xfId="6697"/>
    <cellStyle name="Percent 39 5 2" xfId="13387"/>
    <cellStyle name="Percent 39 6" xfId="11601"/>
    <cellStyle name="Percent 4" xfId="4263"/>
    <cellStyle name="Percent 4 10" xfId="11345"/>
    <cellStyle name="Percent 4 2" xfId="4264"/>
    <cellStyle name="Percent 4 2 2" xfId="4607"/>
    <cellStyle name="Percent 4 2 2 2" xfId="5060"/>
    <cellStyle name="Percent 4 2 2 2 2" xfId="8803"/>
    <cellStyle name="Percent 4 2 2 2 2 2" xfId="15351"/>
    <cellStyle name="Percent 4 2 2 2 3" xfId="7084"/>
    <cellStyle name="Percent 4 2 2 2 3 2" xfId="13770"/>
    <cellStyle name="Percent 4 2 2 2 4" xfId="11985"/>
    <cellStyle name="Percent 4 2 2 3" xfId="5434"/>
    <cellStyle name="Percent 4 2 2 3 2" xfId="9177"/>
    <cellStyle name="Percent 4 2 2 3 2 2" xfId="15721"/>
    <cellStyle name="Percent 4 2 2 3 3" xfId="7458"/>
    <cellStyle name="Percent 4 2 2 3 3 2" xfId="14140"/>
    <cellStyle name="Percent 4 2 2 3 4" xfId="12355"/>
    <cellStyle name="Percent 4 2 2 4" xfId="5872"/>
    <cellStyle name="Percent 4 2 2 4 2" xfId="9613"/>
    <cellStyle name="Percent 4 2 2 4 2 2" xfId="16115"/>
    <cellStyle name="Percent 4 2 2 4 3" xfId="7894"/>
    <cellStyle name="Percent 4 2 2 4 3 2" xfId="14534"/>
    <cellStyle name="Percent 4 2 2 4 4" xfId="12765"/>
    <cellStyle name="Percent 4 2 2 5" xfId="10056"/>
    <cellStyle name="Percent 4 2 2 5 2" xfId="16537"/>
    <cellStyle name="Percent 4 2 2 6" xfId="8371"/>
    <cellStyle name="Percent 4 2 2 6 2" xfId="14928"/>
    <cellStyle name="Percent 4 2 2 7" xfId="6652"/>
    <cellStyle name="Percent 4 2 2 7 2" xfId="13342"/>
    <cellStyle name="Percent 4 2 2 8" xfId="11552"/>
    <cellStyle name="Percent 4 2 3" xfId="4813"/>
    <cellStyle name="Percent 4 2 3 2" xfId="8556"/>
    <cellStyle name="Percent 4 2 3 2 2" xfId="15108"/>
    <cellStyle name="Percent 4 2 3 3" xfId="6837"/>
    <cellStyle name="Percent 4 2 3 3 2" xfId="13527"/>
    <cellStyle name="Percent 4 2 3 4" xfId="11742"/>
    <cellStyle name="Percent 4 2 4" xfId="5237"/>
    <cellStyle name="Percent 4 2 4 2" xfId="8980"/>
    <cellStyle name="Percent 4 2 4 2 2" xfId="15524"/>
    <cellStyle name="Percent 4 2 4 3" xfId="7261"/>
    <cellStyle name="Percent 4 2 4 3 2" xfId="13943"/>
    <cellStyle name="Percent 4 2 4 4" xfId="12158"/>
    <cellStyle name="Percent 4 2 5" xfId="5670"/>
    <cellStyle name="Percent 4 2 5 2" xfId="9411"/>
    <cellStyle name="Percent 4 2 5 2 2" xfId="15918"/>
    <cellStyle name="Percent 4 2 5 3" xfId="7692"/>
    <cellStyle name="Percent 4 2 5 3 2" xfId="14337"/>
    <cellStyle name="Percent 4 2 5 4" xfId="12563"/>
    <cellStyle name="Percent 4 2 6" xfId="9803"/>
    <cellStyle name="Percent 4 2 6 2" xfId="16294"/>
    <cellStyle name="Percent 4 2 7" xfId="8133"/>
    <cellStyle name="Percent 4 2 7 2" xfId="14731"/>
    <cellStyle name="Percent 4 2 8" xfId="6415"/>
    <cellStyle name="Percent 4 2 8 2" xfId="13136"/>
    <cellStyle name="Percent 4 2 9" xfId="11346"/>
    <cellStyle name="Percent 4 3" xfId="4606"/>
    <cellStyle name="Percent 4 3 2" xfId="5061"/>
    <cellStyle name="Percent 4 3 2 2" xfId="8804"/>
    <cellStyle name="Percent 4 3 2 2 2" xfId="15352"/>
    <cellStyle name="Percent 4 3 2 3" xfId="7085"/>
    <cellStyle name="Percent 4 3 2 3 2" xfId="13771"/>
    <cellStyle name="Percent 4 3 2 4" xfId="11986"/>
    <cellStyle name="Percent 4 3 3" xfId="5433"/>
    <cellStyle name="Percent 4 3 3 2" xfId="9176"/>
    <cellStyle name="Percent 4 3 3 2 2" xfId="15720"/>
    <cellStyle name="Percent 4 3 3 3" xfId="7457"/>
    <cellStyle name="Percent 4 3 3 3 2" xfId="14139"/>
    <cellStyle name="Percent 4 3 3 4" xfId="12354"/>
    <cellStyle name="Percent 4 3 4" xfId="5871"/>
    <cellStyle name="Percent 4 3 4 2" xfId="9612"/>
    <cellStyle name="Percent 4 3 4 2 2" xfId="16114"/>
    <cellStyle name="Percent 4 3 4 3" xfId="7893"/>
    <cellStyle name="Percent 4 3 4 3 2" xfId="14533"/>
    <cellStyle name="Percent 4 3 4 4" xfId="12764"/>
    <cellStyle name="Percent 4 3 5" xfId="10057"/>
    <cellStyle name="Percent 4 3 5 2" xfId="16538"/>
    <cellStyle name="Percent 4 3 6" xfId="8370"/>
    <cellStyle name="Percent 4 3 6 2" xfId="14927"/>
    <cellStyle name="Percent 4 3 7" xfId="6651"/>
    <cellStyle name="Percent 4 3 7 2" xfId="13341"/>
    <cellStyle name="Percent 4 3 8" xfId="11551"/>
    <cellStyle name="Percent 4 4" xfId="4731"/>
    <cellStyle name="Percent 4 4 2" xfId="8475"/>
    <cellStyle name="Percent 4 4 2 2" xfId="15027"/>
    <cellStyle name="Percent 4 4 3" xfId="6756"/>
    <cellStyle name="Percent 4 4 3 2" xfId="13446"/>
    <cellStyle name="Percent 4 4 4" xfId="11660"/>
    <cellStyle name="Percent 4 5" xfId="5236"/>
    <cellStyle name="Percent 4 5 2" xfId="8979"/>
    <cellStyle name="Percent 4 5 2 2" xfId="15523"/>
    <cellStyle name="Percent 4 5 3" xfId="7260"/>
    <cellStyle name="Percent 4 5 3 2" xfId="13942"/>
    <cellStyle name="Percent 4 5 4" xfId="12157"/>
    <cellStyle name="Percent 4 6" xfId="5669"/>
    <cellStyle name="Percent 4 6 2" xfId="9410"/>
    <cellStyle name="Percent 4 6 2 2" xfId="15917"/>
    <cellStyle name="Percent 4 6 3" xfId="7691"/>
    <cellStyle name="Percent 4 6 3 2" xfId="14336"/>
    <cellStyle name="Percent 4 6 4" xfId="12562"/>
    <cellStyle name="Percent 4 7" xfId="9719"/>
    <cellStyle name="Percent 4 7 2" xfId="16212"/>
    <cellStyle name="Percent 4 8" xfId="8132"/>
    <cellStyle name="Percent 4 8 2" xfId="14730"/>
    <cellStyle name="Percent 4 9" xfId="6414"/>
    <cellStyle name="Percent 4 9 2" xfId="13135"/>
    <cellStyle name="Percent 5" xfId="4265"/>
    <cellStyle name="Percent 5 10" xfId="11347"/>
    <cellStyle name="Percent 5 2" xfId="4266"/>
    <cellStyle name="Percent 5 2 2" xfId="4609"/>
    <cellStyle name="Percent 5 2 2 2" xfId="5062"/>
    <cellStyle name="Percent 5 2 2 2 2" xfId="8805"/>
    <cellStyle name="Percent 5 2 2 2 2 2" xfId="15353"/>
    <cellStyle name="Percent 5 2 2 2 3" xfId="7086"/>
    <cellStyle name="Percent 5 2 2 2 3 2" xfId="13772"/>
    <cellStyle name="Percent 5 2 2 2 4" xfId="11987"/>
    <cellStyle name="Percent 5 2 2 3" xfId="5436"/>
    <cellStyle name="Percent 5 2 2 3 2" xfId="9179"/>
    <cellStyle name="Percent 5 2 2 3 2 2" xfId="15723"/>
    <cellStyle name="Percent 5 2 2 3 3" xfId="7460"/>
    <cellStyle name="Percent 5 2 2 3 3 2" xfId="14142"/>
    <cellStyle name="Percent 5 2 2 3 4" xfId="12357"/>
    <cellStyle name="Percent 5 2 2 4" xfId="5874"/>
    <cellStyle name="Percent 5 2 2 4 2" xfId="9615"/>
    <cellStyle name="Percent 5 2 2 4 2 2" xfId="16117"/>
    <cellStyle name="Percent 5 2 2 4 3" xfId="7896"/>
    <cellStyle name="Percent 5 2 2 4 3 2" xfId="14536"/>
    <cellStyle name="Percent 5 2 2 4 4" xfId="12767"/>
    <cellStyle name="Percent 5 2 2 5" xfId="10058"/>
    <cellStyle name="Percent 5 2 2 5 2" xfId="16539"/>
    <cellStyle name="Percent 5 2 2 6" xfId="8373"/>
    <cellStyle name="Percent 5 2 2 6 2" xfId="14930"/>
    <cellStyle name="Percent 5 2 2 7" xfId="6654"/>
    <cellStyle name="Percent 5 2 2 7 2" xfId="13344"/>
    <cellStyle name="Percent 5 2 2 8" xfId="11554"/>
    <cellStyle name="Percent 5 2 3" xfId="4812"/>
    <cellStyle name="Percent 5 2 3 2" xfId="8555"/>
    <cellStyle name="Percent 5 2 3 2 2" xfId="15107"/>
    <cellStyle name="Percent 5 2 3 3" xfId="6836"/>
    <cellStyle name="Percent 5 2 3 3 2" xfId="13526"/>
    <cellStyle name="Percent 5 2 3 4" xfId="11741"/>
    <cellStyle name="Percent 5 2 4" xfId="5239"/>
    <cellStyle name="Percent 5 2 4 2" xfId="8982"/>
    <cellStyle name="Percent 5 2 4 2 2" xfId="15526"/>
    <cellStyle name="Percent 5 2 4 3" xfId="7263"/>
    <cellStyle name="Percent 5 2 4 3 2" xfId="13945"/>
    <cellStyle name="Percent 5 2 4 4" xfId="12160"/>
    <cellStyle name="Percent 5 2 5" xfId="5672"/>
    <cellStyle name="Percent 5 2 5 2" xfId="9413"/>
    <cellStyle name="Percent 5 2 5 2 2" xfId="15920"/>
    <cellStyle name="Percent 5 2 5 3" xfId="7694"/>
    <cellStyle name="Percent 5 2 5 3 2" xfId="14339"/>
    <cellStyle name="Percent 5 2 5 4" xfId="12565"/>
    <cellStyle name="Percent 5 2 6" xfId="9802"/>
    <cellStyle name="Percent 5 2 6 2" xfId="16293"/>
    <cellStyle name="Percent 5 2 7" xfId="8135"/>
    <cellStyle name="Percent 5 2 7 2" xfId="14733"/>
    <cellStyle name="Percent 5 2 8" xfId="6417"/>
    <cellStyle name="Percent 5 2 8 2" xfId="13138"/>
    <cellStyle name="Percent 5 2 9" xfId="11348"/>
    <cellStyle name="Percent 5 3" xfId="4608"/>
    <cellStyle name="Percent 5 3 2" xfId="5063"/>
    <cellStyle name="Percent 5 3 2 2" xfId="8806"/>
    <cellStyle name="Percent 5 3 2 2 2" xfId="15354"/>
    <cellStyle name="Percent 5 3 2 3" xfId="7087"/>
    <cellStyle name="Percent 5 3 2 3 2" xfId="13773"/>
    <cellStyle name="Percent 5 3 2 4" xfId="11988"/>
    <cellStyle name="Percent 5 3 3" xfId="5435"/>
    <cellStyle name="Percent 5 3 3 2" xfId="9178"/>
    <cellStyle name="Percent 5 3 3 2 2" xfId="15722"/>
    <cellStyle name="Percent 5 3 3 3" xfId="7459"/>
    <cellStyle name="Percent 5 3 3 3 2" xfId="14141"/>
    <cellStyle name="Percent 5 3 3 4" xfId="12356"/>
    <cellStyle name="Percent 5 3 4" xfId="5873"/>
    <cellStyle name="Percent 5 3 4 2" xfId="9614"/>
    <cellStyle name="Percent 5 3 4 2 2" xfId="16116"/>
    <cellStyle name="Percent 5 3 4 3" xfId="7895"/>
    <cellStyle name="Percent 5 3 4 3 2" xfId="14535"/>
    <cellStyle name="Percent 5 3 4 4" xfId="12766"/>
    <cellStyle name="Percent 5 3 5" xfId="10059"/>
    <cellStyle name="Percent 5 3 5 2" xfId="16540"/>
    <cellStyle name="Percent 5 3 6" xfId="8372"/>
    <cellStyle name="Percent 5 3 6 2" xfId="14929"/>
    <cellStyle name="Percent 5 3 7" xfId="6653"/>
    <cellStyle name="Percent 5 3 7 2" xfId="13343"/>
    <cellStyle name="Percent 5 3 8" xfId="11553"/>
    <cellStyle name="Percent 5 4" xfId="4730"/>
    <cellStyle name="Percent 5 4 2" xfId="8474"/>
    <cellStyle name="Percent 5 4 2 2" xfId="15026"/>
    <cellStyle name="Percent 5 4 3" xfId="6755"/>
    <cellStyle name="Percent 5 4 3 2" xfId="13445"/>
    <cellStyle name="Percent 5 4 4" xfId="11659"/>
    <cellStyle name="Percent 5 5" xfId="5238"/>
    <cellStyle name="Percent 5 5 2" xfId="8981"/>
    <cellStyle name="Percent 5 5 2 2" xfId="15525"/>
    <cellStyle name="Percent 5 5 3" xfId="7262"/>
    <cellStyle name="Percent 5 5 3 2" xfId="13944"/>
    <cellStyle name="Percent 5 5 4" xfId="12159"/>
    <cellStyle name="Percent 5 6" xfId="5671"/>
    <cellStyle name="Percent 5 6 2" xfId="9412"/>
    <cellStyle name="Percent 5 6 2 2" xfId="15919"/>
    <cellStyle name="Percent 5 6 3" xfId="7693"/>
    <cellStyle name="Percent 5 6 3 2" xfId="14338"/>
    <cellStyle name="Percent 5 6 4" xfId="12564"/>
    <cellStyle name="Percent 5 7" xfId="9718"/>
    <cellStyle name="Percent 5 7 2" xfId="16211"/>
    <cellStyle name="Percent 5 8" xfId="8134"/>
    <cellStyle name="Percent 5 8 2" xfId="14732"/>
    <cellStyle name="Percent 5 9" xfId="6416"/>
    <cellStyle name="Percent 5 9 2" xfId="13137"/>
    <cellStyle name="Percent 6" xfId="4267"/>
    <cellStyle name="Percent 6 10" xfId="11349"/>
    <cellStyle name="Percent 6 2" xfId="4268"/>
    <cellStyle name="Percent 6 2 2" xfId="4611"/>
    <cellStyle name="Percent 6 2 2 2" xfId="5064"/>
    <cellStyle name="Percent 6 2 2 2 2" xfId="8807"/>
    <cellStyle name="Percent 6 2 2 2 2 2" xfId="15355"/>
    <cellStyle name="Percent 6 2 2 2 3" xfId="7088"/>
    <cellStyle name="Percent 6 2 2 2 3 2" xfId="13774"/>
    <cellStyle name="Percent 6 2 2 2 4" xfId="11989"/>
    <cellStyle name="Percent 6 2 2 3" xfId="5438"/>
    <cellStyle name="Percent 6 2 2 3 2" xfId="9181"/>
    <cellStyle name="Percent 6 2 2 3 2 2" xfId="15725"/>
    <cellStyle name="Percent 6 2 2 3 3" xfId="7462"/>
    <cellStyle name="Percent 6 2 2 3 3 2" xfId="14144"/>
    <cellStyle name="Percent 6 2 2 3 4" xfId="12359"/>
    <cellStyle name="Percent 6 2 2 4" xfId="5876"/>
    <cellStyle name="Percent 6 2 2 4 2" xfId="9617"/>
    <cellStyle name="Percent 6 2 2 4 2 2" xfId="16119"/>
    <cellStyle name="Percent 6 2 2 4 3" xfId="7898"/>
    <cellStyle name="Percent 6 2 2 4 3 2" xfId="14538"/>
    <cellStyle name="Percent 6 2 2 4 4" xfId="12769"/>
    <cellStyle name="Percent 6 2 2 5" xfId="10060"/>
    <cellStyle name="Percent 6 2 2 5 2" xfId="16541"/>
    <cellStyle name="Percent 6 2 2 6" xfId="8375"/>
    <cellStyle name="Percent 6 2 2 6 2" xfId="14932"/>
    <cellStyle name="Percent 6 2 2 7" xfId="6656"/>
    <cellStyle name="Percent 6 2 2 7 2" xfId="13346"/>
    <cellStyle name="Percent 6 2 2 8" xfId="11556"/>
    <cellStyle name="Percent 6 2 3" xfId="4783"/>
    <cellStyle name="Percent 6 2 3 2" xfId="8526"/>
    <cellStyle name="Percent 6 2 3 2 2" xfId="15078"/>
    <cellStyle name="Percent 6 2 3 3" xfId="6807"/>
    <cellStyle name="Percent 6 2 3 3 2" xfId="13497"/>
    <cellStyle name="Percent 6 2 3 4" xfId="11712"/>
    <cellStyle name="Percent 6 2 4" xfId="5241"/>
    <cellStyle name="Percent 6 2 4 2" xfId="8984"/>
    <cellStyle name="Percent 6 2 4 2 2" xfId="15528"/>
    <cellStyle name="Percent 6 2 4 3" xfId="7265"/>
    <cellStyle name="Percent 6 2 4 3 2" xfId="13947"/>
    <cellStyle name="Percent 6 2 4 4" xfId="12162"/>
    <cellStyle name="Percent 6 2 5" xfId="5674"/>
    <cellStyle name="Percent 6 2 5 2" xfId="9415"/>
    <cellStyle name="Percent 6 2 5 2 2" xfId="15922"/>
    <cellStyle name="Percent 6 2 5 3" xfId="7696"/>
    <cellStyle name="Percent 6 2 5 3 2" xfId="14341"/>
    <cellStyle name="Percent 6 2 5 4" xfId="12567"/>
    <cellStyle name="Percent 6 2 6" xfId="9773"/>
    <cellStyle name="Percent 6 2 6 2" xfId="16264"/>
    <cellStyle name="Percent 6 2 7" xfId="8137"/>
    <cellStyle name="Percent 6 2 7 2" xfId="14735"/>
    <cellStyle name="Percent 6 2 8" xfId="6419"/>
    <cellStyle name="Percent 6 2 8 2" xfId="13140"/>
    <cellStyle name="Percent 6 2 9" xfId="11350"/>
    <cellStyle name="Percent 6 3" xfId="4610"/>
    <cellStyle name="Percent 6 3 2" xfId="5065"/>
    <cellStyle name="Percent 6 3 2 2" xfId="8808"/>
    <cellStyle name="Percent 6 3 2 2 2" xfId="15356"/>
    <cellStyle name="Percent 6 3 2 3" xfId="7089"/>
    <cellStyle name="Percent 6 3 2 3 2" xfId="13775"/>
    <cellStyle name="Percent 6 3 2 4" xfId="11990"/>
    <cellStyle name="Percent 6 3 3" xfId="5437"/>
    <cellStyle name="Percent 6 3 3 2" xfId="9180"/>
    <cellStyle name="Percent 6 3 3 2 2" xfId="15724"/>
    <cellStyle name="Percent 6 3 3 3" xfId="7461"/>
    <cellStyle name="Percent 6 3 3 3 2" xfId="14143"/>
    <cellStyle name="Percent 6 3 3 4" xfId="12358"/>
    <cellStyle name="Percent 6 3 4" xfId="5875"/>
    <cellStyle name="Percent 6 3 4 2" xfId="9616"/>
    <cellStyle name="Percent 6 3 4 2 2" xfId="16118"/>
    <cellStyle name="Percent 6 3 4 3" xfId="7897"/>
    <cellStyle name="Percent 6 3 4 3 2" xfId="14537"/>
    <cellStyle name="Percent 6 3 4 4" xfId="12768"/>
    <cellStyle name="Percent 6 3 5" xfId="10061"/>
    <cellStyle name="Percent 6 3 5 2" xfId="16542"/>
    <cellStyle name="Percent 6 3 6" xfId="8374"/>
    <cellStyle name="Percent 6 3 6 2" xfId="14931"/>
    <cellStyle name="Percent 6 3 7" xfId="6655"/>
    <cellStyle name="Percent 6 3 7 2" xfId="13345"/>
    <cellStyle name="Percent 6 3 8" xfId="11555"/>
    <cellStyle name="Percent 6 4" xfId="4701"/>
    <cellStyle name="Percent 6 4 2" xfId="8445"/>
    <cellStyle name="Percent 6 4 2 2" xfId="14997"/>
    <cellStyle name="Percent 6 4 3" xfId="6726"/>
    <cellStyle name="Percent 6 4 3 2" xfId="13416"/>
    <cellStyle name="Percent 6 4 4" xfId="11630"/>
    <cellStyle name="Percent 6 5" xfId="5240"/>
    <cellStyle name="Percent 6 5 2" xfId="8983"/>
    <cellStyle name="Percent 6 5 2 2" xfId="15527"/>
    <cellStyle name="Percent 6 5 3" xfId="7264"/>
    <cellStyle name="Percent 6 5 3 2" xfId="13946"/>
    <cellStyle name="Percent 6 5 4" xfId="12161"/>
    <cellStyle name="Percent 6 6" xfId="5673"/>
    <cellStyle name="Percent 6 6 2" xfId="9414"/>
    <cellStyle name="Percent 6 6 2 2" xfId="15921"/>
    <cellStyle name="Percent 6 6 3" xfId="7695"/>
    <cellStyle name="Percent 6 6 3 2" xfId="14340"/>
    <cellStyle name="Percent 6 6 4" xfId="12566"/>
    <cellStyle name="Percent 6 7" xfId="9689"/>
    <cellStyle name="Percent 6 7 2" xfId="16182"/>
    <cellStyle name="Percent 6 8" xfId="8136"/>
    <cellStyle name="Percent 6 8 2" xfId="14734"/>
    <cellStyle name="Percent 6 9" xfId="6418"/>
    <cellStyle name="Percent 6 9 2" xfId="13139"/>
    <cellStyle name="Percent 7" xfId="4269"/>
    <cellStyle name="Percent 7 10" xfId="11351"/>
    <cellStyle name="Percent 7 2" xfId="4270"/>
    <cellStyle name="Percent 7 2 2" xfId="4613"/>
    <cellStyle name="Percent 7 2 2 2" xfId="5066"/>
    <cellStyle name="Percent 7 2 2 2 2" xfId="8809"/>
    <cellStyle name="Percent 7 2 2 2 2 2" xfId="15357"/>
    <cellStyle name="Percent 7 2 2 2 3" xfId="7090"/>
    <cellStyle name="Percent 7 2 2 2 3 2" xfId="13776"/>
    <cellStyle name="Percent 7 2 2 2 4" xfId="11991"/>
    <cellStyle name="Percent 7 2 2 3" xfId="5440"/>
    <cellStyle name="Percent 7 2 2 3 2" xfId="9183"/>
    <cellStyle name="Percent 7 2 2 3 2 2" xfId="15727"/>
    <cellStyle name="Percent 7 2 2 3 3" xfId="7464"/>
    <cellStyle name="Percent 7 2 2 3 3 2" xfId="14146"/>
    <cellStyle name="Percent 7 2 2 3 4" xfId="12361"/>
    <cellStyle name="Percent 7 2 2 4" xfId="5878"/>
    <cellStyle name="Percent 7 2 2 4 2" xfId="9619"/>
    <cellStyle name="Percent 7 2 2 4 2 2" xfId="16121"/>
    <cellStyle name="Percent 7 2 2 4 3" xfId="7900"/>
    <cellStyle name="Percent 7 2 2 4 3 2" xfId="14540"/>
    <cellStyle name="Percent 7 2 2 4 4" xfId="12771"/>
    <cellStyle name="Percent 7 2 2 5" xfId="10062"/>
    <cellStyle name="Percent 7 2 2 5 2" xfId="16543"/>
    <cellStyle name="Percent 7 2 2 6" xfId="8377"/>
    <cellStyle name="Percent 7 2 2 6 2" xfId="14934"/>
    <cellStyle name="Percent 7 2 2 7" xfId="6658"/>
    <cellStyle name="Percent 7 2 2 7 2" xfId="13348"/>
    <cellStyle name="Percent 7 2 2 8" xfId="11558"/>
    <cellStyle name="Percent 7 2 3" xfId="4786"/>
    <cellStyle name="Percent 7 2 3 2" xfId="8529"/>
    <cellStyle name="Percent 7 2 3 2 2" xfId="15081"/>
    <cellStyle name="Percent 7 2 3 3" xfId="6810"/>
    <cellStyle name="Percent 7 2 3 3 2" xfId="13500"/>
    <cellStyle name="Percent 7 2 3 4" xfId="11715"/>
    <cellStyle name="Percent 7 2 4" xfId="5243"/>
    <cellStyle name="Percent 7 2 4 2" xfId="8986"/>
    <cellStyle name="Percent 7 2 4 2 2" xfId="15530"/>
    <cellStyle name="Percent 7 2 4 3" xfId="7267"/>
    <cellStyle name="Percent 7 2 4 3 2" xfId="13949"/>
    <cellStyle name="Percent 7 2 4 4" xfId="12164"/>
    <cellStyle name="Percent 7 2 5" xfId="5676"/>
    <cellStyle name="Percent 7 2 5 2" xfId="9417"/>
    <cellStyle name="Percent 7 2 5 2 2" xfId="15924"/>
    <cellStyle name="Percent 7 2 5 3" xfId="7698"/>
    <cellStyle name="Percent 7 2 5 3 2" xfId="14343"/>
    <cellStyle name="Percent 7 2 5 4" xfId="12569"/>
    <cellStyle name="Percent 7 2 6" xfId="9776"/>
    <cellStyle name="Percent 7 2 6 2" xfId="16267"/>
    <cellStyle name="Percent 7 2 7" xfId="8139"/>
    <cellStyle name="Percent 7 2 7 2" xfId="14737"/>
    <cellStyle name="Percent 7 2 8" xfId="6421"/>
    <cellStyle name="Percent 7 2 8 2" xfId="13142"/>
    <cellStyle name="Percent 7 2 9" xfId="11352"/>
    <cellStyle name="Percent 7 3" xfId="4612"/>
    <cellStyle name="Percent 7 3 2" xfId="5067"/>
    <cellStyle name="Percent 7 3 2 2" xfId="8810"/>
    <cellStyle name="Percent 7 3 2 2 2" xfId="15358"/>
    <cellStyle name="Percent 7 3 2 3" xfId="7091"/>
    <cellStyle name="Percent 7 3 2 3 2" xfId="13777"/>
    <cellStyle name="Percent 7 3 2 4" xfId="11992"/>
    <cellStyle name="Percent 7 3 3" xfId="5439"/>
    <cellStyle name="Percent 7 3 3 2" xfId="9182"/>
    <cellStyle name="Percent 7 3 3 2 2" xfId="15726"/>
    <cellStyle name="Percent 7 3 3 3" xfId="7463"/>
    <cellStyle name="Percent 7 3 3 3 2" xfId="14145"/>
    <cellStyle name="Percent 7 3 3 4" xfId="12360"/>
    <cellStyle name="Percent 7 3 4" xfId="5877"/>
    <cellStyle name="Percent 7 3 4 2" xfId="9618"/>
    <cellStyle name="Percent 7 3 4 2 2" xfId="16120"/>
    <cellStyle name="Percent 7 3 4 3" xfId="7899"/>
    <cellStyle name="Percent 7 3 4 3 2" xfId="14539"/>
    <cellStyle name="Percent 7 3 4 4" xfId="12770"/>
    <cellStyle name="Percent 7 3 5" xfId="10063"/>
    <cellStyle name="Percent 7 3 5 2" xfId="16544"/>
    <cellStyle name="Percent 7 3 6" xfId="8376"/>
    <cellStyle name="Percent 7 3 6 2" xfId="14933"/>
    <cellStyle name="Percent 7 3 7" xfId="6657"/>
    <cellStyle name="Percent 7 3 7 2" xfId="13347"/>
    <cellStyle name="Percent 7 3 8" xfId="11557"/>
    <cellStyle name="Percent 7 4" xfId="4704"/>
    <cellStyle name="Percent 7 4 2" xfId="8448"/>
    <cellStyle name="Percent 7 4 2 2" xfId="15000"/>
    <cellStyle name="Percent 7 4 3" xfId="6729"/>
    <cellStyle name="Percent 7 4 3 2" xfId="13419"/>
    <cellStyle name="Percent 7 4 4" xfId="11633"/>
    <cellStyle name="Percent 7 5" xfId="5242"/>
    <cellStyle name="Percent 7 5 2" xfId="8985"/>
    <cellStyle name="Percent 7 5 2 2" xfId="15529"/>
    <cellStyle name="Percent 7 5 3" xfId="7266"/>
    <cellStyle name="Percent 7 5 3 2" xfId="13948"/>
    <cellStyle name="Percent 7 5 4" xfId="12163"/>
    <cellStyle name="Percent 7 6" xfId="5675"/>
    <cellStyle name="Percent 7 6 2" xfId="9416"/>
    <cellStyle name="Percent 7 6 2 2" xfId="15923"/>
    <cellStyle name="Percent 7 6 3" xfId="7697"/>
    <cellStyle name="Percent 7 6 3 2" xfId="14342"/>
    <cellStyle name="Percent 7 6 4" xfId="12568"/>
    <cellStyle name="Percent 7 7" xfId="9692"/>
    <cellStyle name="Percent 7 7 2" xfId="16185"/>
    <cellStyle name="Percent 7 8" xfId="8138"/>
    <cellStyle name="Percent 7 8 2" xfId="14736"/>
    <cellStyle name="Percent 7 9" xfId="6420"/>
    <cellStyle name="Percent 7 9 2" xfId="13141"/>
    <cellStyle name="Percent 8" xfId="4271"/>
    <cellStyle name="Percent 8 10" xfId="11353"/>
    <cellStyle name="Percent 8 2" xfId="4272"/>
    <cellStyle name="Percent 8 2 2" xfId="4615"/>
    <cellStyle name="Percent 8 2 2 2" xfId="5068"/>
    <cellStyle name="Percent 8 2 2 2 2" xfId="8811"/>
    <cellStyle name="Percent 8 2 2 2 2 2" xfId="15359"/>
    <cellStyle name="Percent 8 2 2 2 3" xfId="7092"/>
    <cellStyle name="Percent 8 2 2 2 3 2" xfId="13778"/>
    <cellStyle name="Percent 8 2 2 2 4" xfId="11993"/>
    <cellStyle name="Percent 8 2 2 3" xfId="5442"/>
    <cellStyle name="Percent 8 2 2 3 2" xfId="9185"/>
    <cellStyle name="Percent 8 2 2 3 2 2" xfId="15729"/>
    <cellStyle name="Percent 8 2 2 3 3" xfId="7466"/>
    <cellStyle name="Percent 8 2 2 3 3 2" xfId="14148"/>
    <cellStyle name="Percent 8 2 2 3 4" xfId="12363"/>
    <cellStyle name="Percent 8 2 2 4" xfId="5880"/>
    <cellStyle name="Percent 8 2 2 4 2" xfId="9621"/>
    <cellStyle name="Percent 8 2 2 4 2 2" xfId="16123"/>
    <cellStyle name="Percent 8 2 2 4 3" xfId="7902"/>
    <cellStyle name="Percent 8 2 2 4 3 2" xfId="14542"/>
    <cellStyle name="Percent 8 2 2 4 4" xfId="12773"/>
    <cellStyle name="Percent 8 2 2 5" xfId="10064"/>
    <cellStyle name="Percent 8 2 2 5 2" xfId="16545"/>
    <cellStyle name="Percent 8 2 2 6" xfId="8379"/>
    <cellStyle name="Percent 8 2 2 6 2" xfId="14936"/>
    <cellStyle name="Percent 8 2 2 7" xfId="6660"/>
    <cellStyle name="Percent 8 2 2 7 2" xfId="13350"/>
    <cellStyle name="Percent 8 2 2 8" xfId="11560"/>
    <cellStyle name="Percent 8 2 3" xfId="4788"/>
    <cellStyle name="Percent 8 2 3 2" xfId="8531"/>
    <cellStyle name="Percent 8 2 3 2 2" xfId="15083"/>
    <cellStyle name="Percent 8 2 3 3" xfId="6812"/>
    <cellStyle name="Percent 8 2 3 3 2" xfId="13502"/>
    <cellStyle name="Percent 8 2 3 4" xfId="11717"/>
    <cellStyle name="Percent 8 2 4" xfId="5245"/>
    <cellStyle name="Percent 8 2 4 2" xfId="8988"/>
    <cellStyle name="Percent 8 2 4 2 2" xfId="15532"/>
    <cellStyle name="Percent 8 2 4 3" xfId="7269"/>
    <cellStyle name="Percent 8 2 4 3 2" xfId="13951"/>
    <cellStyle name="Percent 8 2 4 4" xfId="12166"/>
    <cellStyle name="Percent 8 2 5" xfId="5678"/>
    <cellStyle name="Percent 8 2 5 2" xfId="9419"/>
    <cellStyle name="Percent 8 2 5 2 2" xfId="15926"/>
    <cellStyle name="Percent 8 2 5 3" xfId="7700"/>
    <cellStyle name="Percent 8 2 5 3 2" xfId="14345"/>
    <cellStyle name="Percent 8 2 5 4" xfId="12571"/>
    <cellStyle name="Percent 8 2 6" xfId="9778"/>
    <cellStyle name="Percent 8 2 6 2" xfId="16269"/>
    <cellStyle name="Percent 8 2 7" xfId="8141"/>
    <cellStyle name="Percent 8 2 7 2" xfId="14739"/>
    <cellStyle name="Percent 8 2 8" xfId="6423"/>
    <cellStyle name="Percent 8 2 8 2" xfId="13144"/>
    <cellStyle name="Percent 8 2 9" xfId="11354"/>
    <cellStyle name="Percent 8 3" xfId="4614"/>
    <cellStyle name="Percent 8 3 2" xfId="5069"/>
    <cellStyle name="Percent 8 3 2 2" xfId="8812"/>
    <cellStyle name="Percent 8 3 2 2 2" xfId="15360"/>
    <cellStyle name="Percent 8 3 2 3" xfId="7093"/>
    <cellStyle name="Percent 8 3 2 3 2" xfId="13779"/>
    <cellStyle name="Percent 8 3 2 4" xfId="11994"/>
    <cellStyle name="Percent 8 3 3" xfId="5441"/>
    <cellStyle name="Percent 8 3 3 2" xfId="9184"/>
    <cellStyle name="Percent 8 3 3 2 2" xfId="15728"/>
    <cellStyle name="Percent 8 3 3 3" xfId="7465"/>
    <cellStyle name="Percent 8 3 3 3 2" xfId="14147"/>
    <cellStyle name="Percent 8 3 3 4" xfId="12362"/>
    <cellStyle name="Percent 8 3 4" xfId="5879"/>
    <cellStyle name="Percent 8 3 4 2" xfId="9620"/>
    <cellStyle name="Percent 8 3 4 2 2" xfId="16122"/>
    <cellStyle name="Percent 8 3 4 3" xfId="7901"/>
    <cellStyle name="Percent 8 3 4 3 2" xfId="14541"/>
    <cellStyle name="Percent 8 3 4 4" xfId="12772"/>
    <cellStyle name="Percent 8 3 5" xfId="10065"/>
    <cellStyle name="Percent 8 3 5 2" xfId="16546"/>
    <cellStyle name="Percent 8 3 6" xfId="8378"/>
    <cellStyle name="Percent 8 3 6 2" xfId="14935"/>
    <cellStyle name="Percent 8 3 7" xfId="6659"/>
    <cellStyle name="Percent 8 3 7 2" xfId="13349"/>
    <cellStyle name="Percent 8 3 8" xfId="11559"/>
    <cellStyle name="Percent 8 4" xfId="4706"/>
    <cellStyle name="Percent 8 4 2" xfId="8450"/>
    <cellStyle name="Percent 8 4 2 2" xfId="15002"/>
    <cellStyle name="Percent 8 4 3" xfId="6731"/>
    <cellStyle name="Percent 8 4 3 2" xfId="13421"/>
    <cellStyle name="Percent 8 4 4" xfId="11635"/>
    <cellStyle name="Percent 8 5" xfId="5244"/>
    <cellStyle name="Percent 8 5 2" xfId="8987"/>
    <cellStyle name="Percent 8 5 2 2" xfId="15531"/>
    <cellStyle name="Percent 8 5 3" xfId="7268"/>
    <cellStyle name="Percent 8 5 3 2" xfId="13950"/>
    <cellStyle name="Percent 8 5 4" xfId="12165"/>
    <cellStyle name="Percent 8 6" xfId="5677"/>
    <cellStyle name="Percent 8 6 2" xfId="9418"/>
    <cellStyle name="Percent 8 6 2 2" xfId="15925"/>
    <cellStyle name="Percent 8 6 3" xfId="7699"/>
    <cellStyle name="Percent 8 6 3 2" xfId="14344"/>
    <cellStyle name="Percent 8 6 4" xfId="12570"/>
    <cellStyle name="Percent 8 7" xfId="9694"/>
    <cellStyle name="Percent 8 7 2" xfId="16187"/>
    <cellStyle name="Percent 8 8" xfId="8140"/>
    <cellStyle name="Percent 8 8 2" xfId="14738"/>
    <cellStyle name="Percent 8 9" xfId="6422"/>
    <cellStyle name="Percent 8 9 2" xfId="13143"/>
    <cellStyle name="Percent 9" xfId="4273"/>
    <cellStyle name="Percent 9 10" xfId="11355"/>
    <cellStyle name="Percent 9 2" xfId="4274"/>
    <cellStyle name="Percent 9 2 2" xfId="4617"/>
    <cellStyle name="Percent 9 2 2 2" xfId="5070"/>
    <cellStyle name="Percent 9 2 2 2 2" xfId="8813"/>
    <cellStyle name="Percent 9 2 2 2 2 2" xfId="15361"/>
    <cellStyle name="Percent 9 2 2 2 3" xfId="7094"/>
    <cellStyle name="Percent 9 2 2 2 3 2" xfId="13780"/>
    <cellStyle name="Percent 9 2 2 2 4" xfId="11995"/>
    <cellStyle name="Percent 9 2 2 3" xfId="5444"/>
    <cellStyle name="Percent 9 2 2 3 2" xfId="9187"/>
    <cellStyle name="Percent 9 2 2 3 2 2" xfId="15731"/>
    <cellStyle name="Percent 9 2 2 3 3" xfId="7468"/>
    <cellStyle name="Percent 9 2 2 3 3 2" xfId="14150"/>
    <cellStyle name="Percent 9 2 2 3 4" xfId="12365"/>
    <cellStyle name="Percent 9 2 2 4" xfId="5882"/>
    <cellStyle name="Percent 9 2 2 4 2" xfId="9623"/>
    <cellStyle name="Percent 9 2 2 4 2 2" xfId="16125"/>
    <cellStyle name="Percent 9 2 2 4 3" xfId="7904"/>
    <cellStyle name="Percent 9 2 2 4 3 2" xfId="14544"/>
    <cellStyle name="Percent 9 2 2 4 4" xfId="12775"/>
    <cellStyle name="Percent 9 2 2 5" xfId="10066"/>
    <cellStyle name="Percent 9 2 2 5 2" xfId="16547"/>
    <cellStyle name="Percent 9 2 2 6" xfId="8381"/>
    <cellStyle name="Percent 9 2 2 6 2" xfId="14938"/>
    <cellStyle name="Percent 9 2 2 7" xfId="6662"/>
    <cellStyle name="Percent 9 2 2 7 2" xfId="13352"/>
    <cellStyle name="Percent 9 2 2 8" xfId="11562"/>
    <cellStyle name="Percent 9 2 3" xfId="4789"/>
    <cellStyle name="Percent 9 2 3 2" xfId="8532"/>
    <cellStyle name="Percent 9 2 3 2 2" xfId="15084"/>
    <cellStyle name="Percent 9 2 3 3" xfId="6813"/>
    <cellStyle name="Percent 9 2 3 3 2" xfId="13503"/>
    <cellStyle name="Percent 9 2 3 4" xfId="11718"/>
    <cellStyle name="Percent 9 2 4" xfId="5247"/>
    <cellStyle name="Percent 9 2 4 2" xfId="8990"/>
    <cellStyle name="Percent 9 2 4 2 2" xfId="15534"/>
    <cellStyle name="Percent 9 2 4 3" xfId="7271"/>
    <cellStyle name="Percent 9 2 4 3 2" xfId="13953"/>
    <cellStyle name="Percent 9 2 4 4" xfId="12168"/>
    <cellStyle name="Percent 9 2 5" xfId="5680"/>
    <cellStyle name="Percent 9 2 5 2" xfId="9421"/>
    <cellStyle name="Percent 9 2 5 2 2" xfId="15928"/>
    <cellStyle name="Percent 9 2 5 3" xfId="7702"/>
    <cellStyle name="Percent 9 2 5 3 2" xfId="14347"/>
    <cellStyle name="Percent 9 2 5 4" xfId="12573"/>
    <cellStyle name="Percent 9 2 6" xfId="9779"/>
    <cellStyle name="Percent 9 2 6 2" xfId="16270"/>
    <cellStyle name="Percent 9 2 7" xfId="8143"/>
    <cellStyle name="Percent 9 2 7 2" xfId="14741"/>
    <cellStyle name="Percent 9 2 8" xfId="6425"/>
    <cellStyle name="Percent 9 2 8 2" xfId="13146"/>
    <cellStyle name="Percent 9 2 9" xfId="11356"/>
    <cellStyle name="Percent 9 3" xfId="4616"/>
    <cellStyle name="Percent 9 3 2" xfId="5071"/>
    <cellStyle name="Percent 9 3 2 2" xfId="8814"/>
    <cellStyle name="Percent 9 3 2 2 2" xfId="15362"/>
    <cellStyle name="Percent 9 3 2 3" xfId="7095"/>
    <cellStyle name="Percent 9 3 2 3 2" xfId="13781"/>
    <cellStyle name="Percent 9 3 2 4" xfId="11996"/>
    <cellStyle name="Percent 9 3 3" xfId="5443"/>
    <cellStyle name="Percent 9 3 3 2" xfId="9186"/>
    <cellStyle name="Percent 9 3 3 2 2" xfId="15730"/>
    <cellStyle name="Percent 9 3 3 3" xfId="7467"/>
    <cellStyle name="Percent 9 3 3 3 2" xfId="14149"/>
    <cellStyle name="Percent 9 3 3 4" xfId="12364"/>
    <cellStyle name="Percent 9 3 4" xfId="5881"/>
    <cellStyle name="Percent 9 3 4 2" xfId="9622"/>
    <cellStyle name="Percent 9 3 4 2 2" xfId="16124"/>
    <cellStyle name="Percent 9 3 4 3" xfId="7903"/>
    <cellStyle name="Percent 9 3 4 3 2" xfId="14543"/>
    <cellStyle name="Percent 9 3 4 4" xfId="12774"/>
    <cellStyle name="Percent 9 3 5" xfId="10067"/>
    <cellStyle name="Percent 9 3 5 2" xfId="16548"/>
    <cellStyle name="Percent 9 3 6" xfId="8380"/>
    <cellStyle name="Percent 9 3 6 2" xfId="14937"/>
    <cellStyle name="Percent 9 3 7" xfId="6661"/>
    <cellStyle name="Percent 9 3 7 2" xfId="13351"/>
    <cellStyle name="Percent 9 3 8" xfId="11561"/>
    <cellStyle name="Percent 9 4" xfId="4707"/>
    <cellStyle name="Percent 9 4 2" xfId="8451"/>
    <cellStyle name="Percent 9 4 2 2" xfId="15003"/>
    <cellStyle name="Percent 9 4 3" xfId="6732"/>
    <cellStyle name="Percent 9 4 3 2" xfId="13422"/>
    <cellStyle name="Percent 9 4 4" xfId="11636"/>
    <cellStyle name="Percent 9 5" xfId="5246"/>
    <cellStyle name="Percent 9 5 2" xfId="8989"/>
    <cellStyle name="Percent 9 5 2 2" xfId="15533"/>
    <cellStyle name="Percent 9 5 3" xfId="7270"/>
    <cellStyle name="Percent 9 5 3 2" xfId="13952"/>
    <cellStyle name="Percent 9 5 4" xfId="12167"/>
    <cellStyle name="Percent 9 6" xfId="5679"/>
    <cellStyle name="Percent 9 6 2" xfId="9420"/>
    <cellStyle name="Percent 9 6 2 2" xfId="15927"/>
    <cellStyle name="Percent 9 6 3" xfId="7701"/>
    <cellStyle name="Percent 9 6 3 2" xfId="14346"/>
    <cellStyle name="Percent 9 6 4" xfId="12572"/>
    <cellStyle name="Percent 9 7" xfId="9695"/>
    <cellStyle name="Percent 9 7 2" xfId="16188"/>
    <cellStyle name="Percent 9 8" xfId="8142"/>
    <cellStyle name="Percent 9 8 2" xfId="14740"/>
    <cellStyle name="Percent 9 9" xfId="6424"/>
    <cellStyle name="Percent 9 9 2" xfId="13145"/>
    <cellStyle name="Percent2" xfId="4275"/>
    <cellStyle name="percnt" xfId="4276"/>
    <cellStyle name="PGavStandard" xfId="4277"/>
    <cellStyle name="phasing" xfId="4278"/>
    <cellStyle name="point variable" xfId="4279"/>
    <cellStyle name="Print" xfId="4280"/>
    <cellStyle name="RangeName" xfId="4281"/>
    <cellStyle name="Ratio" xfId="4282"/>
    <cellStyle name="RISKbigPercent" xfId="4283"/>
    <cellStyle name="RISKblandrEdge" xfId="4284"/>
    <cellStyle name="RISKblCorner" xfId="4285"/>
    <cellStyle name="RISKbottomEdge" xfId="4286"/>
    <cellStyle name="RISKbrCorner" xfId="4287"/>
    <cellStyle name="RISKdarkBoxed" xfId="4288"/>
    <cellStyle name="RISKdarkBoxed 2" xfId="4289"/>
    <cellStyle name="RISKdarkBoxed 2 2" xfId="5474"/>
    <cellStyle name="RISKdarkBoxed 2 2 2" xfId="9217"/>
    <cellStyle name="RISKdarkBoxed 2 2 2 2" xfId="6228"/>
    <cellStyle name="RISKdarkBoxed 2 2 2 2 2" xfId="12953"/>
    <cellStyle name="RISKdarkBoxed 2 2 3" xfId="7498"/>
    <cellStyle name="RISKdarkBoxed 2 3" xfId="8146"/>
    <cellStyle name="RISKdarkBoxed 2 3 2" xfId="6169"/>
    <cellStyle name="RISKdarkBoxed 2 3 2 2" xfId="12894"/>
    <cellStyle name="RISKdarkBoxed 2 4" xfId="6427"/>
    <cellStyle name="RISKdarkBoxed 3" xfId="5473"/>
    <cellStyle name="RISKdarkBoxed 3 2" xfId="9216"/>
    <cellStyle name="RISKdarkBoxed 3 2 2" xfId="6227"/>
    <cellStyle name="RISKdarkBoxed 3 2 2 2" xfId="12952"/>
    <cellStyle name="RISKdarkBoxed 3 3" xfId="7497"/>
    <cellStyle name="RISKdarkBoxed 4" xfId="8145"/>
    <cellStyle name="RISKdarkBoxed 4 2" xfId="6168"/>
    <cellStyle name="RISKdarkBoxed 4 2 2" xfId="12893"/>
    <cellStyle name="RISKdarkBoxed 5" xfId="6426"/>
    <cellStyle name="RISKdarkShade" xfId="4290"/>
    <cellStyle name="RISKdbottomEdge" xfId="4291"/>
    <cellStyle name="RISKdrightEdge" xfId="4292"/>
    <cellStyle name="RISKdurationTime" xfId="4293"/>
    <cellStyle name="RISKinNumber" xfId="4294"/>
    <cellStyle name="RISKlandrEdge" xfId="4295"/>
    <cellStyle name="RISKleftEdge" xfId="4296"/>
    <cellStyle name="RISKlightBoxed" xfId="4297"/>
    <cellStyle name="RISKlightBoxed 2" xfId="10141"/>
    <cellStyle name="RISKltandbEdge" xfId="4298"/>
    <cellStyle name="RISKltandbEdge 2" xfId="4299"/>
    <cellStyle name="RISKltandbEdge 2 2" xfId="5476"/>
    <cellStyle name="RISKltandbEdge 2 2 2" xfId="9219"/>
    <cellStyle name="RISKltandbEdge 2 2 2 2" xfId="6230"/>
    <cellStyle name="RISKltandbEdge 2 2 2 2 2" xfId="12955"/>
    <cellStyle name="RISKltandbEdge 2 2 3" xfId="7500"/>
    <cellStyle name="RISKltandbEdge 2 3" xfId="8148"/>
    <cellStyle name="RISKltandbEdge 2 3 2" xfId="6171"/>
    <cellStyle name="RISKltandbEdge 2 3 2 2" xfId="12896"/>
    <cellStyle name="RISKltandbEdge 2 4" xfId="6429"/>
    <cellStyle name="RISKltandbEdge 3" xfId="5475"/>
    <cellStyle name="RISKltandbEdge 3 2" xfId="9218"/>
    <cellStyle name="RISKltandbEdge 3 2 2" xfId="6229"/>
    <cellStyle name="RISKltandbEdge 3 2 2 2" xfId="12954"/>
    <cellStyle name="RISKltandbEdge 3 3" xfId="7499"/>
    <cellStyle name="RISKltandbEdge 4" xfId="8147"/>
    <cellStyle name="RISKltandbEdge 4 2" xfId="6170"/>
    <cellStyle name="RISKltandbEdge 4 2 2" xfId="12895"/>
    <cellStyle name="RISKltandbEdge 5" xfId="6428"/>
    <cellStyle name="RISKnormBoxed" xfId="4300"/>
    <cellStyle name="RISKnormBoxed 2" xfId="10142"/>
    <cellStyle name="RISKnormCenter" xfId="4301"/>
    <cellStyle name="RISKnormHeading" xfId="4302"/>
    <cellStyle name="RISKnormItal" xfId="4303"/>
    <cellStyle name="RISKnormLabel" xfId="4304"/>
    <cellStyle name="RISKnormShade" xfId="4305"/>
    <cellStyle name="RISKnormTitle" xfId="4306"/>
    <cellStyle name="RISKoutNumber" xfId="4307"/>
    <cellStyle name="RISKrightEdge" xfId="4308"/>
    <cellStyle name="RISKrtandbEdge" xfId="4309"/>
    <cellStyle name="RISKrtandbEdge 2" xfId="4310"/>
    <cellStyle name="RISKrtandbEdge 2 2" xfId="5478"/>
    <cellStyle name="RISKrtandbEdge 2 2 2" xfId="9221"/>
    <cellStyle name="RISKrtandbEdge 2 2 2 2" xfId="6232"/>
    <cellStyle name="RISKrtandbEdge 2 2 2 2 2" xfId="12957"/>
    <cellStyle name="RISKrtandbEdge 2 2 3" xfId="7502"/>
    <cellStyle name="RISKrtandbEdge 2 3" xfId="8150"/>
    <cellStyle name="RISKrtandbEdge 2 3 2" xfId="6173"/>
    <cellStyle name="RISKrtandbEdge 2 3 2 2" xfId="12898"/>
    <cellStyle name="RISKrtandbEdge 2 4" xfId="6431"/>
    <cellStyle name="RISKrtandbEdge 3" xfId="5477"/>
    <cellStyle name="RISKrtandbEdge 3 2" xfId="9220"/>
    <cellStyle name="RISKrtandbEdge 3 2 2" xfId="6231"/>
    <cellStyle name="RISKrtandbEdge 3 2 2 2" xfId="12956"/>
    <cellStyle name="RISKrtandbEdge 3 3" xfId="7501"/>
    <cellStyle name="RISKrtandbEdge 4" xfId="8149"/>
    <cellStyle name="RISKrtandbEdge 4 2" xfId="6172"/>
    <cellStyle name="RISKrtandbEdge 4 2 2" xfId="12897"/>
    <cellStyle name="RISKrtandbEdge 5" xfId="6430"/>
    <cellStyle name="RISKssTime" xfId="4311"/>
    <cellStyle name="RISKtandbEdge" xfId="4312"/>
    <cellStyle name="RISKtandbEdge 2" xfId="4313"/>
    <cellStyle name="RISKtandbEdge 2 2" xfId="5480"/>
    <cellStyle name="RISKtandbEdge 2 2 2" xfId="9223"/>
    <cellStyle name="RISKtandbEdge 2 2 2 2" xfId="6234"/>
    <cellStyle name="RISKtandbEdge 2 2 2 2 2" xfId="12959"/>
    <cellStyle name="RISKtandbEdge 2 2 3" xfId="7504"/>
    <cellStyle name="RISKtandbEdge 2 3" xfId="8152"/>
    <cellStyle name="RISKtandbEdge 2 3 2" xfId="6175"/>
    <cellStyle name="RISKtandbEdge 2 3 2 2" xfId="12900"/>
    <cellStyle name="RISKtandbEdge 2 4" xfId="6433"/>
    <cellStyle name="RISKtandbEdge 3" xfId="5479"/>
    <cellStyle name="RISKtandbEdge 3 2" xfId="9222"/>
    <cellStyle name="RISKtandbEdge 3 2 2" xfId="6233"/>
    <cellStyle name="RISKtandbEdge 3 2 2 2" xfId="12958"/>
    <cellStyle name="RISKtandbEdge 3 3" xfId="7503"/>
    <cellStyle name="RISKtandbEdge 4" xfId="8151"/>
    <cellStyle name="RISKtandbEdge 4 2" xfId="6174"/>
    <cellStyle name="RISKtandbEdge 4 2 2" xfId="12899"/>
    <cellStyle name="RISKtandbEdge 5" xfId="6432"/>
    <cellStyle name="RISKtlandrEdge" xfId="4314"/>
    <cellStyle name="RISKtlandrEdge 2" xfId="4315"/>
    <cellStyle name="RISKtlandrEdge 2 2" xfId="5482"/>
    <cellStyle name="RISKtlandrEdge 2 2 2" xfId="9225"/>
    <cellStyle name="RISKtlandrEdge 2 2 2 2" xfId="6236"/>
    <cellStyle name="RISKtlandrEdge 2 2 2 2 2" xfId="12961"/>
    <cellStyle name="RISKtlandrEdge 2 2 3" xfId="7506"/>
    <cellStyle name="RISKtlandrEdge 2 3" xfId="8154"/>
    <cellStyle name="RISKtlandrEdge 2 3 2" xfId="6177"/>
    <cellStyle name="RISKtlandrEdge 2 3 2 2" xfId="12902"/>
    <cellStyle name="RISKtlandrEdge 2 4" xfId="6435"/>
    <cellStyle name="RISKtlandrEdge 3" xfId="5481"/>
    <cellStyle name="RISKtlandrEdge 3 2" xfId="9224"/>
    <cellStyle name="RISKtlandrEdge 3 2 2" xfId="6235"/>
    <cellStyle name="RISKtlandrEdge 3 2 2 2" xfId="12960"/>
    <cellStyle name="RISKtlandrEdge 3 3" xfId="7505"/>
    <cellStyle name="RISKtlandrEdge 4" xfId="8153"/>
    <cellStyle name="RISKtlandrEdge 4 2" xfId="6176"/>
    <cellStyle name="RISKtlandrEdge 4 2 2" xfId="12901"/>
    <cellStyle name="RISKtlandrEdge 5" xfId="6434"/>
    <cellStyle name="RISKtlCorner" xfId="4316"/>
    <cellStyle name="RISKtlCorner 2" xfId="4317"/>
    <cellStyle name="RISKtlCorner 2 2" xfId="5484"/>
    <cellStyle name="RISKtlCorner 2 2 2" xfId="9227"/>
    <cellStyle name="RISKtlCorner 2 2 2 2" xfId="6238"/>
    <cellStyle name="RISKtlCorner 2 2 2 2 2" xfId="12963"/>
    <cellStyle name="RISKtlCorner 2 2 3" xfId="7508"/>
    <cellStyle name="RISKtlCorner 2 3" xfId="8156"/>
    <cellStyle name="RISKtlCorner 2 3 2" xfId="6179"/>
    <cellStyle name="RISKtlCorner 2 3 2 2" xfId="12904"/>
    <cellStyle name="RISKtlCorner 2 4" xfId="6437"/>
    <cellStyle name="RISKtlCorner 3" xfId="5483"/>
    <cellStyle name="RISKtlCorner 3 2" xfId="9226"/>
    <cellStyle name="RISKtlCorner 3 2 2" xfId="6237"/>
    <cellStyle name="RISKtlCorner 3 2 2 2" xfId="12962"/>
    <cellStyle name="RISKtlCorner 3 3" xfId="7507"/>
    <cellStyle name="RISKtlCorner 4" xfId="8155"/>
    <cellStyle name="RISKtlCorner 4 2" xfId="6178"/>
    <cellStyle name="RISKtlCorner 4 2 2" xfId="12903"/>
    <cellStyle name="RISKtlCorner 5" xfId="6436"/>
    <cellStyle name="RISKtopEdge" xfId="4318"/>
    <cellStyle name="RISKtopEdge 2" xfId="4319"/>
    <cellStyle name="RISKtopEdge 2 2" xfId="5486"/>
    <cellStyle name="RISKtopEdge 2 2 2" xfId="9229"/>
    <cellStyle name="RISKtopEdge 2 2 2 2" xfId="6240"/>
    <cellStyle name="RISKtopEdge 2 2 2 2 2" xfId="12965"/>
    <cellStyle name="RISKtopEdge 2 2 3" xfId="7510"/>
    <cellStyle name="RISKtopEdge 2 3" xfId="8158"/>
    <cellStyle name="RISKtopEdge 2 3 2" xfId="6181"/>
    <cellStyle name="RISKtopEdge 2 3 2 2" xfId="12906"/>
    <cellStyle name="RISKtopEdge 2 4" xfId="6439"/>
    <cellStyle name="RISKtopEdge 3" xfId="5485"/>
    <cellStyle name="RISKtopEdge 3 2" xfId="9228"/>
    <cellStyle name="RISKtopEdge 3 2 2" xfId="6239"/>
    <cellStyle name="RISKtopEdge 3 2 2 2" xfId="12964"/>
    <cellStyle name="RISKtopEdge 3 3" xfId="7509"/>
    <cellStyle name="RISKtopEdge 4" xfId="8157"/>
    <cellStyle name="RISKtopEdge 4 2" xfId="6180"/>
    <cellStyle name="RISKtopEdge 4 2 2" xfId="12905"/>
    <cellStyle name="RISKtopEdge 5" xfId="6438"/>
    <cellStyle name="RISKtrCorner" xfId="4320"/>
    <cellStyle name="RISKtrCorner 2" xfId="4321"/>
    <cellStyle name="RISKtrCorner 2 2" xfId="5488"/>
    <cellStyle name="RISKtrCorner 2 2 2" xfId="9231"/>
    <cellStyle name="RISKtrCorner 2 2 2 2" xfId="6242"/>
    <cellStyle name="RISKtrCorner 2 2 2 2 2" xfId="12967"/>
    <cellStyle name="RISKtrCorner 2 2 3" xfId="7512"/>
    <cellStyle name="RISKtrCorner 2 3" xfId="8160"/>
    <cellStyle name="RISKtrCorner 2 3 2" xfId="6183"/>
    <cellStyle name="RISKtrCorner 2 3 2 2" xfId="12908"/>
    <cellStyle name="RISKtrCorner 2 4" xfId="6441"/>
    <cellStyle name="RISKtrCorner 3" xfId="5487"/>
    <cellStyle name="RISKtrCorner 3 2" xfId="9230"/>
    <cellStyle name="RISKtrCorner 3 2 2" xfId="6241"/>
    <cellStyle name="RISKtrCorner 3 2 2 2" xfId="12966"/>
    <cellStyle name="RISKtrCorner 3 3" xfId="7511"/>
    <cellStyle name="RISKtrCorner 4" xfId="8159"/>
    <cellStyle name="RISKtrCorner 4 2" xfId="6182"/>
    <cellStyle name="RISKtrCorner 4 2 2" xfId="12907"/>
    <cellStyle name="RISKtrCorner 5" xfId="6440"/>
    <cellStyle name="Sect_Title" xfId="4322"/>
    <cellStyle name="Section Heading" xfId="4323"/>
    <cellStyle name="Section Title no wrap" xfId="4324"/>
    <cellStyle name="Section Title wrap" xfId="4325"/>
    <cellStyle name="sheet background" xfId="4326"/>
    <cellStyle name="Sheet Title" xfId="4327"/>
    <cellStyle name="Sheet_Title" xfId="4328"/>
    <cellStyle name="Sous-Total" xfId="4329"/>
    <cellStyle name="Standard_RESULTS" xfId="4330"/>
    <cellStyle name="Std_%" xfId="4331"/>
    <cellStyle name="String point input" xfId="4332"/>
    <cellStyle name="stu" xfId="4333"/>
    <cellStyle name="Style 1" xfId="4334"/>
    <cellStyle name="Sub Heading 1" xfId="4335"/>
    <cellStyle name="Sub Heading 2" xfId="4336"/>
    <cellStyle name="Sub Heading 3" xfId="4337"/>
    <cellStyle name="Sub_sub_title" xfId="4338"/>
    <cellStyle name="Subheading" xfId="4339"/>
    <cellStyle name="SubHeading1" xfId="4340"/>
    <cellStyle name="SubHeading2" xfId="4341"/>
    <cellStyle name="Subsection Heading" xfId="4342"/>
    <cellStyle name="Sub-section heading" xfId="4343"/>
    <cellStyle name="subtitle" xfId="4344"/>
    <cellStyle name="subtotal" xfId="4345"/>
    <cellStyle name="Sub-Total" xfId="4346"/>
    <cellStyle name="subtotal 10" xfId="7977"/>
    <cellStyle name="Sub-Total 10" xfId="7967"/>
    <cellStyle name="subtotal 10 2" xfId="6139"/>
    <cellStyle name="Sub-Total 10 2" xfId="6131"/>
    <cellStyle name="subtotal 10 2 2" xfId="12864"/>
    <cellStyle name="Sub-Total 10 2 2" xfId="12856"/>
    <cellStyle name="subtotal 11" xfId="7968"/>
    <cellStyle name="Sub-Total 11" xfId="7973"/>
    <cellStyle name="subtotal 11 2" xfId="6132"/>
    <cellStyle name="Sub-Total 11 2" xfId="6135"/>
    <cellStyle name="subtotal 11 2 2" xfId="12857"/>
    <cellStyle name="Sub-Total 11 2 2" xfId="12860"/>
    <cellStyle name="subtotal 12" xfId="7972"/>
    <cellStyle name="Sub-Total 12" xfId="10103"/>
    <cellStyle name="subtotal 12 2" xfId="6134"/>
    <cellStyle name="Sub-Total 12 2" xfId="10205"/>
    <cellStyle name="subtotal 12 2 2" xfId="12859"/>
    <cellStyle name="Sub-Total 12 2 2" xfId="16590"/>
    <cellStyle name="subtotal 13" xfId="10093"/>
    <cellStyle name="Sub-Total 13" xfId="6443"/>
    <cellStyle name="subtotal 13 2" xfId="10195"/>
    <cellStyle name="subtotal 13 2 2" xfId="16580"/>
    <cellStyle name="subtotal 14" xfId="6442"/>
    <cellStyle name="Sub-Total 14" xfId="10144"/>
    <cellStyle name="subtotal 15" xfId="10143"/>
    <cellStyle name="Sub-Total 15" xfId="5946"/>
    <cellStyle name="Sub-Total 15 2" xfId="12834"/>
    <cellStyle name="subtotal 16" xfId="5945"/>
    <cellStyle name="Sub-Total 16" xfId="11358"/>
    <cellStyle name="subtotal 16 2" xfId="12833"/>
    <cellStyle name="subtotal 17" xfId="11357"/>
    <cellStyle name="Sub-Total 17" xfId="16638"/>
    <cellStyle name="subtotal 18" xfId="16637"/>
    <cellStyle name="subtotal 2" xfId="4347"/>
    <cellStyle name="Sub-Total 2" xfId="4348"/>
    <cellStyle name="subtotal 2 10" xfId="8163"/>
    <cellStyle name="Sub-Total 2 10" xfId="7974"/>
    <cellStyle name="subtotal 2 10 2" xfId="6186"/>
    <cellStyle name="Sub-Total 2 10 2" xfId="6136"/>
    <cellStyle name="subtotal 2 10 2 2" xfId="12911"/>
    <cellStyle name="Sub-Total 2 10 2 2" xfId="12861"/>
    <cellStyle name="subtotal 2 11" xfId="6444"/>
    <cellStyle name="Sub-Total 2 11" xfId="10083"/>
    <cellStyle name="subtotal 2 11 2" xfId="13147"/>
    <cellStyle name="Sub-Total 2 11 2" xfId="10185"/>
    <cellStyle name="Sub-Total 2 11 2 2" xfId="16570"/>
    <cellStyle name="subtotal 2 12" xfId="10145"/>
    <cellStyle name="Sub-Total 2 12" xfId="6445"/>
    <cellStyle name="subtotal 2 12 2" xfId="16552"/>
    <cellStyle name="Sub-Total 2 13" xfId="10146"/>
    <cellStyle name="Sub-Total 2 14" xfId="5947"/>
    <cellStyle name="Sub-Total 2 14 2" xfId="12835"/>
    <cellStyle name="Sub-Total 2 15" xfId="11359"/>
    <cellStyle name="Sub-Total 2 16" xfId="16641"/>
    <cellStyle name="subtotal 2 2" xfId="4349"/>
    <cellStyle name="Sub-Total 2 2" xfId="5492"/>
    <cellStyle name="subtotal 2 2 10" xfId="7975"/>
    <cellStyle name="subtotal 2 2 10 2" xfId="6137"/>
    <cellStyle name="subtotal 2 2 10 2 2" xfId="12862"/>
    <cellStyle name="subtotal 2 2 11" xfId="10091"/>
    <cellStyle name="subtotal 2 2 11 2" xfId="10193"/>
    <cellStyle name="subtotal 2 2 11 2 2" xfId="16578"/>
    <cellStyle name="subtotal 2 2 12" xfId="6446"/>
    <cellStyle name="subtotal 2 2 13" xfId="10147"/>
    <cellStyle name="subtotal 2 2 14" xfId="5948"/>
    <cellStyle name="subtotal 2 2 14 2" xfId="12836"/>
    <cellStyle name="subtotal 2 2 15" xfId="11360"/>
    <cellStyle name="subtotal 2 2 16" xfId="16649"/>
    <cellStyle name="subtotal 2 2 2" xfId="5493"/>
    <cellStyle name="Sub-Total 2 2 2" xfId="9235"/>
    <cellStyle name="subtotal 2 2 2 2" xfId="9236"/>
    <cellStyle name="Sub-Total 2 2 2 2" xfId="6246"/>
    <cellStyle name="subtotal 2 2 2 2 2" xfId="6247"/>
    <cellStyle name="Sub-Total 2 2 2 2 2" xfId="12971"/>
    <cellStyle name="subtotal 2 2 2 2 2 2" xfId="12972"/>
    <cellStyle name="subtotal 2 2 2 3" xfId="7517"/>
    <cellStyle name="subtotal 2 2 2 4" xfId="10162"/>
    <cellStyle name="subtotal 2 2 2 5" xfId="12398"/>
    <cellStyle name="subtotal 2 2 3" xfId="5684"/>
    <cellStyle name="Sub-Total 2 2 3" xfId="7516"/>
    <cellStyle name="subtotal 2 2 3 2" xfId="9425"/>
    <cellStyle name="subtotal 2 2 3 2 2" xfId="6267"/>
    <cellStyle name="subtotal 2 2 3 2 2 2" xfId="12992"/>
    <cellStyle name="subtotal 2 2 3 3" xfId="7706"/>
    <cellStyle name="subtotal 2 2 3 4" xfId="10170"/>
    <cellStyle name="subtotal 2 2 3 5" xfId="12577"/>
    <cellStyle name="subtotal 2 2 4" xfId="9805"/>
    <cellStyle name="Sub-Total 2 2 4" xfId="10161"/>
    <cellStyle name="subtotal 2 2 4 2" xfId="10119"/>
    <cellStyle name="subtotal 2 2 4 2 2" xfId="10221"/>
    <cellStyle name="subtotal 2 2 4 2 2 2" xfId="16606"/>
    <cellStyle name="subtotal 2 2 4 3" xfId="6367"/>
    <cellStyle name="subtotal 2 2 4 3 2" xfId="13090"/>
    <cellStyle name="subtotal 2 2 5" xfId="10073"/>
    <cellStyle name="Sub-Total 2 2 5" xfId="12397"/>
    <cellStyle name="subtotal 2 2 5 2" xfId="10134"/>
    <cellStyle name="subtotal 2 2 5 2 2" xfId="10236"/>
    <cellStyle name="subtotal 2 2 5 2 2 2" xfId="16621"/>
    <cellStyle name="subtotal 2 2 5 3" xfId="10175"/>
    <cellStyle name="subtotal 2 2 5 3 2" xfId="16560"/>
    <cellStyle name="subtotal 2 2 6" xfId="8165"/>
    <cellStyle name="subtotal 2 2 6 2" xfId="6188"/>
    <cellStyle name="subtotal 2 2 6 2 2" xfId="12913"/>
    <cellStyle name="subtotal 2 2 7" xfId="10080"/>
    <cellStyle name="subtotal 2 2 7 2" xfId="10182"/>
    <cellStyle name="subtotal 2 2 7 2 2" xfId="16567"/>
    <cellStyle name="subtotal 2 2 8" xfId="7980"/>
    <cellStyle name="subtotal 2 2 8 2" xfId="6142"/>
    <cellStyle name="subtotal 2 2 8 2 2" xfId="12867"/>
    <cellStyle name="subtotal 2 2 9" xfId="7965"/>
    <cellStyle name="subtotal 2 2 9 2" xfId="6129"/>
    <cellStyle name="subtotal 2 2 9 2 2" xfId="12854"/>
    <cellStyle name="subtotal 2 3" xfId="4663"/>
    <cellStyle name="Sub-Total 2 3" xfId="5683"/>
    <cellStyle name="subtotal 2 3 2" xfId="5506"/>
    <cellStyle name="Sub-Total 2 3 2" xfId="9424"/>
    <cellStyle name="subtotal 2 3 2 10" xfId="6120"/>
    <cellStyle name="subtotal 2 3 2 10 2" xfId="12845"/>
    <cellStyle name="subtotal 2 3 2 11" xfId="12400"/>
    <cellStyle name="subtotal 2 3 2 2" xfId="9248"/>
    <cellStyle name="Sub-Total 2 3 2 2" xfId="6266"/>
    <cellStyle name="subtotal 2 3 2 2 2" xfId="6259"/>
    <cellStyle name="Sub-Total 2 3 2 2 2" xfId="12991"/>
    <cellStyle name="subtotal 2 3 2 2 2 2" xfId="12984"/>
    <cellStyle name="subtotal 2 3 2 3" xfId="10097"/>
    <cellStyle name="subtotal 2 3 2 3 2" xfId="10199"/>
    <cellStyle name="subtotal 2 3 2 3 2 2" xfId="16584"/>
    <cellStyle name="subtotal 2 3 2 4" xfId="7995"/>
    <cellStyle name="subtotal 2 3 2 4 2" xfId="6151"/>
    <cellStyle name="subtotal 2 3 2 4 2 2" xfId="12876"/>
    <cellStyle name="subtotal 2 3 2 5" xfId="7963"/>
    <cellStyle name="subtotal 2 3 2 5 2" xfId="6127"/>
    <cellStyle name="subtotal 2 3 2 5 2 2" xfId="12852"/>
    <cellStyle name="subtotal 2 3 2 6" xfId="8144"/>
    <cellStyle name="subtotal 2 3 2 6 2" xfId="6167"/>
    <cellStyle name="subtotal 2 3 2 6 2 2" xfId="12892"/>
    <cellStyle name="subtotal 2 3 2 7" xfId="10094"/>
    <cellStyle name="subtotal 2 3 2 7 2" xfId="10196"/>
    <cellStyle name="subtotal 2 3 2 7 2 2" xfId="16581"/>
    <cellStyle name="subtotal 2 3 2 8" xfId="7529"/>
    <cellStyle name="subtotal 2 3 2 9" xfId="10164"/>
    <cellStyle name="subtotal 2 3 3" xfId="9840"/>
    <cellStyle name="Sub-Total 2 3 3" xfId="7705"/>
    <cellStyle name="subtotal 2 3 3 2" xfId="10125"/>
    <cellStyle name="subtotal 2 3 3 2 2" xfId="10227"/>
    <cellStyle name="subtotal 2 3 3 2 2 2" xfId="16612"/>
    <cellStyle name="subtotal 2 3 3 3" xfId="6374"/>
    <cellStyle name="subtotal 2 3 3 3 2" xfId="13095"/>
    <cellStyle name="subtotal 2 3 4" xfId="8410"/>
    <cellStyle name="Sub-Total 2 3 4" xfId="10169"/>
    <cellStyle name="subtotal 2 3 4 2" xfId="6208"/>
    <cellStyle name="subtotal 2 3 4 2 2" xfId="12933"/>
    <cellStyle name="subtotal 2 3 5" xfId="6691"/>
    <cellStyle name="Sub-Total 2 3 5" xfId="12576"/>
    <cellStyle name="subtotal 2 3 5 2" xfId="13381"/>
    <cellStyle name="subtotal 2 3 6" xfId="10153"/>
    <cellStyle name="subtotal 2 3 6 2" xfId="16553"/>
    <cellStyle name="subtotal 2 4" xfId="4664"/>
    <cellStyle name="Sub-Total 2 4" xfId="9743"/>
    <cellStyle name="subtotal 2 4 2" xfId="5507"/>
    <cellStyle name="Sub-Total 2 4 2" xfId="10115"/>
    <cellStyle name="subtotal 2 4 2 10" xfId="6121"/>
    <cellStyle name="subtotal 2 4 2 10 2" xfId="12846"/>
    <cellStyle name="subtotal 2 4 2 11" xfId="12401"/>
    <cellStyle name="subtotal 2 4 2 2" xfId="9249"/>
    <cellStyle name="Sub-Total 2 4 2 2" xfId="10217"/>
    <cellStyle name="subtotal 2 4 2 2 2" xfId="6260"/>
    <cellStyle name="Sub-Total 2 4 2 2 2" xfId="16602"/>
    <cellStyle name="subtotal 2 4 2 2 2 2" xfId="12985"/>
    <cellStyle name="subtotal 2 4 2 3" xfId="10098"/>
    <cellStyle name="subtotal 2 4 2 3 2" xfId="10200"/>
    <cellStyle name="subtotal 2 4 2 3 2 2" xfId="16585"/>
    <cellStyle name="subtotal 2 4 2 4" xfId="7996"/>
    <cellStyle name="subtotal 2 4 2 4 2" xfId="6152"/>
    <cellStyle name="subtotal 2 4 2 4 2 2" xfId="12877"/>
    <cellStyle name="subtotal 2 4 2 5" xfId="7962"/>
    <cellStyle name="subtotal 2 4 2 5 2" xfId="6126"/>
    <cellStyle name="subtotal 2 4 2 5 2 2" xfId="12851"/>
    <cellStyle name="subtotal 2 4 2 6" xfId="7982"/>
    <cellStyle name="subtotal 2 4 2 6 2" xfId="6144"/>
    <cellStyle name="subtotal 2 4 2 6 2 2" xfId="12869"/>
    <cellStyle name="subtotal 2 4 2 7" xfId="10092"/>
    <cellStyle name="subtotal 2 4 2 7 2" xfId="10194"/>
    <cellStyle name="subtotal 2 4 2 7 2 2" xfId="16579"/>
    <cellStyle name="subtotal 2 4 2 8" xfId="7530"/>
    <cellStyle name="subtotal 2 4 2 9" xfId="10165"/>
    <cellStyle name="subtotal 2 4 3" xfId="9841"/>
    <cellStyle name="Sub-Total 2 4 3" xfId="8016"/>
    <cellStyle name="subtotal 2 4 3 2" xfId="10126"/>
    <cellStyle name="Sub-Total 2 4 3 2" xfId="6162"/>
    <cellStyle name="subtotal 2 4 3 2 2" xfId="10228"/>
    <cellStyle name="Sub-Total 2 4 3 2 2" xfId="12887"/>
    <cellStyle name="subtotal 2 4 3 2 2 2" xfId="16613"/>
    <cellStyle name="subtotal 2 4 3 3" xfId="10131"/>
    <cellStyle name="subtotal 2 4 3 3 2" xfId="10233"/>
    <cellStyle name="subtotal 2 4 3 3 2 2" xfId="16618"/>
    <cellStyle name="subtotal 2 4 3 4" xfId="7984"/>
    <cellStyle name="subtotal 2 4 3 4 2" xfId="6146"/>
    <cellStyle name="subtotal 2 4 3 4 2 2" xfId="12871"/>
    <cellStyle name="subtotal 2 4 3 5" xfId="10130"/>
    <cellStyle name="subtotal 2 4 3 5 2" xfId="10232"/>
    <cellStyle name="subtotal 2 4 3 5 2 2" xfId="16617"/>
    <cellStyle name="subtotal 2 4 3 6" xfId="6375"/>
    <cellStyle name="subtotal 2 4 3 6 2" xfId="13096"/>
    <cellStyle name="subtotal 2 4 4" xfId="8411"/>
    <cellStyle name="Sub-Total 2 4 4" xfId="10124"/>
    <cellStyle name="subtotal 2 4 4 2" xfId="6209"/>
    <cellStyle name="Sub-Total 2 4 4 2" xfId="10226"/>
    <cellStyle name="subtotal 2 4 4 2 2" xfId="12934"/>
    <cellStyle name="Sub-Total 2 4 4 2 2" xfId="16611"/>
    <cellStyle name="subtotal 2 4 5" xfId="6692"/>
    <cellStyle name="Sub-Total 2 4 5" xfId="8000"/>
    <cellStyle name="subtotal 2 4 5 2" xfId="13382"/>
    <cellStyle name="Sub-Total 2 4 5 2" xfId="6156"/>
    <cellStyle name="Sub-Total 2 4 5 2 2" xfId="12881"/>
    <cellStyle name="subtotal 2 4 6" xfId="10154"/>
    <cellStyle name="Sub-Total 2 4 6" xfId="10090"/>
    <cellStyle name="subtotal 2 4 6 2" xfId="16554"/>
    <cellStyle name="Sub-Total 2 4 6 2" xfId="10192"/>
    <cellStyle name="Sub-Total 2 4 6 2 2" xfId="16577"/>
    <cellStyle name="Sub-Total 2 4 7" xfId="6290"/>
    <cellStyle name="Sub-Total 2 4 7 2" xfId="13013"/>
    <cellStyle name="subtotal 2 5" xfId="4665"/>
    <cellStyle name="Sub-Total 2 5" xfId="10071"/>
    <cellStyle name="subtotal 2 5 2" xfId="5508"/>
    <cellStyle name="Sub-Total 2 5 2" xfId="10132"/>
    <cellStyle name="subtotal 2 5 2 10" xfId="6122"/>
    <cellStyle name="subtotal 2 5 2 10 2" xfId="12847"/>
    <cellStyle name="subtotal 2 5 2 11" xfId="12402"/>
    <cellStyle name="subtotal 2 5 2 2" xfId="9250"/>
    <cellStyle name="Sub-Total 2 5 2 2" xfId="10234"/>
    <cellStyle name="subtotal 2 5 2 2 2" xfId="6261"/>
    <cellStyle name="Sub-Total 2 5 2 2 2" xfId="16619"/>
    <cellStyle name="subtotal 2 5 2 2 2 2" xfId="12986"/>
    <cellStyle name="subtotal 2 5 2 3" xfId="10099"/>
    <cellStyle name="subtotal 2 5 2 3 2" xfId="10201"/>
    <cellStyle name="subtotal 2 5 2 3 2 2" xfId="16586"/>
    <cellStyle name="subtotal 2 5 2 4" xfId="7997"/>
    <cellStyle name="subtotal 2 5 2 4 2" xfId="6153"/>
    <cellStyle name="subtotal 2 5 2 4 2 2" xfId="12878"/>
    <cellStyle name="subtotal 2 5 2 5" xfId="7961"/>
    <cellStyle name="subtotal 2 5 2 5 2" xfId="6125"/>
    <cellStyle name="subtotal 2 5 2 5 2 2" xfId="12850"/>
    <cellStyle name="subtotal 2 5 2 6" xfId="7983"/>
    <cellStyle name="subtotal 2 5 2 6 2" xfId="6145"/>
    <cellStyle name="subtotal 2 5 2 6 2 2" xfId="12870"/>
    <cellStyle name="subtotal 2 5 2 7" xfId="10076"/>
    <cellStyle name="subtotal 2 5 2 7 2" xfId="10178"/>
    <cellStyle name="subtotal 2 5 2 7 2 2" xfId="16563"/>
    <cellStyle name="subtotal 2 5 2 8" xfId="7531"/>
    <cellStyle name="subtotal 2 5 2 9" xfId="10166"/>
    <cellStyle name="subtotal 2 5 3" xfId="9842"/>
    <cellStyle name="Sub-Total 2 5 3" xfId="10135"/>
    <cellStyle name="subtotal 2 5 3 2" xfId="10127"/>
    <cellStyle name="Sub-Total 2 5 3 2" xfId="10237"/>
    <cellStyle name="subtotal 2 5 3 2 2" xfId="10229"/>
    <cellStyle name="Sub-Total 2 5 3 2 2" xfId="16622"/>
    <cellStyle name="subtotal 2 5 3 2 2 2" xfId="16614"/>
    <cellStyle name="subtotal 2 5 3 3" xfId="10084"/>
    <cellStyle name="subtotal 2 5 3 3 2" xfId="10186"/>
    <cellStyle name="subtotal 2 5 3 3 2 2" xfId="16571"/>
    <cellStyle name="subtotal 2 5 3 4" xfId="7990"/>
    <cellStyle name="subtotal 2 5 3 4 2" xfId="6148"/>
    <cellStyle name="subtotal 2 5 3 4 2 2" xfId="12873"/>
    <cellStyle name="subtotal 2 5 3 5" xfId="10137"/>
    <cellStyle name="subtotal 2 5 3 5 2" xfId="10239"/>
    <cellStyle name="subtotal 2 5 3 5 2 2" xfId="16624"/>
    <cellStyle name="subtotal 2 5 3 6" xfId="6376"/>
    <cellStyle name="subtotal 2 5 3 6 2" xfId="13097"/>
    <cellStyle name="subtotal 2 5 4" xfId="8412"/>
    <cellStyle name="Sub-Total 2 5 4" xfId="10138"/>
    <cellStyle name="subtotal 2 5 4 2" xfId="6210"/>
    <cellStyle name="Sub-Total 2 5 4 2" xfId="10240"/>
    <cellStyle name="subtotal 2 5 4 2 2" xfId="12935"/>
    <cellStyle name="Sub-Total 2 5 4 2 2" xfId="16625"/>
    <cellStyle name="subtotal 2 5 5" xfId="6693"/>
    <cellStyle name="Sub-Total 2 5 5" xfId="10139"/>
    <cellStyle name="subtotal 2 5 5 2" xfId="13383"/>
    <cellStyle name="Sub-Total 2 5 5 2" xfId="10241"/>
    <cellStyle name="Sub-Total 2 5 5 2 2" xfId="16626"/>
    <cellStyle name="subtotal 2 5 6" xfId="10155"/>
    <cellStyle name="Sub-Total 2 5 6" xfId="10140"/>
    <cellStyle name="subtotal 2 5 6 2" xfId="16555"/>
    <cellStyle name="Sub-Total 2 5 6 2" xfId="10242"/>
    <cellStyle name="Sub-Total 2 5 6 2 2" xfId="16627"/>
    <cellStyle name="Sub-Total 2 5 7" xfId="10173"/>
    <cellStyle name="Sub-Total 2 5 7 2" xfId="16558"/>
    <cellStyle name="subtotal 2 6" xfId="4666"/>
    <cellStyle name="Sub-Total 2 6" xfId="8164"/>
    <cellStyle name="subtotal 2 6 2" xfId="5509"/>
    <cellStyle name="Sub-Total 2 6 2" xfId="6187"/>
    <cellStyle name="subtotal 2 6 2 2" xfId="9251"/>
    <cellStyle name="Sub-Total 2 6 2 2" xfId="12912"/>
    <cellStyle name="subtotal 2 6 2 2 2" xfId="6262"/>
    <cellStyle name="subtotal 2 6 2 2 2 2" xfId="12987"/>
    <cellStyle name="subtotal 2 6 2 3" xfId="10100"/>
    <cellStyle name="subtotal 2 6 2 3 2" xfId="10202"/>
    <cellStyle name="subtotal 2 6 2 3 2 2" xfId="16587"/>
    <cellStyle name="subtotal 2 6 2 4" xfId="7532"/>
    <cellStyle name="subtotal 2 6 2 5" xfId="6123"/>
    <cellStyle name="subtotal 2 6 2 5 2" xfId="12848"/>
    <cellStyle name="subtotal 2 6 2 6" xfId="12403"/>
    <cellStyle name="subtotal 2 6 3" xfId="9843"/>
    <cellStyle name="subtotal 2 6 3 2" xfId="10128"/>
    <cellStyle name="subtotal 2 6 3 2 2" xfId="10230"/>
    <cellStyle name="subtotal 2 6 3 2 2 2" xfId="16615"/>
    <cellStyle name="subtotal 2 6 3 3" xfId="5911"/>
    <cellStyle name="subtotal 2 6 3 3 2" xfId="12804"/>
    <cellStyle name="subtotal 2 6 4" xfId="8413"/>
    <cellStyle name="subtotal 2 6 4 2" xfId="6211"/>
    <cellStyle name="subtotal 2 6 4 2 2" xfId="12936"/>
    <cellStyle name="subtotal 2 6 5" xfId="6694"/>
    <cellStyle name="subtotal 2 6 5 2" xfId="13384"/>
    <cellStyle name="subtotal 2 6 6" xfId="10156"/>
    <cellStyle name="subtotal 2 6 6 2" xfId="16556"/>
    <cellStyle name="subtotal 2 7" xfId="4667"/>
    <cellStyle name="Sub-Total 2 7" xfId="10079"/>
    <cellStyle name="subtotal 2 7 2" xfId="5510"/>
    <cellStyle name="Sub-Total 2 7 2" xfId="10181"/>
    <cellStyle name="subtotal 2 7 2 2" xfId="9252"/>
    <cellStyle name="Sub-Total 2 7 2 2" xfId="16566"/>
    <cellStyle name="subtotal 2 7 2 2 2" xfId="6263"/>
    <cellStyle name="subtotal 2 7 2 2 2 2" xfId="12988"/>
    <cellStyle name="subtotal 2 7 2 3" xfId="10101"/>
    <cellStyle name="subtotal 2 7 2 3 2" xfId="10203"/>
    <cellStyle name="subtotal 2 7 2 3 2 2" xfId="16588"/>
    <cellStyle name="subtotal 2 7 2 4" xfId="7533"/>
    <cellStyle name="subtotal 2 7 2 5" xfId="6124"/>
    <cellStyle name="subtotal 2 7 2 5 2" xfId="12849"/>
    <cellStyle name="subtotal 2 7 2 6" xfId="12404"/>
    <cellStyle name="subtotal 2 7 3" xfId="9844"/>
    <cellStyle name="subtotal 2 7 3 2" xfId="10129"/>
    <cellStyle name="subtotal 2 7 3 2 2" xfId="10231"/>
    <cellStyle name="subtotal 2 7 3 2 2 2" xfId="16616"/>
    <cellStyle name="subtotal 2 7 3 3" xfId="6377"/>
    <cellStyle name="subtotal 2 7 3 3 2" xfId="13098"/>
    <cellStyle name="subtotal 2 7 4" xfId="8414"/>
    <cellStyle name="subtotal 2 7 4 2" xfId="6212"/>
    <cellStyle name="subtotal 2 7 4 2 2" xfId="12937"/>
    <cellStyle name="subtotal 2 7 5" xfId="6695"/>
    <cellStyle name="subtotal 2 7 5 2" xfId="13385"/>
    <cellStyle name="subtotal 2 7 6" xfId="10157"/>
    <cellStyle name="subtotal 2 7 6 2" xfId="16557"/>
    <cellStyle name="subtotal 2 8" xfId="5491"/>
    <cellStyle name="Sub-Total 2 8" xfId="7979"/>
    <cellStyle name="subtotal 2 8 10" xfId="12396"/>
    <cellStyle name="subtotal 2 8 2" xfId="9234"/>
    <cellStyle name="Sub-Total 2 8 2" xfId="6141"/>
    <cellStyle name="subtotal 2 8 2 2" xfId="6245"/>
    <cellStyle name="Sub-Total 2 8 2 2" xfId="12866"/>
    <cellStyle name="subtotal 2 8 2 2 2" xfId="12970"/>
    <cellStyle name="subtotal 2 8 3" xfId="10096"/>
    <cellStyle name="subtotal 2 8 3 2" xfId="10198"/>
    <cellStyle name="subtotal 2 8 3 2 2" xfId="16583"/>
    <cellStyle name="subtotal 2 8 4" xfId="10118"/>
    <cellStyle name="subtotal 2 8 4 2" xfId="10220"/>
    <cellStyle name="subtotal 2 8 4 2 2" xfId="16605"/>
    <cellStyle name="subtotal 2 8 5" xfId="7999"/>
    <cellStyle name="subtotal 2 8 5 2" xfId="6155"/>
    <cellStyle name="subtotal 2 8 5 2 2" xfId="12880"/>
    <cellStyle name="subtotal 2 8 6" xfId="10117"/>
    <cellStyle name="subtotal 2 8 6 2" xfId="10219"/>
    <cellStyle name="subtotal 2 8 6 2 2" xfId="16604"/>
    <cellStyle name="subtotal 2 8 7" xfId="7515"/>
    <cellStyle name="subtotal 2 8 8" xfId="10160"/>
    <cellStyle name="subtotal 2 8 9" xfId="6119"/>
    <cellStyle name="subtotal 2 8 9 2" xfId="12844"/>
    <cellStyle name="subtotal 2 9" xfId="9684"/>
    <cellStyle name="Sub-Total 2 9" xfId="7966"/>
    <cellStyle name="subtotal 2 9 2" xfId="10108"/>
    <cellStyle name="Sub-Total 2 9 2" xfId="6130"/>
    <cellStyle name="subtotal 2 9 2 2" xfId="10210"/>
    <cellStyle name="Sub-Total 2 9 2 2" xfId="12855"/>
    <cellStyle name="subtotal 2 9 2 2 2" xfId="16595"/>
    <cellStyle name="subtotal 2 9 3" xfId="8001"/>
    <cellStyle name="subtotal 2 9 3 2" xfId="6157"/>
    <cellStyle name="subtotal 2 9 3 2 2" xfId="12882"/>
    <cellStyle name="subtotal 2 9 4" xfId="7969"/>
    <cellStyle name="subtotal 2 9 4 2" xfId="6133"/>
    <cellStyle name="subtotal 2 9 4 2 2" xfId="12858"/>
    <cellStyle name="subtotal 2 9 5" xfId="6285"/>
    <cellStyle name="subtotal 2 9 5 2" xfId="13008"/>
    <cellStyle name="subtotal 3" xfId="4350"/>
    <cellStyle name="Sub-Total 3" xfId="5490"/>
    <cellStyle name="subtotal 3 10" xfId="7976"/>
    <cellStyle name="subtotal 3 10 2" xfId="6138"/>
    <cellStyle name="subtotal 3 10 2 2" xfId="12863"/>
    <cellStyle name="subtotal 3 11" xfId="10102"/>
    <cellStyle name="subtotal 3 11 2" xfId="10204"/>
    <cellStyle name="subtotal 3 11 2 2" xfId="16589"/>
    <cellStyle name="subtotal 3 12" xfId="6447"/>
    <cellStyle name="subtotal 3 13" xfId="10148"/>
    <cellStyle name="subtotal 3 14" xfId="5949"/>
    <cellStyle name="subtotal 3 14 2" xfId="12837"/>
    <cellStyle name="subtotal 3 15" xfId="11361"/>
    <cellStyle name="subtotal 3 16" xfId="16642"/>
    <cellStyle name="subtotal 3 2" xfId="5494"/>
    <cellStyle name="Sub-Total 3 2" xfId="9233"/>
    <cellStyle name="subtotal 3 2 2" xfId="9237"/>
    <cellStyle name="Sub-Total 3 2 2" xfId="6244"/>
    <cellStyle name="subtotal 3 2 2 2" xfId="6248"/>
    <cellStyle name="Sub-Total 3 2 2 2" xfId="12969"/>
    <cellStyle name="subtotal 3 2 2 2 2" xfId="12973"/>
    <cellStyle name="subtotal 3 2 3" xfId="7518"/>
    <cellStyle name="subtotal 3 2 4" xfId="10163"/>
    <cellStyle name="subtotal 3 2 5" xfId="12399"/>
    <cellStyle name="subtotal 3 3" xfId="5685"/>
    <cellStyle name="Sub-Total 3 3" xfId="7514"/>
    <cellStyle name="subtotal 3 3 2" xfId="9426"/>
    <cellStyle name="subtotal 3 3 2 2" xfId="6268"/>
    <cellStyle name="subtotal 3 3 2 2 2" xfId="12993"/>
    <cellStyle name="subtotal 3 3 3" xfId="7707"/>
    <cellStyle name="subtotal 3 3 4" xfId="10171"/>
    <cellStyle name="subtotal 3 3 5" xfId="12578"/>
    <cellStyle name="subtotal 3 4" xfId="9744"/>
    <cellStyle name="Sub-Total 3 4" xfId="10159"/>
    <cellStyle name="subtotal 3 4 2" xfId="10116"/>
    <cellStyle name="subtotal 3 4 2 2" xfId="10218"/>
    <cellStyle name="subtotal 3 4 2 2 2" xfId="16603"/>
    <cellStyle name="subtotal 3 4 3" xfId="6291"/>
    <cellStyle name="subtotal 3 4 3 2" xfId="13014"/>
    <cellStyle name="subtotal 3 5" xfId="10072"/>
    <cellStyle name="Sub-Total 3 5" xfId="12395"/>
    <cellStyle name="subtotal 3 5 2" xfId="10133"/>
    <cellStyle name="subtotal 3 5 2 2" xfId="10235"/>
    <cellStyle name="subtotal 3 5 2 2 2" xfId="16620"/>
    <cellStyle name="subtotal 3 5 3" xfId="10174"/>
    <cellStyle name="subtotal 3 5 3 2" xfId="16559"/>
    <cellStyle name="subtotal 3 6" xfId="8166"/>
    <cellStyle name="subtotal 3 6 2" xfId="6189"/>
    <cellStyle name="subtotal 3 6 2 2" xfId="12914"/>
    <cellStyle name="subtotal 3 7" xfId="10081"/>
    <cellStyle name="subtotal 3 7 2" xfId="10183"/>
    <cellStyle name="subtotal 3 7 2 2" xfId="16568"/>
    <cellStyle name="subtotal 3 8" xfId="7981"/>
    <cellStyle name="subtotal 3 8 2" xfId="6143"/>
    <cellStyle name="subtotal 3 8 2 2" xfId="12868"/>
    <cellStyle name="subtotal 3 9" xfId="7964"/>
    <cellStyle name="subtotal 3 9 2" xfId="6128"/>
    <cellStyle name="subtotal 3 9 2 2" xfId="12853"/>
    <cellStyle name="subtotal 4" xfId="5489"/>
    <cellStyle name="Sub-Total 4" xfId="5682"/>
    <cellStyle name="subtotal 4 2" xfId="9232"/>
    <cellStyle name="Sub-Total 4 2" xfId="9423"/>
    <cellStyle name="subtotal 4 2 2" xfId="6243"/>
    <cellStyle name="Sub-Total 4 2 2" xfId="6265"/>
    <cellStyle name="subtotal 4 2 2 2" xfId="12968"/>
    <cellStyle name="Sub-Total 4 2 2 2" xfId="12990"/>
    <cellStyle name="subtotal 4 3" xfId="7513"/>
    <cellStyle name="Sub-Total 4 3" xfId="7704"/>
    <cellStyle name="subtotal 4 4" xfId="10158"/>
    <cellStyle name="Sub-Total 4 4" xfId="10168"/>
    <cellStyle name="subtotal 4 5" xfId="12394"/>
    <cellStyle name="Sub-Total 4 5" xfId="12575"/>
    <cellStyle name="subtotal 5" xfId="5681"/>
    <cellStyle name="Sub-Total 5" xfId="9683"/>
    <cellStyle name="subtotal 5 2" xfId="9422"/>
    <cellStyle name="Sub-Total 5 2" xfId="10107"/>
    <cellStyle name="subtotal 5 2 2" xfId="6264"/>
    <cellStyle name="Sub-Total 5 2 2" xfId="10209"/>
    <cellStyle name="subtotal 5 2 2 2" xfId="12989"/>
    <cellStyle name="Sub-Total 5 2 2 2" xfId="16594"/>
    <cellStyle name="subtotal 5 3" xfId="7703"/>
    <cellStyle name="Sub-Total 5 3" xfId="8005"/>
    <cellStyle name="Sub-Total 5 3 2" xfId="6161"/>
    <cellStyle name="Sub-Total 5 3 2 2" xfId="12886"/>
    <cellStyle name="subtotal 5 4" xfId="10167"/>
    <cellStyle name="Sub-Total 5 4" xfId="10075"/>
    <cellStyle name="Sub-Total 5 4 2" xfId="10177"/>
    <cellStyle name="Sub-Total 5 4 2 2" xfId="16562"/>
    <cellStyle name="subtotal 5 5" xfId="12574"/>
    <cellStyle name="Sub-Total 5 5" xfId="7998"/>
    <cellStyle name="Sub-Total 5 5 2" xfId="6154"/>
    <cellStyle name="Sub-Total 5 5 2 2" xfId="12879"/>
    <cellStyle name="Sub-Total 5 6" xfId="10082"/>
    <cellStyle name="Sub-Total 5 6 2" xfId="10184"/>
    <cellStyle name="Sub-Total 5 6 2 2" xfId="16569"/>
    <cellStyle name="Sub-Total 5 7" xfId="6284"/>
    <cellStyle name="Sub-Total 5 7 2" xfId="13007"/>
    <cellStyle name="subtotal 6" xfId="9682"/>
    <cellStyle name="Sub-Total 6" xfId="9672"/>
    <cellStyle name="subtotal 6 2" xfId="10106"/>
    <cellStyle name="Sub-Total 6 2" xfId="10104"/>
    <cellStyle name="subtotal 6 2 2" xfId="10208"/>
    <cellStyle name="Sub-Total 6 2 2" xfId="10206"/>
    <cellStyle name="subtotal 6 2 2 2" xfId="16593"/>
    <cellStyle name="Sub-Total 6 2 2 2" xfId="16591"/>
    <cellStyle name="subtotal 6 3" xfId="8004"/>
    <cellStyle name="Sub-Total 6 3" xfId="8002"/>
    <cellStyle name="subtotal 6 3 2" xfId="6160"/>
    <cellStyle name="Sub-Total 6 3 2" xfId="6158"/>
    <cellStyle name="subtotal 6 3 2 2" xfId="12885"/>
    <cellStyle name="Sub-Total 6 3 2 2" xfId="12883"/>
    <cellStyle name="subtotal 6 4" xfId="10114"/>
    <cellStyle name="Sub-Total 6 4" xfId="10113"/>
    <cellStyle name="subtotal 6 4 2" xfId="10216"/>
    <cellStyle name="Sub-Total 6 4 2" xfId="10215"/>
    <cellStyle name="subtotal 6 4 2 2" xfId="16601"/>
    <cellStyle name="Sub-Total 6 4 2 2" xfId="16600"/>
    <cellStyle name="subtotal 6 5" xfId="7991"/>
    <cellStyle name="Sub-Total 6 5" xfId="7985"/>
    <cellStyle name="subtotal 6 5 2" xfId="6149"/>
    <cellStyle name="Sub-Total 6 5 2" xfId="6147"/>
    <cellStyle name="subtotal 6 5 2 2" xfId="12874"/>
    <cellStyle name="Sub-Total 6 5 2 2" xfId="12872"/>
    <cellStyle name="subtotal 6 6" xfId="10085"/>
    <cellStyle name="Sub-Total 6 6" xfId="10095"/>
    <cellStyle name="subtotal 6 6 2" xfId="10187"/>
    <cellStyle name="Sub-Total 6 6 2" xfId="10197"/>
    <cellStyle name="subtotal 6 6 2 2" xfId="16572"/>
    <cellStyle name="Sub-Total 6 6 2 2" xfId="16582"/>
    <cellStyle name="subtotal 6 7" xfId="6283"/>
    <cellStyle name="Sub-Total 6 7" xfId="6281"/>
    <cellStyle name="subtotal 6 7 2" xfId="13006"/>
    <cellStyle name="Sub-Total 6 7 2" xfId="13004"/>
    <cellStyle name="subtotal 7" xfId="9673"/>
    <cellStyle name="Sub-Total 7" xfId="8162"/>
    <cellStyle name="subtotal 7 2" xfId="10105"/>
    <cellStyle name="Sub-Total 7 2" xfId="6185"/>
    <cellStyle name="subtotal 7 2 2" xfId="10207"/>
    <cellStyle name="Sub-Total 7 2 2" xfId="12910"/>
    <cellStyle name="subtotal 7 2 2 2" xfId="16592"/>
    <cellStyle name="subtotal 7 3" xfId="8003"/>
    <cellStyle name="subtotal 7 3 2" xfId="6159"/>
    <cellStyle name="subtotal 7 3 2 2" xfId="12884"/>
    <cellStyle name="subtotal 7 4" xfId="10074"/>
    <cellStyle name="subtotal 7 4 2" xfId="10176"/>
    <cellStyle name="subtotal 7 4 2 2" xfId="16561"/>
    <cellStyle name="subtotal 7 5" xfId="7992"/>
    <cellStyle name="subtotal 7 5 2" xfId="6150"/>
    <cellStyle name="subtotal 7 5 2 2" xfId="12875"/>
    <cellStyle name="subtotal 7 6" xfId="10136"/>
    <cellStyle name="subtotal 7 6 2" xfId="10238"/>
    <cellStyle name="subtotal 7 6 2 2" xfId="16623"/>
    <cellStyle name="subtotal 7 7" xfId="6282"/>
    <cellStyle name="subtotal 7 7 2" xfId="13005"/>
    <cellStyle name="subtotal 8" xfId="8161"/>
    <cellStyle name="Sub-Total 8" xfId="10078"/>
    <cellStyle name="subtotal 8 2" xfId="6184"/>
    <cellStyle name="Sub-Total 8 2" xfId="10180"/>
    <cellStyle name="subtotal 8 2 2" xfId="12909"/>
    <cellStyle name="Sub-Total 8 2 2" xfId="16565"/>
    <cellStyle name="subtotal 9" xfId="10077"/>
    <cellStyle name="Sub-Total 9" xfId="7978"/>
    <cellStyle name="subtotal 9 2" xfId="10179"/>
    <cellStyle name="Sub-Total 9 2" xfId="6140"/>
    <cellStyle name="subtotal 9 2 2" xfId="16564"/>
    <cellStyle name="Sub-Total 9 2 2" xfId="12865"/>
    <cellStyle name="Sweep Change" xfId="4351"/>
    <cellStyle name="SYSTEM" xfId="4352"/>
    <cellStyle name="t" xfId="4353"/>
    <cellStyle name="Table Heading" xfId="4354"/>
    <cellStyle name="Text_In" xfId="4355"/>
    <cellStyle name="Thousands£" xfId="4356"/>
    <cellStyle name="Thousands£ (2dp)" xfId="4357"/>
    <cellStyle name="TIME Detail" xfId="4358"/>
    <cellStyle name="TIME Period Start" xfId="4359"/>
    <cellStyle name="time variable" xfId="4360"/>
    <cellStyle name="Title 1" xfId="4361"/>
    <cellStyle name="Title 2" xfId="4362"/>
    <cellStyle name="Title 3" xfId="4363"/>
    <cellStyle name="Title 4" xfId="4364"/>
    <cellStyle name="TitlePage" xfId="4365"/>
    <cellStyle name="Titulo" xfId="4366"/>
    <cellStyle name="To" xfId="4367"/>
    <cellStyle name="Total - Grand" xfId="4368"/>
    <cellStyle name="Total - Sub" xfId="4369"/>
    <cellStyle name="Total - Sub 2" xfId="4370"/>
    <cellStyle name="Total - Sub 2 2" xfId="5496"/>
    <cellStyle name="Total - Sub 2 2 2" xfId="9239"/>
    <cellStyle name="Total - Sub 2 2 2 2" xfId="6250"/>
    <cellStyle name="Total - Sub 2 2 2 2 2" xfId="12975"/>
    <cellStyle name="Total - Sub 2 2 3" xfId="7520"/>
    <cellStyle name="Total - Sub 2 3" xfId="8168"/>
    <cellStyle name="Total - Sub 2 3 2" xfId="6191"/>
    <cellStyle name="Total - Sub 2 3 2 2" xfId="12916"/>
    <cellStyle name="Total - Sub 2 4" xfId="6449"/>
    <cellStyle name="Total - Sub 3" xfId="5495"/>
    <cellStyle name="Total - Sub 3 2" xfId="9238"/>
    <cellStyle name="Total - Sub 3 2 2" xfId="6249"/>
    <cellStyle name="Total - Sub 3 2 2 2" xfId="12974"/>
    <cellStyle name="Total - Sub 3 3" xfId="7519"/>
    <cellStyle name="Total - Sub 4" xfId="8167"/>
    <cellStyle name="Total - Sub 4 2" xfId="6190"/>
    <cellStyle name="Total - Sub 4 2 2" xfId="12915"/>
    <cellStyle name="Total - Sub 5" xfId="6448"/>
    <cellStyle name="Total 1" xfId="4371"/>
    <cellStyle name="Total 1 2" xfId="4372"/>
    <cellStyle name="Total 1 2 2" xfId="4373"/>
    <cellStyle name="Total 1 2 2 2" xfId="4816"/>
    <cellStyle name="Total 1 2 2 2 2" xfId="8559"/>
    <cellStyle name="Total 1 2 2 2 2 2" xfId="6218"/>
    <cellStyle name="Total 1 2 2 2 2 2 2" xfId="12943"/>
    <cellStyle name="Total 1 2 2 2 3" xfId="10087"/>
    <cellStyle name="Total 1 2 2 2 3 2" xfId="10189"/>
    <cellStyle name="Total 1 2 2 2 3 2 2" xfId="16574"/>
    <cellStyle name="Total 1 2 2 2 4" xfId="6840"/>
    <cellStyle name="Total 1 2 2 2 5" xfId="5951"/>
    <cellStyle name="Total 1 2 2 2 5 2" xfId="12839"/>
    <cellStyle name="Total 1 2 2 3" xfId="9807"/>
    <cellStyle name="Total 1 2 2 3 2" xfId="10121"/>
    <cellStyle name="Total 1 2 2 3 2 2" xfId="10223"/>
    <cellStyle name="Total 1 2 2 3 2 2 2" xfId="16608"/>
    <cellStyle name="Total 1 2 2 3 3" xfId="6369"/>
    <cellStyle name="Total 1 2 2 3 3 2" xfId="13092"/>
    <cellStyle name="Total 1 2 2 4" xfId="8171"/>
    <cellStyle name="Total 1 2 2 4 2" xfId="6194"/>
    <cellStyle name="Total 1 2 2 4 2 2" xfId="12919"/>
    <cellStyle name="Total 1 2 2 5" xfId="6452"/>
    <cellStyle name="Total 1 2 2 5 2" xfId="13150"/>
    <cellStyle name="Total 1 2 3" xfId="9686"/>
    <cellStyle name="Total 1 2 3 2" xfId="10110"/>
    <cellStyle name="Total 1 2 3 2 2" xfId="10212"/>
    <cellStyle name="Total 1 2 3 2 2 2" xfId="16597"/>
    <cellStyle name="Total 1 2 3 3" xfId="6287"/>
    <cellStyle name="Total 1 2 3 3 2" xfId="13010"/>
    <cellStyle name="Total 1 2 4" xfId="8170"/>
    <cellStyle name="Total 1 2 4 2" xfId="6193"/>
    <cellStyle name="Total 1 2 4 2 2" xfId="12918"/>
    <cellStyle name="Total 1 2 5" xfId="6451"/>
    <cellStyle name="Total 1 2 5 2" xfId="13149"/>
    <cellStyle name="Total 1 3" xfId="4374"/>
    <cellStyle name="Total 1 3 2" xfId="4815"/>
    <cellStyle name="Total 1 3 2 2" xfId="8558"/>
    <cellStyle name="Total 1 3 2 2 2" xfId="6217"/>
    <cellStyle name="Total 1 3 2 2 2 2" xfId="12942"/>
    <cellStyle name="Total 1 3 2 3" xfId="10086"/>
    <cellStyle name="Total 1 3 2 3 2" xfId="10188"/>
    <cellStyle name="Total 1 3 2 3 2 2" xfId="16573"/>
    <cellStyle name="Total 1 3 2 4" xfId="6839"/>
    <cellStyle name="Total 1 3 2 5" xfId="5950"/>
    <cellStyle name="Total 1 3 2 5 2" xfId="12838"/>
    <cellStyle name="Total 1 3 3" xfId="9806"/>
    <cellStyle name="Total 1 3 3 2" xfId="10120"/>
    <cellStyle name="Total 1 3 3 2 2" xfId="10222"/>
    <cellStyle name="Total 1 3 3 2 2 2" xfId="16607"/>
    <cellStyle name="Total 1 3 3 3" xfId="6368"/>
    <cellStyle name="Total 1 3 3 3 2" xfId="13091"/>
    <cellStyle name="Total 1 3 4" xfId="8172"/>
    <cellStyle name="Total 1 3 4 2" xfId="6195"/>
    <cellStyle name="Total 1 3 4 2 2" xfId="12920"/>
    <cellStyle name="Total 1 3 5" xfId="6453"/>
    <cellStyle name="Total 1 3 5 2" xfId="13151"/>
    <cellStyle name="Total 1 4" xfId="9685"/>
    <cellStyle name="Total 1 4 2" xfId="10109"/>
    <cellStyle name="Total 1 4 2 2" xfId="10211"/>
    <cellStyle name="Total 1 4 2 2 2" xfId="16596"/>
    <cellStyle name="Total 1 4 3" xfId="6286"/>
    <cellStyle name="Total 1 4 3 2" xfId="13009"/>
    <cellStyle name="Total 1 5" xfId="8169"/>
    <cellStyle name="Total 1 5 2" xfId="6192"/>
    <cellStyle name="Total 1 5 2 2" xfId="12917"/>
    <cellStyle name="Total 1 6" xfId="6450"/>
    <cellStyle name="Total 1 6 2" xfId="13148"/>
    <cellStyle name="Total 2" xfId="4375"/>
    <cellStyle name="Total 2 2" xfId="4376"/>
    <cellStyle name="Total 2 2 2" xfId="4377"/>
    <cellStyle name="Total 2 2 2 2" xfId="5499"/>
    <cellStyle name="Total 2 2 2 2 2" xfId="9242"/>
    <cellStyle name="Total 2 2 2 2 2 2" xfId="6253"/>
    <cellStyle name="Total 2 2 2 2 2 2 2" xfId="12978"/>
    <cellStyle name="Total 2 2 2 2 3" xfId="7523"/>
    <cellStyle name="Total 2 2 2 3" xfId="8175"/>
    <cellStyle name="Total 2 2 2 3 2" xfId="6198"/>
    <cellStyle name="Total 2 2 2 3 2 2" xfId="12923"/>
    <cellStyle name="Total 2 2 2 4" xfId="6456"/>
    <cellStyle name="Total 2 2 3" xfId="5498"/>
    <cellStyle name="Total 2 2 3 2" xfId="9241"/>
    <cellStyle name="Total 2 2 3 2 2" xfId="6252"/>
    <cellStyle name="Total 2 2 3 2 2 2" xfId="12977"/>
    <cellStyle name="Total 2 2 3 3" xfId="7522"/>
    <cellStyle name="Total 2 2 4" xfId="8174"/>
    <cellStyle name="Total 2 2 4 2" xfId="6197"/>
    <cellStyle name="Total 2 2 4 2 2" xfId="12922"/>
    <cellStyle name="Total 2 2 5" xfId="6455"/>
    <cellStyle name="Total 2 3" xfId="4378"/>
    <cellStyle name="Total 2 3 2" xfId="5500"/>
    <cellStyle name="Total 2 3 2 2" xfId="9243"/>
    <cellStyle name="Total 2 3 2 2 2" xfId="6254"/>
    <cellStyle name="Total 2 3 2 2 2 2" xfId="12979"/>
    <cellStyle name="Total 2 3 2 3" xfId="7524"/>
    <cellStyle name="Total 2 3 3" xfId="8176"/>
    <cellStyle name="Total 2 3 3 2" xfId="6199"/>
    <cellStyle name="Total 2 3 3 2 2" xfId="12924"/>
    <cellStyle name="Total 2 3 4" xfId="6457"/>
    <cellStyle name="Total 2 4" xfId="5497"/>
    <cellStyle name="Total 2 4 2" xfId="9240"/>
    <cellStyle name="Total 2 4 2 2" xfId="6251"/>
    <cellStyle name="Total 2 4 2 2 2" xfId="12976"/>
    <cellStyle name="Total 2 4 3" xfId="7521"/>
    <cellStyle name="Total 2 5" xfId="8173"/>
    <cellStyle name="Total 2 5 2" xfId="6196"/>
    <cellStyle name="Total 2 5 2 2" xfId="12921"/>
    <cellStyle name="Total 2 6" xfId="6454"/>
    <cellStyle name="Total 3" xfId="4379"/>
    <cellStyle name="Total 3 2" xfId="4380"/>
    <cellStyle name="Total 3 2 2" xfId="4381"/>
    <cellStyle name="Total 3 2 2 2" xfId="4818"/>
    <cellStyle name="Total 3 2 2 2 2" xfId="8561"/>
    <cellStyle name="Total 3 2 2 2 2 2" xfId="6220"/>
    <cellStyle name="Total 3 2 2 2 2 2 2" xfId="12945"/>
    <cellStyle name="Total 3 2 2 2 3" xfId="10089"/>
    <cellStyle name="Total 3 2 2 2 3 2" xfId="10191"/>
    <cellStyle name="Total 3 2 2 2 3 2 2" xfId="16576"/>
    <cellStyle name="Total 3 2 2 2 4" xfId="6842"/>
    <cellStyle name="Total 3 2 2 2 5" xfId="5953"/>
    <cellStyle name="Total 3 2 2 2 5 2" xfId="12841"/>
    <cellStyle name="Total 3 2 2 3" xfId="9809"/>
    <cellStyle name="Total 3 2 2 3 2" xfId="10123"/>
    <cellStyle name="Total 3 2 2 3 2 2" xfId="10225"/>
    <cellStyle name="Total 3 2 2 3 2 2 2" xfId="16610"/>
    <cellStyle name="Total 3 2 2 3 3" xfId="6371"/>
    <cellStyle name="Total 3 2 2 3 3 2" xfId="13094"/>
    <cellStyle name="Total 3 2 2 4" xfId="8179"/>
    <cellStyle name="Total 3 2 2 4 2" xfId="6202"/>
    <cellStyle name="Total 3 2 2 4 2 2" xfId="12927"/>
    <cellStyle name="Total 3 2 2 5" xfId="6460"/>
    <cellStyle name="Total 3 2 2 5 2" xfId="13154"/>
    <cellStyle name="Total 3 2 3" xfId="9688"/>
    <cellStyle name="Total 3 2 3 2" xfId="10112"/>
    <cellStyle name="Total 3 2 3 2 2" xfId="10214"/>
    <cellStyle name="Total 3 2 3 2 2 2" xfId="16599"/>
    <cellStyle name="Total 3 2 3 3" xfId="6289"/>
    <cellStyle name="Total 3 2 3 3 2" xfId="13012"/>
    <cellStyle name="Total 3 2 4" xfId="8178"/>
    <cellStyle name="Total 3 2 4 2" xfId="6201"/>
    <cellStyle name="Total 3 2 4 2 2" xfId="12926"/>
    <cellStyle name="Total 3 2 5" xfId="6459"/>
    <cellStyle name="Total 3 2 5 2" xfId="13153"/>
    <cellStyle name="Total 3 3" xfId="4382"/>
    <cellStyle name="Total 3 3 2" xfId="4817"/>
    <cellStyle name="Total 3 3 2 2" xfId="8560"/>
    <cellStyle name="Total 3 3 2 2 2" xfId="6219"/>
    <cellStyle name="Total 3 3 2 2 2 2" xfId="12944"/>
    <cellStyle name="Total 3 3 2 3" xfId="10088"/>
    <cellStyle name="Total 3 3 2 3 2" xfId="10190"/>
    <cellStyle name="Total 3 3 2 3 2 2" xfId="16575"/>
    <cellStyle name="Total 3 3 2 4" xfId="6841"/>
    <cellStyle name="Total 3 3 2 5" xfId="5952"/>
    <cellStyle name="Total 3 3 2 5 2" xfId="12840"/>
    <cellStyle name="Total 3 3 3" xfId="9808"/>
    <cellStyle name="Total 3 3 3 2" xfId="10122"/>
    <cellStyle name="Total 3 3 3 2 2" xfId="10224"/>
    <cellStyle name="Total 3 3 3 2 2 2" xfId="16609"/>
    <cellStyle name="Total 3 3 3 3" xfId="6370"/>
    <cellStyle name="Total 3 3 3 3 2" xfId="13093"/>
    <cellStyle name="Total 3 3 4" xfId="8180"/>
    <cellStyle name="Total 3 3 4 2" xfId="6203"/>
    <cellStyle name="Total 3 3 4 2 2" xfId="12928"/>
    <cellStyle name="Total 3 3 5" xfId="6461"/>
    <cellStyle name="Total 3 3 5 2" xfId="13155"/>
    <cellStyle name="Total 3 4" xfId="9687"/>
    <cellStyle name="Total 3 4 2" xfId="10111"/>
    <cellStyle name="Total 3 4 2 2" xfId="10213"/>
    <cellStyle name="Total 3 4 2 2 2" xfId="16598"/>
    <cellStyle name="Total 3 4 3" xfId="6288"/>
    <cellStyle name="Total 3 4 3 2" xfId="13011"/>
    <cellStyle name="Total 3 5" xfId="8177"/>
    <cellStyle name="Total 3 5 2" xfId="6200"/>
    <cellStyle name="Total 3 5 2 2" xfId="12925"/>
    <cellStyle name="Total 3 6" xfId="6458"/>
    <cellStyle name="Total 3 6 2" xfId="13152"/>
    <cellStyle name="Total 4" xfId="4383"/>
    <cellStyle name="Total 4 2" xfId="4384"/>
    <cellStyle name="Total 4 2 2" xfId="4385"/>
    <cellStyle name="Total 4 2 2 2" xfId="5503"/>
    <cellStyle name="Total 4 2 2 2 2" xfId="9246"/>
    <cellStyle name="Total 4 2 2 2 2 2" xfId="6257"/>
    <cellStyle name="Total 4 2 2 2 2 2 2" xfId="12982"/>
    <cellStyle name="Total 4 2 2 2 3" xfId="7527"/>
    <cellStyle name="Total 4 2 2 3" xfId="8183"/>
    <cellStyle name="Total 4 2 2 3 2" xfId="6206"/>
    <cellStyle name="Total 4 2 2 3 2 2" xfId="12931"/>
    <cellStyle name="Total 4 2 2 4" xfId="6464"/>
    <cellStyle name="Total 4 2 3" xfId="5502"/>
    <cellStyle name="Total 4 2 3 2" xfId="9245"/>
    <cellStyle name="Total 4 2 3 2 2" xfId="6256"/>
    <cellStyle name="Total 4 2 3 2 2 2" xfId="12981"/>
    <cellStyle name="Total 4 2 3 3" xfId="7526"/>
    <cellStyle name="Total 4 2 4" xfId="8182"/>
    <cellStyle name="Total 4 2 4 2" xfId="6205"/>
    <cellStyle name="Total 4 2 4 2 2" xfId="12930"/>
    <cellStyle name="Total 4 2 5" xfId="6463"/>
    <cellStyle name="Total 4 3" xfId="4386"/>
    <cellStyle name="Total 4 3 2" xfId="5504"/>
    <cellStyle name="Total 4 3 2 2" xfId="9247"/>
    <cellStyle name="Total 4 3 2 2 2" xfId="6258"/>
    <cellStyle name="Total 4 3 2 2 2 2" xfId="12983"/>
    <cellStyle name="Total 4 3 2 3" xfId="7528"/>
    <cellStyle name="Total 4 3 3" xfId="8184"/>
    <cellStyle name="Total 4 3 3 2" xfId="6207"/>
    <cellStyle name="Total 4 3 3 2 2" xfId="12932"/>
    <cellStyle name="Total 4 3 4" xfId="6465"/>
    <cellStyle name="Total 4 4" xfId="5501"/>
    <cellStyle name="Total 4 4 2" xfId="9244"/>
    <cellStyle name="Total 4 4 2 2" xfId="6255"/>
    <cellStyle name="Total 4 4 2 2 2" xfId="12980"/>
    <cellStyle name="Total 4 4 3" xfId="7525"/>
    <cellStyle name="Total 4 5" xfId="8181"/>
    <cellStyle name="Total 4 5 2" xfId="6204"/>
    <cellStyle name="Total 4 5 2 2" xfId="12929"/>
    <cellStyle name="Total 4 6" xfId="6462"/>
    <cellStyle name="total label" xfId="4387"/>
    <cellStyle name="total variable" xfId="4388"/>
    <cellStyle name="total variable 2" xfId="5505"/>
    <cellStyle name="True value/switch" xfId="4389"/>
    <cellStyle name="Units" xfId="4390"/>
    <cellStyle name="Währung [0]_RESULTS" xfId="4391"/>
    <cellStyle name="Währung_RESULTS" xfId="4392"/>
    <cellStyle name="Warning" xfId="4393"/>
    <cellStyle name="WorkbookLinkCurrency" xfId="4394"/>
    <cellStyle name="WorkbookLinkCurrency 2" xfId="10149"/>
    <cellStyle name="WorkbookLinkNumber" xfId="4395"/>
    <cellStyle name="WorkbookLinkNumber 2" xfId="10150"/>
    <cellStyle name="WorkbookLinkPercent" xfId="4396"/>
    <cellStyle name="WorkbookLinkPercent 2" xfId="10151"/>
    <cellStyle name="WorkbookLinkText" xfId="4397"/>
    <cellStyle name="WorkbookLinkText 2" xfId="10152"/>
    <cellStyle name="year" xfId="4398"/>
    <cellStyle name="yeardate" xfId="4399"/>
    <cellStyle name="years" xfId="4400"/>
    <cellStyle name="yesnoformat" xfId="4401"/>
  </cellStyles>
  <dxfs count="1">
    <dxf>
      <font>
        <color rgb="FF9C0006"/>
      </font>
      <fill>
        <patternFill>
          <bgColor rgb="FFFFC7CE"/>
        </patternFill>
      </fill>
    </dxf>
  </dxfs>
  <tableStyles count="0" defaultTableStyle="TableStyleMedium9" defaultPivotStyle="PivotStyleLight16"/>
  <colors>
    <mruColors>
      <color rgb="FFFFFFCC"/>
      <color rgb="FFFFFF66"/>
      <color rgb="FF66FF66"/>
      <color rgb="FF00FF00"/>
      <color rgb="FF99FF99"/>
      <color rgb="FF0066FF"/>
      <color rgb="FFFFFF99"/>
      <color rgb="FF00FFFF"/>
      <color rgb="FF8FFC68"/>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Interest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Financeability!$U$61</c:f>
              <c:strCache>
                <c:ptCount val="1"/>
                <c:pt idx="0">
                  <c:v>FFO Interest Cover</c:v>
                </c:pt>
              </c:strCache>
            </c:strRef>
          </c:tx>
          <c:spPr>
            <a:ln w="28575" cap="rnd">
              <a:solidFill>
                <a:schemeClr val="accent1"/>
              </a:solidFill>
              <a:round/>
            </a:ln>
            <a:effectLst/>
          </c:spPr>
          <c:marker>
            <c:symbol val="none"/>
          </c:marker>
          <c:cat>
            <c:numRef>
              <c:f>Financeability!$V$60:$AR$60</c:f>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Financeability!$V$61:$AR$61</c:f>
              <c:numCache>
                <c:formatCode>0.00</c:formatCode>
                <c:ptCount val="23"/>
                <c:pt idx="0">
                  <c:v>3.6937943610890103</c:v>
                </c:pt>
                <c:pt idx="1">
                  <c:v>3.8952830876318956</c:v>
                </c:pt>
                <c:pt idx="2">
                  <c:v>2.6591317080525818</c:v>
                </c:pt>
                <c:pt idx="3">
                  <c:v>2.0967068981126982</c:v>
                </c:pt>
                <c:pt idx="4">
                  <c:v>2.1736919559018535</c:v>
                </c:pt>
                <c:pt idx="5">
                  <c:v>2.2503135822093085</c:v>
                </c:pt>
                <c:pt idx="6">
                  <c:v>2.2831085596221179</c:v>
                </c:pt>
                <c:pt idx="7">
                  <c:v>2.310247244848322</c:v>
                </c:pt>
                <c:pt idx="8">
                  <c:v>2.3553339761640397</c:v>
                </c:pt>
                <c:pt idx="9">
                  <c:v>2.4021362396450847</c:v>
                </c:pt>
                <c:pt idx="10">
                  <c:v>2.4520758616099747</c:v>
                </c:pt>
                <c:pt idx="11">
                  <c:v>2.5063356403014017</c:v>
                </c:pt>
                <c:pt idx="12">
                  <c:v>2.5655562205902536</c:v>
                </c:pt>
                <c:pt idx="13">
                  <c:v>2.6303483155621517</c:v>
                </c:pt>
                <c:pt idx="14">
                  <c:v>2.7004855927051512</c:v>
                </c:pt>
                <c:pt idx="15">
                  <c:v>2.7765388346025581</c:v>
                </c:pt>
                <c:pt idx="16">
                  <c:v>2.8592701114014063</c:v>
                </c:pt>
                <c:pt idx="17">
                  <c:v>2.9506977506002676</c:v>
                </c:pt>
                <c:pt idx="18">
                  <c:v>3.0542337931980876</c:v>
                </c:pt>
                <c:pt idx="19">
                  <c:v>3.1705009302470697</c:v>
                </c:pt>
                <c:pt idx="20">
                  <c:v>3.3035720564911042</c:v>
                </c:pt>
                <c:pt idx="21">
                  <c:v>3.4570000406818742</c:v>
                </c:pt>
                <c:pt idx="22">
                  <c:v>3.6335557898250235</c:v>
                </c:pt>
              </c:numCache>
            </c:numRef>
          </c:val>
          <c:smooth val="0"/>
          <c:extLst>
            <c:ext xmlns:c16="http://schemas.microsoft.com/office/drawing/2014/chart" uri="{C3380CC4-5D6E-409C-BE32-E72D297353CC}">
              <c16:uniqueId val="{00000000-36FD-426D-BBE2-D189944B754D}"/>
            </c:ext>
          </c:extLst>
        </c:ser>
        <c:ser>
          <c:idx val="1"/>
          <c:order val="1"/>
          <c:tx>
            <c:strRef>
              <c:f>Financeability!$U$62</c:f>
              <c:strCache>
                <c:ptCount val="1"/>
                <c:pt idx="0">
                  <c:v>PMICR</c:v>
                </c:pt>
              </c:strCache>
            </c:strRef>
          </c:tx>
          <c:spPr>
            <a:ln w="28575" cap="rnd">
              <a:solidFill>
                <a:schemeClr val="accent2"/>
              </a:solidFill>
              <a:round/>
            </a:ln>
            <a:effectLst/>
          </c:spPr>
          <c:marker>
            <c:symbol val="none"/>
          </c:marker>
          <c:cat>
            <c:numRef>
              <c:f>Financeability!$V$60:$AR$60</c:f>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Financeability!$V$62:$AR$62</c:f>
              <c:numCache>
                <c:formatCode>0.00</c:formatCode>
                <c:ptCount val="23"/>
                <c:pt idx="0">
                  <c:v>0.7317305746355347</c:v>
                </c:pt>
                <c:pt idx="1">
                  <c:v>1.6073278134423659</c:v>
                </c:pt>
                <c:pt idx="2">
                  <c:v>1.6147544383352535</c:v>
                </c:pt>
                <c:pt idx="3">
                  <c:v>1.3215187068854255</c:v>
                </c:pt>
                <c:pt idx="4">
                  <c:v>1.2991920955317449</c:v>
                </c:pt>
                <c:pt idx="5">
                  <c:v>1.2782213137475249</c:v>
                </c:pt>
                <c:pt idx="6">
                  <c:v>1.270974436203427</c:v>
                </c:pt>
                <c:pt idx="7">
                  <c:v>1.2590803388317864</c:v>
                </c:pt>
                <c:pt idx="8">
                  <c:v>1.2453535441715009</c:v>
                </c:pt>
                <c:pt idx="9">
                  <c:v>1.2320229332756834</c:v>
                </c:pt>
                <c:pt idx="10">
                  <c:v>1.2184126616734554</c:v>
                </c:pt>
                <c:pt idx="11">
                  <c:v>1.2044105687555504</c:v>
                </c:pt>
                <c:pt idx="12">
                  <c:v>1.1897309174676678</c:v>
                </c:pt>
                <c:pt idx="13">
                  <c:v>1.1744584708040751</c:v>
                </c:pt>
                <c:pt idx="14">
                  <c:v>1.1587577406515588</c:v>
                </c:pt>
                <c:pt idx="15">
                  <c:v>1.1423212546756925</c:v>
                </c:pt>
                <c:pt idx="16">
                  <c:v>1.1252765312569635</c:v>
                </c:pt>
                <c:pt idx="17">
                  <c:v>1.1064818935276675</c:v>
                </c:pt>
                <c:pt idx="18">
                  <c:v>1.0857627472084626</c:v>
                </c:pt>
                <c:pt idx="19">
                  <c:v>1.0630318119157578</c:v>
                </c:pt>
                <c:pt idx="20">
                  <c:v>1.0370729099947718</c:v>
                </c:pt>
                <c:pt idx="21">
                  <c:v>1.0080105273104012</c:v>
                </c:pt>
                <c:pt idx="22">
                  <c:v>0.97488731142133422</c:v>
                </c:pt>
              </c:numCache>
            </c:numRef>
          </c:val>
          <c:smooth val="0"/>
          <c:extLst>
            <c:ext xmlns:c16="http://schemas.microsoft.com/office/drawing/2014/chart" uri="{C3380CC4-5D6E-409C-BE32-E72D297353CC}">
              <c16:uniqueId val="{00000001-36FD-426D-BBE2-D189944B754D}"/>
            </c:ext>
          </c:extLst>
        </c:ser>
        <c:dLbls>
          <c:showLegendKey val="0"/>
          <c:showVal val="0"/>
          <c:showCatName val="0"/>
          <c:showSerName val="0"/>
          <c:showPercent val="0"/>
          <c:showBubbleSize val="0"/>
        </c:dLbls>
        <c:smooth val="0"/>
        <c:axId val="585586888"/>
        <c:axId val="585581968"/>
        <c:extLst>
          <c:ext xmlns:c15="http://schemas.microsoft.com/office/drawing/2012/chart" uri="{02D57815-91ED-43cb-92C2-25804820EDAC}">
            <c15:filteredLineSeries>
              <c15:ser>
                <c:idx val="2"/>
                <c:order val="2"/>
                <c:tx>
                  <c:strRef>
                    <c:extLst>
                      <c:ext uri="{02D57815-91ED-43cb-92C2-25804820EDAC}">
                        <c15:formulaRef>
                          <c15:sqref>Financeability!$U$63</c15:sqref>
                        </c15:formulaRef>
                      </c:ext>
                    </c:extLst>
                    <c:strCache>
                      <c:ptCount val="1"/>
                      <c:pt idx="0">
                        <c:v>Nominal PMICR</c:v>
                      </c:pt>
                    </c:strCache>
                  </c:strRef>
                </c:tx>
                <c:spPr>
                  <a:ln w="28575" cap="rnd">
                    <a:solidFill>
                      <a:schemeClr val="accent3"/>
                    </a:solidFill>
                    <a:round/>
                  </a:ln>
                  <a:effectLst/>
                </c:spPr>
                <c:marker>
                  <c:symbol val="none"/>
                </c:marker>
                <c:cat>
                  <c:numRef>
                    <c:extLst>
                      <c:ex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c:ext uri="{02D57815-91ED-43cb-92C2-25804820EDAC}">
                        <c15:formulaRef>
                          <c15:sqref>Financeability!$V$63:$AR$63</c15:sqref>
                        </c15:formulaRef>
                      </c:ext>
                    </c:extLst>
                    <c:numCache>
                      <c:formatCode>0.00</c:formatCode>
                      <c:ptCount val="23"/>
                      <c:pt idx="0">
                        <c:v>3.791185266397735</c:v>
                      </c:pt>
                      <c:pt idx="1">
                        <c:v>2.8848815473669771</c:v>
                      </c:pt>
                      <c:pt idx="2">
                        <c:v>1.9987438169699374</c:v>
                      </c:pt>
                      <c:pt idx="3">
                        <c:v>1.8554817584360583</c:v>
                      </c:pt>
                      <c:pt idx="4">
                        <c:v>1.834713444366012</c:v>
                      </c:pt>
                      <c:pt idx="5">
                        <c:v>1.8147736388541218</c:v>
                      </c:pt>
                      <c:pt idx="6">
                        <c:v>1.8058323187071352</c:v>
                      </c:pt>
                      <c:pt idx="7">
                        <c:v>1.7987341366331124</c:v>
                      </c:pt>
                      <c:pt idx="8">
                        <c:v>1.7854501083901624</c:v>
                      </c:pt>
                      <c:pt idx="9">
                        <c:v>1.7726531332937112</c:v>
                      </c:pt>
                      <c:pt idx="10">
                        <c:v>1.7598288566351949</c:v>
                      </c:pt>
                      <c:pt idx="11">
                        <c:v>1.7465530941734113</c:v>
                      </c:pt>
                      <c:pt idx="12">
                        <c:v>1.732712690664759</c:v>
                      </c:pt>
                      <c:pt idx="13">
                        <c:v>1.7181675304420141</c:v>
                      </c:pt>
                      <c:pt idx="14">
                        <c:v>1.7031081038603655</c:v>
                      </c:pt>
                      <c:pt idx="15">
                        <c:v>1.6874614251776554</c:v>
                      </c:pt>
                      <c:pt idx="16">
                        <c:v>1.6710575706276756</c:v>
                      </c:pt>
                      <c:pt idx="17">
                        <c:v>1.653478433704979</c:v>
                      </c:pt>
                      <c:pt idx="18">
                        <c:v>1.6337999147067059</c:v>
                      </c:pt>
                      <c:pt idx="19">
                        <c:v>1.6121910202670369</c:v>
                      </c:pt>
                      <c:pt idx="20">
                        <c:v>1.5878249760511776</c:v>
                      </c:pt>
                      <c:pt idx="21">
                        <c:v>1.5600349985425281</c:v>
                      </c:pt>
                      <c:pt idx="22">
                        <c:v>1.5286941965122349</c:v>
                      </c:pt>
                    </c:numCache>
                  </c:numRef>
                </c:val>
                <c:smooth val="0"/>
                <c:extLst>
                  <c:ext xmlns:c16="http://schemas.microsoft.com/office/drawing/2014/chart" uri="{C3380CC4-5D6E-409C-BE32-E72D297353CC}">
                    <c16:uniqueId val="{00000002-36FD-426D-BBE2-D189944B754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Financeability!$U$64</c15:sqref>
                        </c15:formulaRef>
                      </c:ext>
                    </c:extLst>
                    <c:strCache>
                      <c:ptCount val="1"/>
                      <c:pt idx="0">
                        <c:v>FFO / Net Debt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xmlns:c15="http://schemas.microsoft.com/office/drawing/2012/chart">
                      <c:ext xmlns:c15="http://schemas.microsoft.com/office/drawing/2012/chart" uri="{02D57815-91ED-43cb-92C2-25804820EDAC}">
                        <c15:formulaRef>
                          <c15:sqref>Financeability!$V$64:$AR$64</c15:sqref>
                        </c15:formulaRef>
                      </c:ext>
                    </c:extLst>
                    <c:numCache>
                      <c:formatCode>0.0%</c:formatCode>
                      <c:ptCount val="23"/>
                      <c:pt idx="0">
                        <c:v>8.6470798990957221E-2</c:v>
                      </c:pt>
                      <c:pt idx="1">
                        <c:v>9.2938587112983834E-2</c:v>
                      </c:pt>
                      <c:pt idx="2">
                        <c:v>8.4781630281486942E-2</c:v>
                      </c:pt>
                      <c:pt idx="3">
                        <c:v>7.6879153557700142E-2</c:v>
                      </c:pt>
                      <c:pt idx="4">
                        <c:v>8.2275806108719915E-2</c:v>
                      </c:pt>
                      <c:pt idx="5">
                        <c:v>8.7646982112872529E-2</c:v>
                      </c:pt>
                      <c:pt idx="6">
                        <c:v>8.9945910029510467E-2</c:v>
                      </c:pt>
                      <c:pt idx="7">
                        <c:v>9.1848331863867372E-2</c:v>
                      </c:pt>
                      <c:pt idx="8">
                        <c:v>9.5008911729099144E-2</c:v>
                      </c:pt>
                      <c:pt idx="9">
                        <c:v>9.828975039912044E-2</c:v>
                      </c:pt>
                      <c:pt idx="10">
                        <c:v>0.10179051789885922</c:v>
                      </c:pt>
                      <c:pt idx="11">
                        <c:v>0.10559412838512824</c:v>
                      </c:pt>
                      <c:pt idx="12">
                        <c:v>0.10974549106337675</c:v>
                      </c:pt>
                      <c:pt idx="13">
                        <c:v>0.11428741692090684</c:v>
                      </c:pt>
                      <c:pt idx="14">
                        <c:v>0.1192040400486311</c:v>
                      </c:pt>
                      <c:pt idx="15">
                        <c:v>0.12453537230563932</c:v>
                      </c:pt>
                      <c:pt idx="16">
                        <c:v>0.13033483480923858</c:v>
                      </c:pt>
                      <c:pt idx="17">
                        <c:v>0.13674391231707875</c:v>
                      </c:pt>
                      <c:pt idx="18">
                        <c:v>0.14400178890318593</c:v>
                      </c:pt>
                      <c:pt idx="19">
                        <c:v>0.15215211521031957</c:v>
                      </c:pt>
                      <c:pt idx="20">
                        <c:v>0.16148040116002638</c:v>
                      </c:pt>
                      <c:pt idx="21">
                        <c:v>0.17223570285179937</c:v>
                      </c:pt>
                      <c:pt idx="22">
                        <c:v>0.18461226086673413</c:v>
                      </c:pt>
                    </c:numCache>
                  </c:numRef>
                </c:val>
                <c:smooth val="0"/>
                <c:extLst xmlns:c15="http://schemas.microsoft.com/office/drawing/2012/chart">
                  <c:ext xmlns:c16="http://schemas.microsoft.com/office/drawing/2014/chart" uri="{C3380CC4-5D6E-409C-BE32-E72D297353CC}">
                    <c16:uniqueId val="{00000003-36FD-426D-BBE2-D189944B754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Financeability!$U$65</c15:sqref>
                        </c15:formulaRef>
                      </c:ext>
                    </c:extLst>
                    <c:strCache>
                      <c:ptCount val="1"/>
                      <c:pt idx="0">
                        <c:v>Gearing</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xmlns:c15="http://schemas.microsoft.com/office/drawing/2012/chart">
                      <c:ext xmlns:c15="http://schemas.microsoft.com/office/drawing/2012/chart" uri="{02D57815-91ED-43cb-92C2-25804820EDAC}">
                        <c15:formulaRef>
                          <c15:sqref>Financeability!$V$65:$AR$65</c15:sqref>
                        </c15:formulaRef>
                      </c:ext>
                    </c:extLst>
                    <c:numCache>
                      <c:formatCode>0.0%</c:formatCode>
                      <c:ptCount val="23"/>
                      <c:pt idx="0">
                        <c:v>0.55000000000000004</c:v>
                      </c:pt>
                      <c:pt idx="1">
                        <c:v>0.55000000000000004</c:v>
                      </c:pt>
                      <c:pt idx="2">
                        <c:v>0.55000000000000004</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pt idx="12">
                        <c:v>0.55000000000000004</c:v>
                      </c:pt>
                      <c:pt idx="13">
                        <c:v>0.55000000000000004</c:v>
                      </c:pt>
                      <c:pt idx="14">
                        <c:v>0.55000000000000004</c:v>
                      </c:pt>
                      <c:pt idx="15">
                        <c:v>0.55000000000000004</c:v>
                      </c:pt>
                      <c:pt idx="16">
                        <c:v>0.55000000000000004</c:v>
                      </c:pt>
                      <c:pt idx="17">
                        <c:v>0.55000000000000004</c:v>
                      </c:pt>
                      <c:pt idx="18">
                        <c:v>0.55000000000000004</c:v>
                      </c:pt>
                      <c:pt idx="19">
                        <c:v>0.55000000000000004</c:v>
                      </c:pt>
                      <c:pt idx="20">
                        <c:v>0.55000000000000004</c:v>
                      </c:pt>
                      <c:pt idx="21">
                        <c:v>0.55000000000000004</c:v>
                      </c:pt>
                      <c:pt idx="22">
                        <c:v>0.55000000000000004</c:v>
                      </c:pt>
                    </c:numCache>
                  </c:numRef>
                </c:val>
                <c:smooth val="0"/>
                <c:extLst xmlns:c15="http://schemas.microsoft.com/office/drawing/2012/chart">
                  <c:ext xmlns:c16="http://schemas.microsoft.com/office/drawing/2014/chart" uri="{C3380CC4-5D6E-409C-BE32-E72D297353CC}">
                    <c16:uniqueId val="{00000004-36FD-426D-BBE2-D189944B754D}"/>
                  </c:ext>
                </c:extLst>
              </c15:ser>
            </c15:filteredLineSeries>
          </c:ext>
        </c:extLst>
      </c:lineChart>
      <c:catAx>
        <c:axId val="5855868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581968"/>
        <c:crosses val="autoZero"/>
        <c:auto val="1"/>
        <c:lblAlgn val="ctr"/>
        <c:lblOffset val="100"/>
        <c:noMultiLvlLbl val="0"/>
      </c:catAx>
      <c:valAx>
        <c:axId val="585581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586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8.png"/><Relationship Id="rId7" Type="http://schemas.openxmlformats.org/officeDocument/2006/relationships/image" Target="../media/image11.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1.emf"/><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102</xdr:row>
      <xdr:rowOff>0</xdr:rowOff>
    </xdr:from>
    <xdr:to>
      <xdr:col>0</xdr:col>
      <xdr:colOff>640080</xdr:colOff>
      <xdr:row>104</xdr:row>
      <xdr:rowOff>1953</xdr:rowOff>
    </xdr:to>
    <xdr:pic>
      <xdr:nvPicPr>
        <xdr:cNvPr id="9"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1252579</xdr:colOff>
      <xdr:row>104</xdr:row>
      <xdr:rowOff>25852</xdr:rowOff>
    </xdr:to>
    <xdr:pic>
      <xdr:nvPicPr>
        <xdr:cNvPr id="10"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1839319</xdr:colOff>
      <xdr:row>104</xdr:row>
      <xdr:rowOff>19594</xdr:rowOff>
    </xdr:to>
    <xdr:pic>
      <xdr:nvPicPr>
        <xdr:cNvPr id="11"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102</xdr:row>
      <xdr:rowOff>0</xdr:rowOff>
    </xdr:from>
    <xdr:to>
      <xdr:col>0</xdr:col>
      <xdr:colOff>640080</xdr:colOff>
      <xdr:row>104</xdr:row>
      <xdr:rowOff>1953</xdr:rowOff>
    </xdr:to>
    <xdr:pic>
      <xdr:nvPicPr>
        <xdr:cNvPr id="1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1252579</xdr:colOff>
      <xdr:row>104</xdr:row>
      <xdr:rowOff>25852</xdr:rowOff>
    </xdr:to>
    <xdr:pic>
      <xdr:nvPicPr>
        <xdr:cNvPr id="13"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1839319</xdr:colOff>
      <xdr:row>104</xdr:row>
      <xdr:rowOff>19594</xdr:rowOff>
    </xdr:to>
    <xdr:pic>
      <xdr:nvPicPr>
        <xdr:cNvPr id="14"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34</xdr:row>
      <xdr:rowOff>0</xdr:rowOff>
    </xdr:from>
    <xdr:to>
      <xdr:col>0</xdr:col>
      <xdr:colOff>640080</xdr:colOff>
      <xdr:row>36</xdr:row>
      <xdr:rowOff>11976</xdr:rowOff>
    </xdr:to>
    <xdr:pic>
      <xdr:nvPicPr>
        <xdr:cNvPr id="21"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937260"/>
          <a:ext cx="1905" cy="316775"/>
        </a:xfrm>
        <a:prstGeom prst="rect">
          <a:avLst/>
        </a:prstGeom>
        <a:noFill/>
        <a:ln w="9525">
          <a:noFill/>
          <a:miter lim="800000"/>
          <a:headEnd/>
          <a:tailEnd/>
        </a:ln>
      </xdr:spPr>
    </xdr:pic>
    <xdr:clientData/>
  </xdr:twoCellAnchor>
  <xdr:twoCellAnchor editAs="oneCell">
    <xdr:from>
      <xdr:col>0</xdr:col>
      <xdr:colOff>1247775</xdr:colOff>
      <xdr:row>34</xdr:row>
      <xdr:rowOff>0</xdr:rowOff>
    </xdr:from>
    <xdr:to>
      <xdr:col>0</xdr:col>
      <xdr:colOff>1249680</xdr:colOff>
      <xdr:row>36</xdr:row>
      <xdr:rowOff>52523</xdr:rowOff>
    </xdr:to>
    <xdr:pic>
      <xdr:nvPicPr>
        <xdr:cNvPr id="22"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937260"/>
          <a:ext cx="1905" cy="357322"/>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1840230</xdr:colOff>
      <xdr:row>36</xdr:row>
      <xdr:rowOff>46265</xdr:rowOff>
    </xdr:to>
    <xdr:pic>
      <xdr:nvPicPr>
        <xdr:cNvPr id="23"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937260"/>
          <a:ext cx="1905" cy="351064"/>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1840230</xdr:colOff>
      <xdr:row>36</xdr:row>
      <xdr:rowOff>46265</xdr:rowOff>
    </xdr:to>
    <xdr:pic>
      <xdr:nvPicPr>
        <xdr:cNvPr id="26"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286000"/>
          <a:ext cx="1905" cy="3510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55</xdr:row>
      <xdr:rowOff>0</xdr:rowOff>
    </xdr:from>
    <xdr:to>
      <xdr:col>0</xdr:col>
      <xdr:colOff>640080</xdr:colOff>
      <xdr:row>57</xdr:row>
      <xdr:rowOff>1954</xdr:rowOff>
    </xdr:to>
    <xdr:pic>
      <xdr:nvPicPr>
        <xdr:cNvPr id="3"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4"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5"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1954</xdr:rowOff>
    </xdr:to>
    <xdr:pic>
      <xdr:nvPicPr>
        <xdr:cNvPr id="6"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7"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8"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9"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0"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1"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1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3"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4"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46</xdr:row>
      <xdr:rowOff>152400</xdr:rowOff>
    </xdr:from>
    <xdr:to>
      <xdr:col>1</xdr:col>
      <xdr:colOff>3853367</xdr:colOff>
      <xdr:row>50</xdr:row>
      <xdr:rowOff>156674</xdr:rowOff>
    </xdr:to>
    <xdr:pic>
      <xdr:nvPicPr>
        <xdr:cNvPr id="2"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55" r="2154" b="64717"/>
        <a:stretch/>
      </xdr:blipFill>
      <xdr:spPr bwMode="auto">
        <a:xfrm>
          <a:off x="333375" y="8153400"/>
          <a:ext cx="384765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276225</xdr:colOff>
      <xdr:row>56</xdr:row>
      <xdr:rowOff>85725</xdr:rowOff>
    </xdr:from>
    <xdr:to>
      <xdr:col>1</xdr:col>
      <xdr:colOff>1740812</xdr:colOff>
      <xdr:row>60</xdr:row>
      <xdr:rowOff>89999</xdr:rowOff>
    </xdr:to>
    <xdr:pic>
      <xdr:nvPicPr>
        <xdr:cNvPr id="3"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759" r="45672" b="64717"/>
        <a:stretch/>
      </xdr:blipFill>
      <xdr:spPr bwMode="auto">
        <a:xfrm>
          <a:off x="901065" y="9763125"/>
          <a:ext cx="1464587"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1809042</xdr:colOff>
      <xdr:row>87</xdr:row>
      <xdr:rowOff>51899</xdr:rowOff>
    </xdr:to>
    <xdr:pic>
      <xdr:nvPicPr>
        <xdr:cNvPr id="4" name="Picture 3">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850" r="4788" b="64717"/>
        <a:stretch/>
      </xdr:blipFill>
      <xdr:spPr bwMode="auto">
        <a:xfrm>
          <a:off x="643890" y="14251305"/>
          <a:ext cx="178999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495300</xdr:colOff>
      <xdr:row>4</xdr:row>
      <xdr:rowOff>123825</xdr:rowOff>
    </xdr:from>
    <xdr:to>
      <xdr:col>13</xdr:col>
      <xdr:colOff>630555</xdr:colOff>
      <xdr:row>16</xdr:row>
      <xdr:rowOff>0</xdr:rowOff>
    </xdr:to>
    <xdr:pic>
      <xdr:nvPicPr>
        <xdr:cNvPr id="5" name="Picture 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8560" y="901065"/>
          <a:ext cx="4928235" cy="191071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2057400</xdr:colOff>
      <xdr:row>56</xdr:row>
      <xdr:rowOff>95250</xdr:rowOff>
    </xdr:from>
    <xdr:to>
      <xdr:col>13</xdr:col>
      <xdr:colOff>476250</xdr:colOff>
      <xdr:row>60</xdr:row>
      <xdr:rowOff>66675</xdr:rowOff>
    </xdr:to>
    <xdr:sp macro="" textlink="">
      <xdr:nvSpPr>
        <xdr:cNvPr id="6" name="TextBox 5">
          <a:extLst>
            <a:ext uri="{FF2B5EF4-FFF2-40B4-BE49-F238E27FC236}">
              <a16:creationId xmlns:a16="http://schemas.microsoft.com/office/drawing/2014/main" id="{00000000-0008-0000-0000-000002000000}"/>
            </a:ext>
          </a:extLst>
        </xdr:cNvPr>
        <xdr:cNvSpPr txBox="1"/>
      </xdr:nvSpPr>
      <xdr:spPr>
        <a:xfrm>
          <a:off x="2682240" y="9772650"/>
          <a:ext cx="10146030" cy="64198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1</xdr:col>
      <xdr:colOff>1914525</xdr:colOff>
      <xdr:row>84</xdr:row>
      <xdr:rowOff>9525</xdr:rowOff>
    </xdr:from>
    <xdr:to>
      <xdr:col>13</xdr:col>
      <xdr:colOff>333375</xdr:colOff>
      <xdr:row>87</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539365" y="14380845"/>
          <a:ext cx="10146030" cy="63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1</xdr:col>
      <xdr:colOff>968681</xdr:colOff>
      <xdr:row>53</xdr:row>
      <xdr:rowOff>130481</xdr:rowOff>
    </xdr:to>
    <xdr:sp macro="" textlink="">
      <xdr:nvSpPr>
        <xdr:cNvPr id="8" name="Oval 7">
          <a:extLst>
            <a:ext uri="{FF2B5EF4-FFF2-40B4-BE49-F238E27FC236}">
              <a16:creationId xmlns:a16="http://schemas.microsoft.com/office/drawing/2014/main" id="{00000000-0008-0000-0000-00000A000000}"/>
            </a:ext>
          </a:extLst>
        </xdr:cNvPr>
        <xdr:cNvSpPr/>
      </xdr:nvSpPr>
      <xdr:spPr bwMode="gray">
        <a:xfrm>
          <a:off x="1177290" y="887730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a:extLst>
            <a:ext uri="{FF2B5EF4-FFF2-40B4-BE49-F238E27FC236}">
              <a16:creationId xmlns:a16="http://schemas.microsoft.com/office/drawing/2014/main" id="{00000000-0008-0000-0000-00000B000000}"/>
            </a:ext>
          </a:extLst>
        </xdr:cNvPr>
        <xdr:cNvSpPr/>
      </xdr:nvSpPr>
      <xdr:spPr bwMode="gray">
        <a:xfrm>
          <a:off x="2977658" y="886777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a:extLst>
            <a:ext uri="{FF2B5EF4-FFF2-40B4-BE49-F238E27FC236}">
              <a16:creationId xmlns:a16="http://schemas.microsoft.com/office/drawing/2014/main" id="{00000000-0008-0000-0000-00000C000000}"/>
            </a:ext>
          </a:extLst>
        </xdr:cNvPr>
        <xdr:cNvSpPr/>
      </xdr:nvSpPr>
      <xdr:spPr>
        <a:xfrm>
          <a:off x="2034683" y="8886825"/>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a:extLst>
            <a:ext uri="{FF2B5EF4-FFF2-40B4-BE49-F238E27FC236}">
              <a16:creationId xmlns:a16="http://schemas.microsoft.com/office/drawing/2014/main" id="{00000000-0008-0000-0000-00000D000000}"/>
            </a:ext>
          </a:extLst>
        </xdr:cNvPr>
        <xdr:cNvSpPr/>
      </xdr:nvSpPr>
      <xdr:spPr bwMode="gray">
        <a:xfrm>
          <a:off x="409575" y="9873615"/>
          <a:ext cx="43147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a:extLst>
            <a:ext uri="{FF2B5EF4-FFF2-40B4-BE49-F238E27FC236}">
              <a16:creationId xmlns:a16="http://schemas.microsoft.com/office/drawing/2014/main" id="{00000000-0008-0000-0000-00000E000000}"/>
            </a:ext>
          </a:extLst>
        </xdr:cNvPr>
        <xdr:cNvSpPr/>
      </xdr:nvSpPr>
      <xdr:spPr bwMode="gray">
        <a:xfrm>
          <a:off x="76200" y="1437132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2430870</xdr:colOff>
      <xdr:row>120</xdr:row>
      <xdr:rowOff>5074</xdr:rowOff>
    </xdr:to>
    <xdr:pic>
      <xdr:nvPicPr>
        <xdr:cNvPr id="13" name="Picture 12">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0" r="32341" b="5256"/>
        <a:stretch/>
      </xdr:blipFill>
      <xdr:spPr bwMode="auto">
        <a:xfrm>
          <a:off x="561975" y="19305270"/>
          <a:ext cx="2425155" cy="115950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a:extLst>
            <a:ext uri="{FF2B5EF4-FFF2-40B4-BE49-F238E27FC236}">
              <a16:creationId xmlns:a16="http://schemas.microsoft.com/office/drawing/2014/main" id="{00000000-0008-0000-0000-000011000000}"/>
            </a:ext>
          </a:extLst>
        </xdr:cNvPr>
        <xdr:cNvSpPr/>
      </xdr:nvSpPr>
      <xdr:spPr bwMode="gray">
        <a:xfrm>
          <a:off x="3120390" y="1933384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a:extLst>
            <a:ext uri="{FF2B5EF4-FFF2-40B4-BE49-F238E27FC236}">
              <a16:creationId xmlns:a16="http://schemas.microsoft.com/office/drawing/2014/main" id="{00000000-0008-0000-0000-000012000000}"/>
            </a:ext>
          </a:extLst>
        </xdr:cNvPr>
        <xdr:cNvSpPr/>
      </xdr:nvSpPr>
      <xdr:spPr bwMode="gray">
        <a:xfrm>
          <a:off x="3110865" y="200425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a:extLst>
            <a:ext uri="{FF2B5EF4-FFF2-40B4-BE49-F238E27FC236}">
              <a16:creationId xmlns:a16="http://schemas.microsoft.com/office/drawing/2014/main" id="{00000000-0008-0000-0000-000013000000}"/>
            </a:ext>
          </a:extLst>
        </xdr:cNvPr>
        <xdr:cNvSpPr/>
      </xdr:nvSpPr>
      <xdr:spPr>
        <a:xfrm>
          <a:off x="3139440" y="19697700"/>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a:extLst>
            <a:ext uri="{FF2B5EF4-FFF2-40B4-BE49-F238E27FC236}">
              <a16:creationId xmlns:a16="http://schemas.microsoft.com/office/drawing/2014/main" id="{00000000-0008-0000-0000-000014000000}"/>
            </a:ext>
          </a:extLst>
        </xdr:cNvPr>
        <xdr:cNvSpPr/>
      </xdr:nvSpPr>
      <xdr:spPr bwMode="gray">
        <a:xfrm>
          <a:off x="57150" y="209188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2495640</xdr:colOff>
      <xdr:row>126</xdr:row>
      <xdr:rowOff>31187</xdr:rowOff>
    </xdr:to>
    <xdr:pic>
      <xdr:nvPicPr>
        <xdr:cNvPr id="18" name="Picture 17">
          <a:extLst>
            <a:ext uri="{FF2B5EF4-FFF2-40B4-BE49-F238E27FC236}">
              <a16:creationId xmlns:a16="http://schemas.microsoft.com/office/drawing/2014/main" id="{00000000-0008-0000-0000-00001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1" r="32341" b="35547"/>
        <a:stretch/>
      </xdr:blipFill>
      <xdr:spPr bwMode="auto">
        <a:xfrm>
          <a:off x="710565" y="20914118"/>
          <a:ext cx="2409915" cy="58260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123</xdr:row>
      <xdr:rowOff>9525</xdr:rowOff>
    </xdr:from>
    <xdr:to>
      <xdr:col>14</xdr:col>
      <xdr:colOff>590550</xdr:colOff>
      <xdr:row>125</xdr:row>
      <xdr:rowOff>152400</xdr:rowOff>
    </xdr:to>
    <xdr:sp macro="" textlink="">
      <xdr:nvSpPr>
        <xdr:cNvPr id="19" name="TextBox 18">
          <a:extLst>
            <a:ext uri="{FF2B5EF4-FFF2-40B4-BE49-F238E27FC236}">
              <a16:creationId xmlns:a16="http://schemas.microsoft.com/office/drawing/2014/main" id="{00000000-0008-0000-0000-000017000000}"/>
            </a:ext>
          </a:extLst>
        </xdr:cNvPr>
        <xdr:cNvSpPr txBox="1"/>
      </xdr:nvSpPr>
      <xdr:spPr>
        <a:xfrm>
          <a:off x="3406140" y="20972145"/>
          <a:ext cx="10161270" cy="478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a:extLst>
            <a:ext uri="{FF2B5EF4-FFF2-40B4-BE49-F238E27FC236}">
              <a16:creationId xmlns:a16="http://schemas.microsoft.com/office/drawing/2014/main" id="{00000000-0008-0000-0000-000018000000}"/>
            </a:ext>
          </a:extLst>
        </xdr:cNvPr>
        <xdr:cNvSpPr/>
      </xdr:nvSpPr>
      <xdr:spPr bwMode="gray">
        <a:xfrm>
          <a:off x="85725" y="2796921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2428965</xdr:colOff>
      <xdr:row>168</xdr:row>
      <xdr:rowOff>7300</xdr:rowOff>
    </xdr:to>
    <xdr:pic>
      <xdr:nvPicPr>
        <xdr:cNvPr id="21" name="Picture 20">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64453" r="32341" b="5255"/>
        <a:stretch/>
      </xdr:blipFill>
      <xdr:spPr bwMode="auto">
        <a:xfrm>
          <a:off x="643890" y="27931110"/>
          <a:ext cx="2409915" cy="58261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164</xdr:row>
      <xdr:rowOff>142875</xdr:rowOff>
    </xdr:from>
    <xdr:to>
      <xdr:col>14</xdr:col>
      <xdr:colOff>590550</xdr:colOff>
      <xdr:row>167</xdr:row>
      <xdr:rowOff>123825</xdr:rowOff>
    </xdr:to>
    <xdr:sp macro="" textlink="">
      <xdr:nvSpPr>
        <xdr:cNvPr id="22" name="TextBox 21">
          <a:extLst>
            <a:ext uri="{FF2B5EF4-FFF2-40B4-BE49-F238E27FC236}">
              <a16:creationId xmlns:a16="http://schemas.microsoft.com/office/drawing/2014/main" id="{00000000-0008-0000-0000-00001C000000}"/>
            </a:ext>
          </a:extLst>
        </xdr:cNvPr>
        <xdr:cNvSpPr txBox="1"/>
      </xdr:nvSpPr>
      <xdr:spPr>
        <a:xfrm>
          <a:off x="3406140" y="27978735"/>
          <a:ext cx="10161270" cy="48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8</xdr:col>
      <xdr:colOff>352425</xdr:colOff>
      <xdr:row>1</xdr:row>
      <xdr:rowOff>47625</xdr:rowOff>
    </xdr:from>
    <xdr:to>
      <xdr:col>9</xdr:col>
      <xdr:colOff>159056</xdr:colOff>
      <xdr:row>3</xdr:row>
      <xdr:rowOff>130481</xdr:rowOff>
    </xdr:to>
    <xdr:sp macro="" textlink="">
      <xdr:nvSpPr>
        <xdr:cNvPr id="23" name="Oval 22">
          <a:extLst>
            <a:ext uri="{FF2B5EF4-FFF2-40B4-BE49-F238E27FC236}">
              <a16:creationId xmlns:a16="http://schemas.microsoft.com/office/drawing/2014/main" id="{00000000-0008-0000-0000-00001E000000}"/>
            </a:ext>
          </a:extLst>
        </xdr:cNvPr>
        <xdr:cNvSpPr/>
      </xdr:nvSpPr>
      <xdr:spPr bwMode="gray">
        <a:xfrm>
          <a:off x="9580245" y="314325"/>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11</xdr:col>
      <xdr:colOff>304800</xdr:colOff>
      <xdr:row>1</xdr:row>
      <xdr:rowOff>19050</xdr:rowOff>
    </xdr:from>
    <xdr:to>
      <xdr:col>12</xdr:col>
      <xdr:colOff>111431</xdr:colOff>
      <xdr:row>3</xdr:row>
      <xdr:rowOff>101906</xdr:rowOff>
    </xdr:to>
    <xdr:sp macro="" textlink="">
      <xdr:nvSpPr>
        <xdr:cNvPr id="24" name="Oval 23">
          <a:extLst>
            <a:ext uri="{FF2B5EF4-FFF2-40B4-BE49-F238E27FC236}">
              <a16:creationId xmlns:a16="http://schemas.microsoft.com/office/drawing/2014/main" id="{00000000-0008-0000-0000-00001F000000}"/>
            </a:ext>
          </a:extLst>
        </xdr:cNvPr>
        <xdr:cNvSpPr/>
      </xdr:nvSpPr>
      <xdr:spPr bwMode="gray">
        <a:xfrm>
          <a:off x="11407140" y="285750"/>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10</xdr:col>
      <xdr:colOff>314325</xdr:colOff>
      <xdr:row>9</xdr:row>
      <xdr:rowOff>19050</xdr:rowOff>
    </xdr:from>
    <xdr:to>
      <xdr:col>11</xdr:col>
      <xdr:colOff>120956</xdr:colOff>
      <xdr:row>11</xdr:row>
      <xdr:rowOff>120956</xdr:rowOff>
    </xdr:to>
    <xdr:sp macro="" textlink="">
      <xdr:nvSpPr>
        <xdr:cNvPr id="25" name="Oval 24">
          <a:extLst>
            <a:ext uri="{FF2B5EF4-FFF2-40B4-BE49-F238E27FC236}">
              <a16:creationId xmlns:a16="http://schemas.microsoft.com/office/drawing/2014/main" id="{00000000-0008-0000-0000-000022000000}"/>
            </a:ext>
          </a:extLst>
        </xdr:cNvPr>
        <xdr:cNvSpPr/>
      </xdr:nvSpPr>
      <xdr:spPr bwMode="gray">
        <a:xfrm>
          <a:off x="10791825" y="1642110"/>
          <a:ext cx="431471" cy="4448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11</xdr:col>
      <xdr:colOff>190500</xdr:colOff>
      <xdr:row>16</xdr:row>
      <xdr:rowOff>114300</xdr:rowOff>
    </xdr:from>
    <xdr:to>
      <xdr:col>11</xdr:col>
      <xdr:colOff>606731</xdr:colOff>
      <xdr:row>19</xdr:row>
      <xdr:rowOff>44756</xdr:rowOff>
    </xdr:to>
    <xdr:sp macro="" textlink="">
      <xdr:nvSpPr>
        <xdr:cNvPr id="26" name="Oval 25">
          <a:extLst>
            <a:ext uri="{FF2B5EF4-FFF2-40B4-BE49-F238E27FC236}">
              <a16:creationId xmlns:a16="http://schemas.microsoft.com/office/drawing/2014/main" id="{00000000-0008-0000-0000-000024000000}"/>
            </a:ext>
          </a:extLst>
        </xdr:cNvPr>
        <xdr:cNvSpPr/>
      </xdr:nvSpPr>
      <xdr:spPr bwMode="gray">
        <a:xfrm>
          <a:off x="11292840" y="292608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10</xdr:col>
      <xdr:colOff>114300</xdr:colOff>
      <xdr:row>8</xdr:row>
      <xdr:rowOff>152399</xdr:rowOff>
    </xdr:from>
    <xdr:to>
      <xdr:col>10</xdr:col>
      <xdr:colOff>160019</xdr:colOff>
      <xdr:row>12</xdr:row>
      <xdr:rowOff>19049</xdr:rowOff>
    </xdr:to>
    <xdr:sp macro="" textlink="">
      <xdr:nvSpPr>
        <xdr:cNvPr id="27" name="Right Brace 26">
          <a:extLst>
            <a:ext uri="{FF2B5EF4-FFF2-40B4-BE49-F238E27FC236}">
              <a16:creationId xmlns:a16="http://schemas.microsoft.com/office/drawing/2014/main" id="{00000000-0008-0000-0000-000004000000}"/>
            </a:ext>
          </a:extLst>
        </xdr:cNvPr>
        <xdr:cNvSpPr/>
      </xdr:nvSpPr>
      <xdr:spPr>
        <a:xfrm>
          <a:off x="10591800" y="1600199"/>
          <a:ext cx="45719" cy="56007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428624</xdr:colOff>
      <xdr:row>4</xdr:row>
      <xdr:rowOff>28574</xdr:rowOff>
    </xdr:from>
    <xdr:to>
      <xdr:col>10</xdr:col>
      <xdr:colOff>38100</xdr:colOff>
      <xdr:row>4</xdr:row>
      <xdr:rowOff>161924</xdr:rowOff>
    </xdr:to>
    <xdr:sp macro="" textlink="">
      <xdr:nvSpPr>
        <xdr:cNvPr id="28" name="Right Brace 27">
          <a:extLst>
            <a:ext uri="{FF2B5EF4-FFF2-40B4-BE49-F238E27FC236}">
              <a16:creationId xmlns:a16="http://schemas.microsoft.com/office/drawing/2014/main" id="{00000000-0008-0000-0000-000025000000}"/>
            </a:ext>
          </a:extLst>
        </xdr:cNvPr>
        <xdr:cNvSpPr/>
      </xdr:nvSpPr>
      <xdr:spPr>
        <a:xfrm rot="16200000">
          <a:off x="9706927" y="130491"/>
          <a:ext cx="133350" cy="148399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266700</xdr:colOff>
      <xdr:row>3</xdr:row>
      <xdr:rowOff>152400</xdr:rowOff>
    </xdr:from>
    <xdr:to>
      <xdr:col>13</xdr:col>
      <xdr:colOff>152400</xdr:colOff>
      <xdr:row>4</xdr:row>
      <xdr:rowOff>123825</xdr:rowOff>
    </xdr:to>
    <xdr:sp macro="" textlink="">
      <xdr:nvSpPr>
        <xdr:cNvPr id="29" name="Right Brace 28">
          <a:extLst>
            <a:ext uri="{FF2B5EF4-FFF2-40B4-BE49-F238E27FC236}">
              <a16:creationId xmlns:a16="http://schemas.microsoft.com/office/drawing/2014/main" id="{00000000-0008-0000-0000-000026000000}"/>
            </a:ext>
          </a:extLst>
        </xdr:cNvPr>
        <xdr:cNvSpPr/>
      </xdr:nvSpPr>
      <xdr:spPr>
        <a:xfrm rot="16200000">
          <a:off x="11554777" y="-48577"/>
          <a:ext cx="139065" cy="176022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227645</xdr:colOff>
      <xdr:row>15</xdr:row>
      <xdr:rowOff>105728</xdr:rowOff>
    </xdr:from>
    <xdr:to>
      <xdr:col>11</xdr:col>
      <xdr:colOff>57148</xdr:colOff>
      <xdr:row>16</xdr:row>
      <xdr:rowOff>57150</xdr:rowOff>
    </xdr:to>
    <xdr:sp macro="" textlink="">
      <xdr:nvSpPr>
        <xdr:cNvPr id="30" name="Right Brace 29">
          <a:extLst>
            <a:ext uri="{FF2B5EF4-FFF2-40B4-BE49-F238E27FC236}">
              <a16:creationId xmlns:a16="http://schemas.microsoft.com/office/drawing/2014/main" id="{00000000-0008-0000-0000-000027000000}"/>
            </a:ext>
          </a:extLst>
        </xdr:cNvPr>
        <xdr:cNvSpPr/>
      </xdr:nvSpPr>
      <xdr:spPr>
        <a:xfrm rot="5400000">
          <a:off x="9935526" y="1644967"/>
          <a:ext cx="119062" cy="232886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238123</xdr:colOff>
      <xdr:row>15</xdr:row>
      <xdr:rowOff>85726</xdr:rowOff>
    </xdr:from>
    <xdr:to>
      <xdr:col>11</xdr:col>
      <xdr:colOff>561975</xdr:colOff>
      <xdr:row>16</xdr:row>
      <xdr:rowOff>57151</xdr:rowOff>
    </xdr:to>
    <xdr:sp macro="" textlink="">
      <xdr:nvSpPr>
        <xdr:cNvPr id="31" name="Right Brace 30">
          <a:extLst>
            <a:ext uri="{FF2B5EF4-FFF2-40B4-BE49-F238E27FC236}">
              <a16:creationId xmlns:a16="http://schemas.microsoft.com/office/drawing/2014/main" id="{00000000-0008-0000-0000-000028000000}"/>
            </a:ext>
          </a:extLst>
        </xdr:cNvPr>
        <xdr:cNvSpPr/>
      </xdr:nvSpPr>
      <xdr:spPr>
        <a:xfrm rot="5400000">
          <a:off x="11432856" y="2637473"/>
          <a:ext cx="13906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552450</xdr:colOff>
      <xdr:row>16</xdr:row>
      <xdr:rowOff>104775</xdr:rowOff>
    </xdr:from>
    <xdr:to>
      <xdr:col>9</xdr:col>
      <xdr:colOff>359081</xdr:colOff>
      <xdr:row>19</xdr:row>
      <xdr:rowOff>35231</xdr:rowOff>
    </xdr:to>
    <xdr:sp macro="" textlink="">
      <xdr:nvSpPr>
        <xdr:cNvPr id="32" name="Oval 31">
          <a:extLst>
            <a:ext uri="{FF2B5EF4-FFF2-40B4-BE49-F238E27FC236}">
              <a16:creationId xmlns:a16="http://schemas.microsoft.com/office/drawing/2014/main" id="{00000000-0008-0000-0000-000029000000}"/>
            </a:ext>
          </a:extLst>
        </xdr:cNvPr>
        <xdr:cNvSpPr/>
      </xdr:nvSpPr>
      <xdr:spPr bwMode="gray">
        <a:xfrm>
          <a:off x="9780270" y="2916555"/>
          <a:ext cx="43147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3673837</xdr:colOff>
      <xdr:row>215</xdr:row>
      <xdr:rowOff>47625</xdr:rowOff>
    </xdr:to>
    <xdr:pic>
      <xdr:nvPicPr>
        <xdr:cNvPr id="33" name="Picture 32">
          <a:extLst>
            <a:ext uri="{FF2B5EF4-FFF2-40B4-BE49-F238E27FC236}">
              <a16:creationId xmlns:a16="http://schemas.microsoft.com/office/drawing/2014/main" id="{00000000-0008-0000-0000-00002A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72"/>
        <a:stretch/>
      </xdr:blipFill>
      <xdr:spPr bwMode="auto">
        <a:xfrm>
          <a:off x="581025" y="34987230"/>
          <a:ext cx="3664312" cy="149923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3609975</xdr:colOff>
      <xdr:row>207</xdr:row>
      <xdr:rowOff>66675</xdr:rowOff>
    </xdr:from>
    <xdr:to>
      <xdr:col>3</xdr:col>
      <xdr:colOff>16181</xdr:colOff>
      <xdr:row>209</xdr:row>
      <xdr:rowOff>159056</xdr:rowOff>
    </xdr:to>
    <xdr:sp macro="" textlink="">
      <xdr:nvSpPr>
        <xdr:cNvPr id="34" name="Oval 33">
          <a:extLst>
            <a:ext uri="{FF2B5EF4-FFF2-40B4-BE49-F238E27FC236}">
              <a16:creationId xmlns:a16="http://schemas.microsoft.com/office/drawing/2014/main" id="{00000000-0008-0000-0000-00002B000000}"/>
            </a:ext>
          </a:extLst>
        </xdr:cNvPr>
        <xdr:cNvSpPr/>
      </xdr:nvSpPr>
      <xdr:spPr bwMode="gray">
        <a:xfrm>
          <a:off x="4234815" y="35164395"/>
          <a:ext cx="1427786"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a:extLst>
            <a:ext uri="{FF2B5EF4-FFF2-40B4-BE49-F238E27FC236}">
              <a16:creationId xmlns:a16="http://schemas.microsoft.com/office/drawing/2014/main" id="{00000000-0008-0000-0000-00002C000000}"/>
            </a:ext>
          </a:extLst>
        </xdr:cNvPr>
        <xdr:cNvSpPr/>
      </xdr:nvSpPr>
      <xdr:spPr>
        <a:xfrm>
          <a:off x="4263390" y="35619690"/>
          <a:ext cx="360000" cy="37143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1</xdr:col>
      <xdr:colOff>3629025</xdr:colOff>
      <xdr:row>212</xdr:row>
      <xdr:rowOff>76200</xdr:rowOff>
    </xdr:from>
    <xdr:to>
      <xdr:col>3</xdr:col>
      <xdr:colOff>35231</xdr:colOff>
      <xdr:row>215</xdr:row>
      <xdr:rowOff>6656</xdr:rowOff>
    </xdr:to>
    <xdr:sp macro="" textlink="">
      <xdr:nvSpPr>
        <xdr:cNvPr id="36" name="Oval 35">
          <a:extLst>
            <a:ext uri="{FF2B5EF4-FFF2-40B4-BE49-F238E27FC236}">
              <a16:creationId xmlns:a16="http://schemas.microsoft.com/office/drawing/2014/main" id="{00000000-0008-0000-0000-00002D000000}"/>
            </a:ext>
          </a:extLst>
        </xdr:cNvPr>
        <xdr:cNvSpPr/>
      </xdr:nvSpPr>
      <xdr:spPr bwMode="gray">
        <a:xfrm>
          <a:off x="4253865" y="36012120"/>
          <a:ext cx="1427786"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3</xdr:col>
      <xdr:colOff>419100</xdr:colOff>
      <xdr:row>208</xdr:row>
      <xdr:rowOff>19050</xdr:rowOff>
    </xdr:from>
    <xdr:to>
      <xdr:col>17</xdr:col>
      <xdr:colOff>409575</xdr:colOff>
      <xdr:row>209</xdr:row>
      <xdr:rowOff>152400</xdr:rowOff>
    </xdr:to>
    <xdr:sp macro="" textlink="">
      <xdr:nvSpPr>
        <xdr:cNvPr id="37" name="TextBox 36">
          <a:extLst>
            <a:ext uri="{FF2B5EF4-FFF2-40B4-BE49-F238E27FC236}">
              <a16:creationId xmlns:a16="http://schemas.microsoft.com/office/drawing/2014/main" id="{00000000-0008-0000-0000-00002E000000}"/>
            </a:ext>
          </a:extLst>
        </xdr:cNvPr>
        <xdr:cNvSpPr txBox="1"/>
      </xdr:nvSpPr>
      <xdr:spPr>
        <a:xfrm>
          <a:off x="6065520" y="35284410"/>
          <a:ext cx="9195435" cy="300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3</xdr:col>
      <xdr:colOff>419100</xdr:colOff>
      <xdr:row>210</xdr:row>
      <xdr:rowOff>152400</xdr:rowOff>
    </xdr:from>
    <xdr:to>
      <xdr:col>17</xdr:col>
      <xdr:colOff>409575</xdr:colOff>
      <xdr:row>212</xdr:row>
      <xdr:rowOff>123825</xdr:rowOff>
    </xdr:to>
    <xdr:sp macro="" textlink="">
      <xdr:nvSpPr>
        <xdr:cNvPr id="38" name="TextBox 37">
          <a:extLst>
            <a:ext uri="{FF2B5EF4-FFF2-40B4-BE49-F238E27FC236}">
              <a16:creationId xmlns:a16="http://schemas.microsoft.com/office/drawing/2014/main" id="{00000000-0008-0000-0000-00002F000000}"/>
            </a:ext>
          </a:extLst>
        </xdr:cNvPr>
        <xdr:cNvSpPr txBox="1"/>
      </xdr:nvSpPr>
      <xdr:spPr>
        <a:xfrm>
          <a:off x="6065520" y="35753040"/>
          <a:ext cx="9195435" cy="306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46</xdr:row>
      <xdr:rowOff>152400</xdr:rowOff>
    </xdr:from>
    <xdr:to>
      <xdr:col>1</xdr:col>
      <xdr:colOff>3879191</xdr:colOff>
      <xdr:row>50</xdr:row>
      <xdr:rowOff>156674</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95275" y="8020050"/>
          <a:ext cx="390861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276224</xdr:colOff>
      <xdr:row>56</xdr:row>
      <xdr:rowOff>85725</xdr:rowOff>
    </xdr:from>
    <xdr:to>
      <xdr:col>1</xdr:col>
      <xdr:colOff>2046816</xdr:colOff>
      <xdr:row>60</xdr:row>
      <xdr:rowOff>89999</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17574" y="9540875"/>
          <a:ext cx="1787525"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1836559</xdr:colOff>
      <xdr:row>87</xdr:row>
      <xdr:rowOff>51899</xdr:rowOff>
    </xdr:to>
    <xdr:pic>
      <xdr:nvPicPr>
        <xdr:cNvPr id="4"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660400" y="13890625"/>
          <a:ext cx="183444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495300</xdr:colOff>
      <xdr:row>4</xdr:row>
      <xdr:rowOff>98425</xdr:rowOff>
    </xdr:from>
    <xdr:to>
      <xdr:col>16384</xdr:col>
      <xdr:colOff>400261</xdr:colOff>
      <xdr:row>15</xdr:row>
      <xdr:rowOff>143933</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77767" y="885825"/>
          <a:ext cx="4994275" cy="19335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1247775</xdr:colOff>
      <xdr:row>56</xdr:row>
      <xdr:rowOff>104775</xdr:rowOff>
    </xdr:from>
    <xdr:to>
      <xdr:col>13</xdr:col>
      <xdr:colOff>371475</xdr:colOff>
      <xdr:row>60</xdr:row>
      <xdr:rowOff>76200</xdr:rowOff>
    </xdr:to>
    <xdr:sp macro="" textlink="">
      <xdr:nvSpPr>
        <xdr:cNvPr id="6" name="TextBox 5"/>
        <xdr:cNvSpPr txBox="1"/>
      </xdr:nvSpPr>
      <xdr:spPr>
        <a:xfrm>
          <a:off x="2905125" y="9559925"/>
          <a:ext cx="9963150" cy="60642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2</xdr:col>
      <xdr:colOff>971550</xdr:colOff>
      <xdr:row>83</xdr:row>
      <xdr:rowOff>66675</xdr:rowOff>
    </xdr:from>
    <xdr:to>
      <xdr:col>13</xdr:col>
      <xdr:colOff>542925</xdr:colOff>
      <xdr:row>87</xdr:row>
      <xdr:rowOff>38100</xdr:rowOff>
    </xdr:to>
    <xdr:sp macro="" textlink="">
      <xdr:nvSpPr>
        <xdr:cNvPr id="7" name="TextBox 6"/>
        <xdr:cNvSpPr txBox="1"/>
      </xdr:nvSpPr>
      <xdr:spPr>
        <a:xfrm>
          <a:off x="2628900" y="13909675"/>
          <a:ext cx="10410825" cy="60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2</xdr:col>
      <xdr:colOff>0</xdr:colOff>
      <xdr:row>53</xdr:row>
      <xdr:rowOff>130481</xdr:rowOff>
    </xdr:to>
    <xdr:sp macro="" textlink="">
      <xdr:nvSpPr>
        <xdr:cNvPr id="8" name="Oval 7"/>
        <xdr:cNvSpPr/>
      </xdr:nvSpPr>
      <xdr:spPr bwMode="gray">
        <a:xfrm>
          <a:off x="1193800" y="8699500"/>
          <a:ext cx="46355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xdr:cNvSpPr/>
      </xdr:nvSpPr>
      <xdr:spPr bwMode="gray">
        <a:xfrm>
          <a:off x="1654318" y="8689975"/>
          <a:ext cx="34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xdr:cNvSpPr/>
      </xdr:nvSpPr>
      <xdr:spPr>
        <a:xfrm>
          <a:off x="1657493" y="8709025"/>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xdr:cNvSpPr/>
      </xdr:nvSpPr>
      <xdr:spPr bwMode="gray">
        <a:xfrm>
          <a:off x="409575" y="9642475"/>
          <a:ext cx="4479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xdr:cNvSpPr/>
      </xdr:nvSpPr>
      <xdr:spPr bwMode="gray">
        <a:xfrm>
          <a:off x="76200" y="14001750"/>
          <a:ext cx="41623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2456694</xdr:colOff>
      <xdr:row>120</xdr:row>
      <xdr:rowOff>5074</xdr:rowOff>
    </xdr:to>
    <xdr:pic>
      <xdr:nvPicPr>
        <xdr:cNvPr id="13" name="Picture 12"/>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561975" y="18815050"/>
          <a:ext cx="2486115" cy="1097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xdr:cNvSpPr/>
      </xdr:nvSpPr>
      <xdr:spPr bwMode="gray">
        <a:xfrm>
          <a:off x="1657350" y="18843625"/>
          <a:ext cx="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xdr:cNvSpPr/>
      </xdr:nvSpPr>
      <xdr:spPr bwMode="gray">
        <a:xfrm>
          <a:off x="1654175" y="19516725"/>
          <a:ext cx="348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xdr:cNvSpPr/>
      </xdr:nvSpPr>
      <xdr:spPr>
        <a:xfrm>
          <a:off x="1657350" y="19189700"/>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xdr:cNvSpPr/>
      </xdr:nvSpPr>
      <xdr:spPr bwMode="gray">
        <a:xfrm>
          <a:off x="57150" y="20348575"/>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2523157</xdr:colOff>
      <xdr:row>126</xdr:row>
      <xdr:rowOff>31187</xdr:rowOff>
    </xdr:to>
    <xdr:pic>
      <xdr:nvPicPr>
        <xdr:cNvPr id="18" name="Picture 17"/>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727075" y="20343888"/>
          <a:ext cx="2454365" cy="54704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1781175</xdr:colOff>
      <xdr:row>123</xdr:row>
      <xdr:rowOff>9525</xdr:rowOff>
    </xdr:from>
    <xdr:to>
      <xdr:col>13</xdr:col>
      <xdr:colOff>152400</xdr:colOff>
      <xdr:row>125</xdr:row>
      <xdr:rowOff>152400</xdr:rowOff>
    </xdr:to>
    <xdr:sp macro="" textlink="">
      <xdr:nvSpPr>
        <xdr:cNvPr id="19" name="TextBox 18"/>
        <xdr:cNvSpPr txBox="1"/>
      </xdr:nvSpPr>
      <xdr:spPr>
        <a:xfrm>
          <a:off x="3438525" y="20393025"/>
          <a:ext cx="9210675" cy="46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xdr:cNvSpPr/>
      </xdr:nvSpPr>
      <xdr:spPr bwMode="gray">
        <a:xfrm>
          <a:off x="85725" y="27095450"/>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2456482</xdr:colOff>
      <xdr:row>168</xdr:row>
      <xdr:rowOff>7300</xdr:rowOff>
    </xdr:to>
    <xdr:pic>
      <xdr:nvPicPr>
        <xdr:cNvPr id="21" name="Picture 20"/>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660400" y="27057350"/>
          <a:ext cx="2454365" cy="54705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1628775</xdr:colOff>
      <xdr:row>164</xdr:row>
      <xdr:rowOff>142875</xdr:rowOff>
    </xdr:from>
    <xdr:to>
      <xdr:col>13</xdr:col>
      <xdr:colOff>390525</xdr:colOff>
      <xdr:row>167</xdr:row>
      <xdr:rowOff>123825</xdr:rowOff>
    </xdr:to>
    <xdr:sp macro="" textlink="">
      <xdr:nvSpPr>
        <xdr:cNvPr id="22" name="TextBox 21"/>
        <xdr:cNvSpPr txBox="1"/>
      </xdr:nvSpPr>
      <xdr:spPr>
        <a:xfrm>
          <a:off x="3286125" y="27104975"/>
          <a:ext cx="96012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9</xdr:col>
      <xdr:colOff>352425</xdr:colOff>
      <xdr:row>1</xdr:row>
      <xdr:rowOff>47625</xdr:rowOff>
    </xdr:from>
    <xdr:to>
      <xdr:col>10</xdr:col>
      <xdr:colOff>159056</xdr:colOff>
      <xdr:row>3</xdr:row>
      <xdr:rowOff>130481</xdr:rowOff>
    </xdr:to>
    <xdr:sp macro="" textlink="">
      <xdr:nvSpPr>
        <xdr:cNvPr id="23" name="Oval 22"/>
        <xdr:cNvSpPr/>
      </xdr:nvSpPr>
      <xdr:spPr bwMode="gray">
        <a:xfrm>
          <a:off x="10283825" y="301625"/>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12</xdr:col>
      <xdr:colOff>304800</xdr:colOff>
      <xdr:row>1</xdr:row>
      <xdr:rowOff>19050</xdr:rowOff>
    </xdr:from>
    <xdr:to>
      <xdr:col>13</xdr:col>
      <xdr:colOff>111431</xdr:colOff>
      <xdr:row>3</xdr:row>
      <xdr:rowOff>101906</xdr:rowOff>
    </xdr:to>
    <xdr:sp macro="" textlink="">
      <xdr:nvSpPr>
        <xdr:cNvPr id="24" name="Oval 23"/>
        <xdr:cNvSpPr/>
      </xdr:nvSpPr>
      <xdr:spPr bwMode="gray">
        <a:xfrm>
          <a:off x="12160250" y="273050"/>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11</xdr:col>
      <xdr:colOff>314325</xdr:colOff>
      <xdr:row>9</xdr:row>
      <xdr:rowOff>19050</xdr:rowOff>
    </xdr:from>
    <xdr:to>
      <xdr:col>12</xdr:col>
      <xdr:colOff>120956</xdr:colOff>
      <xdr:row>11</xdr:row>
      <xdr:rowOff>120956</xdr:rowOff>
    </xdr:to>
    <xdr:sp macro="" textlink="">
      <xdr:nvSpPr>
        <xdr:cNvPr id="25" name="Oval 24"/>
        <xdr:cNvSpPr/>
      </xdr:nvSpPr>
      <xdr:spPr bwMode="gray">
        <a:xfrm>
          <a:off x="11528425" y="1600200"/>
          <a:ext cx="447981" cy="4384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12</xdr:col>
      <xdr:colOff>190500</xdr:colOff>
      <xdr:row>16</xdr:row>
      <xdr:rowOff>114300</xdr:rowOff>
    </xdr:from>
    <xdr:to>
      <xdr:col>12</xdr:col>
      <xdr:colOff>606731</xdr:colOff>
      <xdr:row>19</xdr:row>
      <xdr:rowOff>44756</xdr:rowOff>
    </xdr:to>
    <xdr:sp macro="" textlink="">
      <xdr:nvSpPr>
        <xdr:cNvPr id="26" name="Oval 25"/>
        <xdr:cNvSpPr/>
      </xdr:nvSpPr>
      <xdr:spPr bwMode="gray">
        <a:xfrm>
          <a:off x="12045950" y="2863850"/>
          <a:ext cx="41623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11</xdr:col>
      <xdr:colOff>114300</xdr:colOff>
      <xdr:row>8</xdr:row>
      <xdr:rowOff>152399</xdr:rowOff>
    </xdr:from>
    <xdr:to>
      <xdr:col>11</xdr:col>
      <xdr:colOff>160019</xdr:colOff>
      <xdr:row>12</xdr:row>
      <xdr:rowOff>19049</xdr:rowOff>
    </xdr:to>
    <xdr:sp macro="" textlink="">
      <xdr:nvSpPr>
        <xdr:cNvPr id="27" name="Right Brace 26"/>
        <xdr:cNvSpPr/>
      </xdr:nvSpPr>
      <xdr:spPr>
        <a:xfrm>
          <a:off x="11328400" y="1562099"/>
          <a:ext cx="45719" cy="54610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428624</xdr:colOff>
      <xdr:row>4</xdr:row>
      <xdr:rowOff>28574</xdr:rowOff>
    </xdr:from>
    <xdr:to>
      <xdr:col>11</xdr:col>
      <xdr:colOff>38100</xdr:colOff>
      <xdr:row>4</xdr:row>
      <xdr:rowOff>161924</xdr:rowOff>
    </xdr:to>
    <xdr:sp macro="" textlink="">
      <xdr:nvSpPr>
        <xdr:cNvPr id="28" name="Right Brace 27"/>
        <xdr:cNvSpPr/>
      </xdr:nvSpPr>
      <xdr:spPr>
        <a:xfrm rot="16200000">
          <a:off x="10418762" y="77786"/>
          <a:ext cx="133350" cy="153352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266700</xdr:colOff>
      <xdr:row>3</xdr:row>
      <xdr:rowOff>152400</xdr:rowOff>
    </xdr:from>
    <xdr:to>
      <xdr:col>14</xdr:col>
      <xdr:colOff>152400</xdr:colOff>
      <xdr:row>4</xdr:row>
      <xdr:rowOff>123825</xdr:rowOff>
    </xdr:to>
    <xdr:sp macro="" textlink="">
      <xdr:nvSpPr>
        <xdr:cNvPr id="29" name="Right Brace 28"/>
        <xdr:cNvSpPr/>
      </xdr:nvSpPr>
      <xdr:spPr>
        <a:xfrm rot="16200000">
          <a:off x="12317412" y="-100012"/>
          <a:ext cx="136525" cy="180975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227645</xdr:colOff>
      <xdr:row>15</xdr:row>
      <xdr:rowOff>105728</xdr:rowOff>
    </xdr:from>
    <xdr:to>
      <xdr:col>12</xdr:col>
      <xdr:colOff>57148</xdr:colOff>
      <xdr:row>16</xdr:row>
      <xdr:rowOff>57150</xdr:rowOff>
    </xdr:to>
    <xdr:sp macro="" textlink="">
      <xdr:nvSpPr>
        <xdr:cNvPr id="30" name="Right Brace 29"/>
        <xdr:cNvSpPr/>
      </xdr:nvSpPr>
      <xdr:spPr>
        <a:xfrm rot="5400000">
          <a:off x="10656886" y="1550987"/>
          <a:ext cx="116522" cy="239490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238123</xdr:colOff>
      <xdr:row>15</xdr:row>
      <xdr:rowOff>85726</xdr:rowOff>
    </xdr:from>
    <xdr:to>
      <xdr:col>12</xdr:col>
      <xdr:colOff>561975</xdr:colOff>
      <xdr:row>16</xdr:row>
      <xdr:rowOff>57151</xdr:rowOff>
    </xdr:to>
    <xdr:sp macro="" textlink="">
      <xdr:nvSpPr>
        <xdr:cNvPr id="31" name="Right Brace 30"/>
        <xdr:cNvSpPr/>
      </xdr:nvSpPr>
      <xdr:spPr>
        <a:xfrm rot="5400000">
          <a:off x="12187236" y="2576513"/>
          <a:ext cx="13652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552450</xdr:colOff>
      <xdr:row>16</xdr:row>
      <xdr:rowOff>104775</xdr:rowOff>
    </xdr:from>
    <xdr:to>
      <xdr:col>10</xdr:col>
      <xdr:colOff>359081</xdr:colOff>
      <xdr:row>19</xdr:row>
      <xdr:rowOff>35231</xdr:rowOff>
    </xdr:to>
    <xdr:sp macro="" textlink="">
      <xdr:nvSpPr>
        <xdr:cNvPr id="32" name="Oval 31"/>
        <xdr:cNvSpPr/>
      </xdr:nvSpPr>
      <xdr:spPr bwMode="gray">
        <a:xfrm>
          <a:off x="10483850" y="2854325"/>
          <a:ext cx="44798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3699661</xdr:colOff>
      <xdr:row>215</xdr:row>
      <xdr:rowOff>47625</xdr:rowOff>
    </xdr:to>
    <xdr:pic>
      <xdr:nvPicPr>
        <xdr:cNvPr id="33" name="Picture 32"/>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581025" y="33813750"/>
          <a:ext cx="3725272" cy="14192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1414992</xdr:colOff>
      <xdr:row>205</xdr:row>
      <xdr:rowOff>66676</xdr:rowOff>
    </xdr:from>
    <xdr:to>
      <xdr:col>6</xdr:col>
      <xdr:colOff>150236</xdr:colOff>
      <xdr:row>207</xdr:row>
      <xdr:rowOff>159056</xdr:rowOff>
    </xdr:to>
    <xdr:sp macro="" textlink="">
      <xdr:nvSpPr>
        <xdr:cNvPr id="34" name="Oval 33"/>
        <xdr:cNvSpPr/>
      </xdr:nvSpPr>
      <xdr:spPr bwMode="gray">
        <a:xfrm>
          <a:off x="3073048" y="33764009"/>
          <a:ext cx="5085244" cy="41693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xdr:cNvSpPr/>
      </xdr:nvSpPr>
      <xdr:spPr>
        <a:xfrm>
          <a:off x="1657350" y="34410650"/>
          <a:ext cx="0" cy="35365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2</xdr:col>
      <xdr:colOff>1379714</xdr:colOff>
      <xdr:row>213</xdr:row>
      <xdr:rowOff>160866</xdr:rowOff>
    </xdr:from>
    <xdr:to>
      <xdr:col>6</xdr:col>
      <xdr:colOff>134008</xdr:colOff>
      <xdr:row>216</xdr:row>
      <xdr:rowOff>91322</xdr:rowOff>
    </xdr:to>
    <xdr:sp macro="" textlink="">
      <xdr:nvSpPr>
        <xdr:cNvPr id="36" name="Oval 35"/>
        <xdr:cNvSpPr/>
      </xdr:nvSpPr>
      <xdr:spPr bwMode="gray">
        <a:xfrm>
          <a:off x="3037770" y="35156422"/>
          <a:ext cx="5104294" cy="417289"/>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4</xdr:col>
      <xdr:colOff>419100</xdr:colOff>
      <xdr:row>208</xdr:row>
      <xdr:rowOff>19050</xdr:rowOff>
    </xdr:from>
    <xdr:to>
      <xdr:col>13</xdr:col>
      <xdr:colOff>428625</xdr:colOff>
      <xdr:row>211</xdr:row>
      <xdr:rowOff>47625</xdr:rowOff>
    </xdr:to>
    <xdr:sp macro="" textlink="">
      <xdr:nvSpPr>
        <xdr:cNvPr id="37" name="TextBox 36"/>
        <xdr:cNvSpPr txBox="1"/>
      </xdr:nvSpPr>
      <xdr:spPr>
        <a:xfrm>
          <a:off x="7143750" y="34093150"/>
          <a:ext cx="57816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4</xdr:col>
      <xdr:colOff>419101</xdr:colOff>
      <xdr:row>212</xdr:row>
      <xdr:rowOff>133350</xdr:rowOff>
    </xdr:from>
    <xdr:to>
      <xdr:col>13</xdr:col>
      <xdr:colOff>476251</xdr:colOff>
      <xdr:row>215</xdr:row>
      <xdr:rowOff>142875</xdr:rowOff>
    </xdr:to>
    <xdr:sp macro="" textlink="">
      <xdr:nvSpPr>
        <xdr:cNvPr id="38" name="TextBox 37"/>
        <xdr:cNvSpPr txBox="1"/>
      </xdr:nvSpPr>
      <xdr:spPr>
        <a:xfrm>
          <a:off x="7143751" y="34842450"/>
          <a:ext cx="58293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638175</xdr:colOff>
      <xdr:row>0</xdr:row>
      <xdr:rowOff>0</xdr:rowOff>
    </xdr:from>
    <xdr:to>
      <xdr:col>0</xdr:col>
      <xdr:colOff>640080</xdr:colOff>
      <xdr:row>1</xdr:row>
      <xdr:rowOff>141515</xdr:rowOff>
    </xdr:to>
    <xdr:pic>
      <xdr:nvPicPr>
        <xdr:cNvPr id="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8825" y="590550"/>
          <a:ext cx="1905" cy="298451"/>
        </a:xfrm>
        <a:prstGeom prst="rect">
          <a:avLst/>
        </a:prstGeom>
        <a:noFill/>
        <a:ln w="9525">
          <a:noFill/>
          <a:miter lim="800000"/>
          <a:headEnd/>
          <a:tailEnd/>
        </a:ln>
      </xdr:spPr>
    </xdr:pic>
    <xdr:clientData/>
  </xdr:twoCellAnchor>
  <xdr:twoCellAnchor editAs="oneCell">
    <xdr:from>
      <xdr:col>0</xdr:col>
      <xdr:colOff>1838325</xdr:colOff>
      <xdr:row>0</xdr:row>
      <xdr:rowOff>0</xdr:rowOff>
    </xdr:from>
    <xdr:to>
      <xdr:col>1</xdr:col>
      <xdr:colOff>0</xdr:colOff>
      <xdr:row>2</xdr:row>
      <xdr:rowOff>6804</xdr:rowOff>
    </xdr:to>
    <xdr:pic>
      <xdr:nvPicPr>
        <xdr:cNvPr id="4" name="Picture 145"/>
        <xdr:cNvPicPr>
          <a:picLocks noChangeAspect="1" noChangeArrowheads="1"/>
        </xdr:cNvPicPr>
      </xdr:nvPicPr>
      <xdr:blipFill>
        <a:blip xmlns:r="http://schemas.openxmlformats.org/officeDocument/2006/relationships" r:embed="rId2" cstate="print"/>
        <a:srcRect/>
        <a:stretch>
          <a:fillRect/>
        </a:stretch>
      </xdr:blipFill>
      <xdr:spPr bwMode="auto">
        <a:xfrm>
          <a:off x="1958975" y="590550"/>
          <a:ext cx="1905" cy="327025"/>
        </a:xfrm>
        <a:prstGeom prst="rect">
          <a:avLst/>
        </a:prstGeom>
        <a:noFill/>
        <a:ln w="9525">
          <a:noFill/>
          <a:miter lim="800000"/>
          <a:headEnd/>
          <a:tailEnd/>
        </a:ln>
      </xdr:spPr>
    </xdr:pic>
    <xdr:clientData/>
  </xdr:twoCellAnchor>
  <xdr:twoCellAnchor editAs="oneCell">
    <xdr:from>
      <xdr:col>0</xdr:col>
      <xdr:colOff>638175</xdr:colOff>
      <xdr:row>8</xdr:row>
      <xdr:rowOff>0</xdr:rowOff>
    </xdr:from>
    <xdr:to>
      <xdr:col>0</xdr:col>
      <xdr:colOff>640080</xdr:colOff>
      <xdr:row>9</xdr:row>
      <xdr:rowOff>141515</xdr:rowOff>
    </xdr:to>
    <xdr:pic>
      <xdr:nvPicPr>
        <xdr:cNvPr id="5"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8825" y="958850"/>
          <a:ext cx="1905" cy="298451"/>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6" name="Picture 144"/>
        <xdr:cNvPicPr>
          <a:picLocks noChangeAspect="1" noChangeArrowheads="1"/>
        </xdr:cNvPicPr>
      </xdr:nvPicPr>
      <xdr:blipFill>
        <a:blip xmlns:r="http://schemas.openxmlformats.org/officeDocument/2006/relationships" r:embed="rId3"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0</xdr:colOff>
      <xdr:row>10</xdr:row>
      <xdr:rowOff>544</xdr:rowOff>
    </xdr:to>
    <xdr:pic>
      <xdr:nvPicPr>
        <xdr:cNvPr id="7" name="Picture 145"/>
        <xdr:cNvPicPr>
          <a:picLocks noChangeAspect="1" noChangeArrowheads="1"/>
        </xdr:cNvPicPr>
      </xdr:nvPicPr>
      <xdr:blipFill>
        <a:blip xmlns:r="http://schemas.openxmlformats.org/officeDocument/2006/relationships" r:embed="rId2"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9" name="Picture 144"/>
        <xdr:cNvPicPr>
          <a:picLocks noChangeAspect="1" noChangeArrowheads="1"/>
        </xdr:cNvPicPr>
      </xdr:nvPicPr>
      <xdr:blipFill>
        <a:blip xmlns:r="http://schemas.openxmlformats.org/officeDocument/2006/relationships" r:embed="rId3"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0</xdr:colOff>
      <xdr:row>10</xdr:row>
      <xdr:rowOff>544</xdr:rowOff>
    </xdr:to>
    <xdr:pic>
      <xdr:nvPicPr>
        <xdr:cNvPr id="10" name="Picture 145"/>
        <xdr:cNvPicPr>
          <a:picLocks noChangeAspect="1" noChangeArrowheads="1"/>
        </xdr:cNvPicPr>
      </xdr:nvPicPr>
      <xdr:blipFill>
        <a:blip xmlns:r="http://schemas.openxmlformats.org/officeDocument/2006/relationships" r:embed="rId2"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twoCellAnchor>
    <xdr:from>
      <xdr:col>20</xdr:col>
      <xdr:colOff>61480</xdr:colOff>
      <xdr:row>66</xdr:row>
      <xdr:rowOff>32039</xdr:rowOff>
    </xdr:from>
    <xdr:to>
      <xdr:col>31</xdr:col>
      <xdr:colOff>185017</xdr:colOff>
      <xdr:row>81</xdr:row>
      <xdr:rowOff>133639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G\Transmission\Transmission_Price_Controls_Lib\Regulatory_Reporting\RRP_2010\Transmission%20PCRRP%20tables_SPTL_200910%20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TWORK%20GROUP/Price%20Controls/GDNs%20GD23/52%20=%20TF%20Workstream/DD%20UM/Firmus/2018-06-26%20firmus%20energy%20GD14%20Capital%20Rolling%20Incentive%20(Average%202014)%20-%20FINAL%20CONFIRMED%20AC%20markup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
      <sheetName val="Capex Costs"/>
      <sheetName val="Uncertainty Mechanism GD14"/>
      <sheetName val="Standing data"/>
    </sheetNames>
    <sheetDataSet>
      <sheetData sheetId="0"/>
      <sheetData sheetId="1"/>
      <sheetData sheetId="2"/>
      <sheetData sheetId="3">
        <row r="11">
          <cell r="B11">
            <v>1.0548001648125258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D10"/>
  <sheetViews>
    <sheetView tabSelected="1" workbookViewId="0">
      <selection activeCell="C5" sqref="C5"/>
    </sheetView>
  </sheetViews>
  <sheetFormatPr defaultRowHeight="13.4" customHeight="1"/>
  <cols>
    <col min="2" max="2" width="12.08984375" bestFit="1" customWidth="1"/>
    <col min="3" max="3" width="7.08984375" bestFit="1" customWidth="1"/>
    <col min="4" max="4" width="56.36328125" bestFit="1" customWidth="1"/>
  </cols>
  <sheetData>
    <row r="3" spans="2:4" ht="12.5">
      <c r="B3" s="63" t="s">
        <v>158</v>
      </c>
      <c r="C3" s="63" t="s">
        <v>163</v>
      </c>
    </row>
    <row r="4" spans="2:4" ht="12.5">
      <c r="B4" s="63" t="s">
        <v>159</v>
      </c>
      <c r="C4" s="63" t="s">
        <v>157</v>
      </c>
    </row>
    <row r="5" spans="2:4" ht="12.5">
      <c r="B5" s="63" t="s">
        <v>160</v>
      </c>
      <c r="C5" s="63" t="s">
        <v>351</v>
      </c>
      <c r="D5" s="229"/>
    </row>
    <row r="6" spans="2:4" ht="12.5">
      <c r="B6" s="63"/>
      <c r="C6" s="63"/>
    </row>
    <row r="7" spans="2:4" ht="13.4" customHeight="1">
      <c r="B7" s="63"/>
      <c r="C7" s="63"/>
    </row>
    <row r="8" spans="2:4" ht="13.4" customHeight="1">
      <c r="C8" s="63"/>
      <c r="D8" s="63"/>
    </row>
    <row r="9" spans="2:4" ht="13.4" customHeight="1">
      <c r="C9" s="63"/>
    </row>
    <row r="10" spans="2:4" ht="13.4" customHeight="1">
      <c r="C10" s="63"/>
    </row>
  </sheetData>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36"/>
  <sheetViews>
    <sheetView zoomScaleNormal="100" workbookViewId="0">
      <selection activeCell="W22" sqref="W22"/>
    </sheetView>
  </sheetViews>
  <sheetFormatPr defaultColWidth="8.81640625" defaultRowHeight="13"/>
  <cols>
    <col min="1" max="1" width="19.6328125" style="135" bestFit="1" customWidth="1"/>
    <col min="2" max="2" width="18.81640625" style="201" bestFit="1" customWidth="1"/>
    <col min="3" max="3" width="5.6328125" style="201" bestFit="1" customWidth="1"/>
    <col min="4" max="18" width="1.36328125" style="201" hidden="1" customWidth="1"/>
    <col min="19" max="19" width="19.6328125" style="201" hidden="1" customWidth="1"/>
    <col min="20" max="20" width="18.81640625" style="201" hidden="1" customWidth="1"/>
    <col min="21" max="21" width="5.6328125" style="201" hidden="1" customWidth="1"/>
    <col min="22" max="46" width="6.08984375" style="136" bestFit="1" customWidth="1"/>
    <col min="47" max="16384" width="8.81640625" style="135"/>
  </cols>
  <sheetData>
    <row r="1" spans="1:47" s="140" customFormat="1">
      <c r="B1" s="199"/>
      <c r="C1" s="199"/>
      <c r="D1" s="199"/>
      <c r="E1" s="199"/>
      <c r="F1" s="199"/>
      <c r="G1" s="199"/>
      <c r="H1" s="199"/>
      <c r="I1" s="199"/>
      <c r="J1" s="199"/>
      <c r="K1" s="199"/>
      <c r="L1" s="199"/>
      <c r="M1" s="199"/>
      <c r="N1" s="199"/>
      <c r="O1" s="199"/>
      <c r="P1" s="199"/>
      <c r="Q1" s="199"/>
      <c r="R1" s="199"/>
      <c r="S1" s="199"/>
      <c r="T1" s="199"/>
      <c r="U1" s="199"/>
      <c r="AU1" s="38"/>
    </row>
    <row r="2" spans="1:47">
      <c r="B2" s="200"/>
      <c r="C2" s="200"/>
      <c r="D2" s="200"/>
      <c r="E2" s="200"/>
      <c r="F2" s="200"/>
      <c r="G2" s="200"/>
      <c r="H2" s="200"/>
      <c r="I2" s="200"/>
      <c r="J2" s="200"/>
      <c r="K2" s="200"/>
      <c r="L2" s="200"/>
      <c r="M2" s="200"/>
      <c r="N2" s="200"/>
      <c r="O2" s="200"/>
      <c r="P2" s="200"/>
      <c r="Q2" s="200"/>
      <c r="R2" s="200"/>
      <c r="S2" s="200"/>
      <c r="T2" s="200"/>
      <c r="U2" s="200"/>
      <c r="V2" s="33"/>
      <c r="W2" s="33"/>
      <c r="X2" s="33"/>
      <c r="Y2" s="33"/>
      <c r="Z2" s="33"/>
      <c r="AA2" s="33"/>
      <c r="AB2" s="33"/>
      <c r="AC2" s="33"/>
      <c r="AD2" s="33"/>
      <c r="AE2" s="33"/>
      <c r="AF2" s="33"/>
      <c r="AG2" s="33"/>
      <c r="AH2" s="33"/>
      <c r="AI2" s="33"/>
      <c r="AJ2" s="33"/>
      <c r="AK2" s="33"/>
      <c r="AL2" s="33"/>
      <c r="AM2" s="33"/>
      <c r="AN2" s="33"/>
      <c r="AO2" s="33"/>
      <c r="AP2" s="33"/>
      <c r="AQ2" s="33"/>
      <c r="AR2" s="33"/>
    </row>
    <row r="3" spans="1:47" s="140" customFormat="1">
      <c r="A3" s="140" t="s">
        <v>312</v>
      </c>
      <c r="B3" s="199" t="s">
        <v>146</v>
      </c>
      <c r="C3" s="40" t="s">
        <v>297</v>
      </c>
      <c r="D3" s="40"/>
      <c r="E3" s="40"/>
      <c r="F3" s="40"/>
      <c r="G3" s="40"/>
      <c r="H3" s="40"/>
      <c r="I3" s="40"/>
      <c r="J3" s="40"/>
      <c r="K3" s="40"/>
      <c r="L3" s="40"/>
      <c r="M3" s="40"/>
      <c r="N3" s="40"/>
      <c r="O3" s="40"/>
      <c r="P3" s="40"/>
      <c r="Q3" s="40"/>
      <c r="R3" s="40"/>
      <c r="V3" s="38">
        <f>+Inputs!V1</f>
        <v>2023</v>
      </c>
      <c r="W3" s="38">
        <f>+Inputs!W1</f>
        <v>2024</v>
      </c>
      <c r="X3" s="38">
        <f>+Inputs!X1</f>
        <v>2025</v>
      </c>
      <c r="Y3" s="38">
        <f>+Inputs!Y1</f>
        <v>2026</v>
      </c>
      <c r="Z3" s="38">
        <f>+Inputs!Z1</f>
        <v>2027</v>
      </c>
      <c r="AA3" s="38">
        <f>+Inputs!AA1</f>
        <v>2028</v>
      </c>
      <c r="AB3" s="38"/>
      <c r="AC3" s="38"/>
      <c r="AD3" s="38"/>
      <c r="AE3" s="38"/>
      <c r="AF3" s="38"/>
      <c r="AG3" s="38"/>
      <c r="AH3" s="38"/>
      <c r="AI3" s="38"/>
      <c r="AJ3" s="38"/>
      <c r="AK3" s="38"/>
      <c r="AL3" s="38"/>
      <c r="AM3" s="38"/>
      <c r="AN3" s="38"/>
      <c r="AO3" s="38"/>
      <c r="AP3" s="38"/>
      <c r="AQ3" s="38"/>
      <c r="AR3" s="38"/>
      <c r="AS3" s="198"/>
      <c r="AT3" s="198"/>
    </row>
    <row r="4" spans="1:47" ht="15">
      <c r="A4" s="136" t="s">
        <v>305</v>
      </c>
      <c r="B4" s="201" t="s">
        <v>333</v>
      </c>
      <c r="S4" s="135"/>
      <c r="T4" s="135"/>
      <c r="U4" s="135"/>
      <c r="V4" s="202">
        <f>+'Pi''s Calc'!V3</f>
        <v>1.5669308641975303E-2</v>
      </c>
      <c r="W4" s="202">
        <f>+'Pi''s Calc'!W3</f>
        <v>3.2863958641975305E-2</v>
      </c>
      <c r="X4" s="202">
        <f>+'Pi''s Calc'!X3</f>
        <v>4.9734658641975307E-2</v>
      </c>
      <c r="Y4" s="202">
        <f>+'Pi''s Calc'!Y3</f>
        <v>5.4368958641975308E-2</v>
      </c>
      <c r="Z4" s="202">
        <f>+'Pi''s Calc'!Z3</f>
        <v>5.4368958641975308E-2</v>
      </c>
      <c r="AA4" s="202">
        <f>+'Pi''s Calc'!AA3</f>
        <v>5.4368958641975308E-2</v>
      </c>
    </row>
    <row r="5" spans="1:47">
      <c r="A5" s="136" t="s">
        <v>306</v>
      </c>
      <c r="B5" s="201" t="s">
        <v>143</v>
      </c>
      <c r="C5" s="203">
        <f>+'Pi''s Calc'!AA1</f>
        <v>2028</v>
      </c>
      <c r="S5" s="135"/>
      <c r="T5" s="135"/>
      <c r="U5" s="135"/>
    </row>
    <row r="6" spans="1:47">
      <c r="A6" s="136" t="s">
        <v>307</v>
      </c>
      <c r="B6" s="201" t="s">
        <v>142</v>
      </c>
      <c r="C6" s="203">
        <f>+'Pi''s Calc'!U1</f>
        <v>2022</v>
      </c>
      <c r="S6" s="135"/>
      <c r="T6" s="135"/>
      <c r="U6" s="135"/>
    </row>
    <row r="7" spans="1:47">
      <c r="A7" s="136" t="s">
        <v>308</v>
      </c>
      <c r="B7" s="201" t="s">
        <v>144</v>
      </c>
      <c r="C7" s="203">
        <f>+'Pi''s Calc'!AR1</f>
        <v>2045</v>
      </c>
      <c r="S7" s="135"/>
      <c r="T7" s="135"/>
      <c r="U7" s="135"/>
    </row>
    <row r="8" spans="1:47">
      <c r="A8" s="136" t="s">
        <v>309</v>
      </c>
      <c r="B8" s="201" t="s">
        <v>313</v>
      </c>
      <c r="C8" s="204">
        <f>+Inputs!S30</f>
        <v>108.9</v>
      </c>
      <c r="S8" s="135"/>
      <c r="T8" s="135"/>
      <c r="U8" s="135"/>
    </row>
    <row r="9" spans="1:47" ht="15">
      <c r="A9" s="136" t="s">
        <v>310</v>
      </c>
      <c r="B9" s="206" t="s">
        <v>334</v>
      </c>
      <c r="C9" s="204">
        <v>0.5</v>
      </c>
      <c r="S9" s="135"/>
      <c r="T9" s="135"/>
      <c r="U9" s="135"/>
    </row>
    <row r="10" spans="1:47">
      <c r="A10" s="136" t="s">
        <v>311</v>
      </c>
      <c r="B10" s="206" t="s">
        <v>195</v>
      </c>
      <c r="C10" s="203">
        <v>5</v>
      </c>
      <c r="S10" s="135"/>
      <c r="T10" s="135"/>
      <c r="U10" s="135"/>
    </row>
    <row r="11" spans="1:47">
      <c r="A11" s="135" t="s">
        <v>301</v>
      </c>
      <c r="B11" s="206" t="s">
        <v>296</v>
      </c>
      <c r="C11" s="203">
        <v>0</v>
      </c>
      <c r="S11" s="135"/>
      <c r="T11" s="135"/>
      <c r="U11" s="135"/>
      <c r="AS11" s="135"/>
      <c r="AT11" s="135"/>
    </row>
    <row r="12" spans="1:47">
      <c r="A12" s="135" t="s">
        <v>302</v>
      </c>
      <c r="B12" s="206" t="s">
        <v>207</v>
      </c>
      <c r="C12" s="203">
        <v>0</v>
      </c>
      <c r="S12" s="135"/>
      <c r="T12" s="135"/>
      <c r="U12" s="135"/>
      <c r="AS12" s="135"/>
      <c r="AT12" s="135"/>
    </row>
    <row r="13" spans="1:47">
      <c r="A13" s="136" t="s">
        <v>303</v>
      </c>
      <c r="B13" s="206" t="s">
        <v>209</v>
      </c>
      <c r="C13" s="203">
        <v>1</v>
      </c>
      <c r="S13" s="135"/>
      <c r="T13" s="135"/>
      <c r="U13" s="135"/>
    </row>
    <row r="14" spans="1:47">
      <c r="A14" s="136" t="s">
        <v>304</v>
      </c>
      <c r="B14" s="206" t="s">
        <v>197</v>
      </c>
      <c r="C14" s="203">
        <v>33</v>
      </c>
      <c r="S14" s="135"/>
      <c r="T14" s="135"/>
      <c r="U14" s="135"/>
    </row>
    <row r="15" spans="1:47">
      <c r="S15" s="135"/>
      <c r="T15" s="135"/>
      <c r="U15" s="135"/>
    </row>
    <row r="16" spans="1:47">
      <c r="A16" s="140" t="s">
        <v>312</v>
      </c>
      <c r="B16" s="205" t="s">
        <v>147</v>
      </c>
      <c r="C16" s="206" t="s">
        <v>327</v>
      </c>
      <c r="D16" s="40"/>
      <c r="E16" s="40"/>
      <c r="F16" s="40"/>
      <c r="G16" s="40"/>
      <c r="H16" s="40"/>
      <c r="I16" s="40"/>
      <c r="J16" s="40"/>
      <c r="K16" s="40"/>
      <c r="L16" s="40"/>
      <c r="M16" s="40"/>
      <c r="N16" s="40"/>
      <c r="O16" s="40"/>
      <c r="P16" s="40"/>
      <c r="Q16" s="40"/>
      <c r="R16" s="40"/>
      <c r="S16" s="135"/>
      <c r="T16" s="135"/>
      <c r="U16" s="135"/>
      <c r="V16" s="38">
        <f>+Inputs!V1</f>
        <v>2023</v>
      </c>
      <c r="W16" s="38">
        <f>+Inputs!W1</f>
        <v>2024</v>
      </c>
      <c r="X16" s="38">
        <f>+Inputs!X1</f>
        <v>2025</v>
      </c>
      <c r="Y16" s="38">
        <f>+Inputs!Y1</f>
        <v>2026</v>
      </c>
      <c r="Z16" s="38">
        <f>+Inputs!Z1</f>
        <v>2027</v>
      </c>
      <c r="AA16" s="38">
        <f>+Inputs!AA1</f>
        <v>2028</v>
      </c>
      <c r="AB16" s="38">
        <f>+Inputs!AB1</f>
        <v>2029</v>
      </c>
      <c r="AC16" s="38">
        <f>+Inputs!AC1</f>
        <v>2030</v>
      </c>
      <c r="AD16" s="38">
        <f>+Inputs!AD1</f>
        <v>2031</v>
      </c>
      <c r="AE16" s="38">
        <f>+Inputs!AE1</f>
        <v>2032</v>
      </c>
      <c r="AF16" s="38">
        <f>+Inputs!AF1</f>
        <v>2033</v>
      </c>
      <c r="AG16" s="38">
        <f>+Inputs!AG1</f>
        <v>2034</v>
      </c>
      <c r="AH16" s="38">
        <f>+Inputs!AH1</f>
        <v>2035</v>
      </c>
      <c r="AI16" s="38">
        <f>+Inputs!AI1</f>
        <v>2036</v>
      </c>
      <c r="AJ16" s="38">
        <f>+Inputs!AJ1</f>
        <v>2037</v>
      </c>
      <c r="AK16" s="38">
        <f>+Inputs!AK1</f>
        <v>2038</v>
      </c>
      <c r="AL16" s="38">
        <f>+Inputs!AL1</f>
        <v>2039</v>
      </c>
      <c r="AM16" s="38">
        <f>+Inputs!AM1</f>
        <v>2040</v>
      </c>
      <c r="AN16" s="38">
        <f>+Inputs!AN1</f>
        <v>2041</v>
      </c>
      <c r="AO16" s="38">
        <f>+Inputs!AO1</f>
        <v>2042</v>
      </c>
      <c r="AP16" s="38">
        <f>+Inputs!AP1</f>
        <v>2043</v>
      </c>
      <c r="AQ16" s="38">
        <f>+Inputs!AQ1</f>
        <v>2044</v>
      </c>
      <c r="AR16" s="38">
        <f>+Inputs!AR1</f>
        <v>2045</v>
      </c>
      <c r="AS16" s="38"/>
      <c r="AT16" s="38"/>
      <c r="AU16" s="38"/>
    </row>
    <row r="17" spans="1:47" ht="15">
      <c r="A17" s="135" t="s">
        <v>314</v>
      </c>
      <c r="B17" s="201" t="s">
        <v>322</v>
      </c>
      <c r="C17" s="206" t="s">
        <v>148</v>
      </c>
      <c r="S17" s="135"/>
      <c r="T17" s="135"/>
      <c r="U17" s="135"/>
      <c r="V17" s="136">
        <f>+'Pi''s Calc'!V10</f>
        <v>22128.372675000002</v>
      </c>
      <c r="W17" s="136">
        <f>+'Pi''s Calc'!W10</f>
        <v>24237.425691000004</v>
      </c>
      <c r="X17" s="136">
        <f>+'Pi''s Calc'!X10</f>
        <v>27066.706343999998</v>
      </c>
      <c r="Y17" s="136">
        <f>+'Pi''s Calc'!Y10</f>
        <v>29594.81568</v>
      </c>
      <c r="Z17" s="136">
        <f>+'Pi''s Calc'!Z10</f>
        <v>31718.016480000002</v>
      </c>
      <c r="AA17" s="136">
        <f>+'Pi''s Calc'!AA10</f>
        <v>33781.533599999995</v>
      </c>
      <c r="AB17" s="136">
        <f>+'Pi''s Calc'!AB10</f>
        <v>35242.71870494118</v>
      </c>
      <c r="AC17" s="136">
        <f>+'Pi''s Calc'!AC10</f>
        <v>36482.20230776471</v>
      </c>
      <c r="AD17" s="136">
        <f>+'Pi''s Calc'!AD10</f>
        <v>37629.033328941179</v>
      </c>
      <c r="AE17" s="136">
        <f>+'Pi''s Calc'!AE10</f>
        <v>38687.129127529421</v>
      </c>
      <c r="AF17" s="136">
        <f>+'Pi''s Calc'!AF10</f>
        <v>39660.373383529426</v>
      </c>
      <c r="AG17" s="136">
        <f>+'Pi''s Calc'!AG10</f>
        <v>40552.798537411771</v>
      </c>
      <c r="AH17" s="136">
        <f>+'Pi''s Calc'!AH10</f>
        <v>41368.07574211766</v>
      </c>
      <c r="AI17" s="136">
        <f>+'Pi''s Calc'!AI10</f>
        <v>42109.592882823541</v>
      </c>
      <c r="AJ17" s="136">
        <f>+'Pi''s Calc'!AJ10</f>
        <v>42780.511013647068</v>
      </c>
      <c r="AK17" s="136">
        <f>+'Pi''s Calc'!AK10</f>
        <v>43383.72917647061</v>
      </c>
      <c r="AL17" s="136">
        <f>+'Pi''s Calc'!AL10</f>
        <v>43922.202093176486</v>
      </c>
      <c r="AM17" s="136">
        <f>+'Pi''s Calc'!AM10</f>
        <v>44398.801857882383</v>
      </c>
      <c r="AN17" s="136">
        <f>+'Pi''s Calc'!AN10</f>
        <v>44816.020314352972</v>
      </c>
      <c r="AO17" s="136">
        <f>+'Pi''s Calc'!AO10</f>
        <v>45176.409108705906</v>
      </c>
      <c r="AP17" s="136">
        <f>+'Pi''s Calc'!AP10</f>
        <v>45482.446701176501</v>
      </c>
      <c r="AQ17" s="136">
        <f>+'Pi''s Calc'!AQ10</f>
        <v>45736.253144470626</v>
      </c>
      <c r="AR17" s="136">
        <f>+'Pi''s Calc'!AR10</f>
        <v>45939.891840000033</v>
      </c>
      <c r="AU17" s="136"/>
    </row>
    <row r="18" spans="1:47" ht="15">
      <c r="A18" s="135" t="s">
        <v>314</v>
      </c>
      <c r="B18" s="201" t="s">
        <v>322</v>
      </c>
      <c r="C18" s="206" t="s">
        <v>149</v>
      </c>
      <c r="S18" s="135"/>
      <c r="T18" s="135"/>
      <c r="U18" s="135"/>
      <c r="V18" s="136">
        <f>+'Pi''s Calc'!V11</f>
        <v>7004.1530000000002</v>
      </c>
      <c r="W18" s="136">
        <f>+'Pi''s Calc'!W11</f>
        <v>7276.0789400000003</v>
      </c>
      <c r="X18" s="136">
        <f>+'Pi''s Calc'!X11</f>
        <v>7466.4270980000001</v>
      </c>
      <c r="Y18" s="136">
        <f>+'Pi''s Calc'!Y11</f>
        <v>7910.5727999999999</v>
      </c>
      <c r="Z18" s="136">
        <f>+'Pi''s Calc'!Z11</f>
        <v>7910.5727999999999</v>
      </c>
      <c r="AA18" s="136">
        <f>+'Pi''s Calc'!AA11</f>
        <v>7910.5727999999999</v>
      </c>
      <c r="AB18" s="136">
        <f>+'Pi''s Calc'!AB11</f>
        <v>7817.5072376470598</v>
      </c>
      <c r="AC18" s="136">
        <f>+'Pi''s Calc'!AC11</f>
        <v>7724.4416752941179</v>
      </c>
      <c r="AD18" s="136">
        <f>+'Pi''s Calc'!AD11</f>
        <v>7631.3761129411778</v>
      </c>
      <c r="AE18" s="136">
        <f>+'Pi''s Calc'!AE11</f>
        <v>7538.3105505882359</v>
      </c>
      <c r="AF18" s="136">
        <f>+'Pi''s Calc'!AF11</f>
        <v>7445.2449882352958</v>
      </c>
      <c r="AG18" s="136">
        <f>+'Pi''s Calc'!AG11</f>
        <v>7352.1794258823547</v>
      </c>
      <c r="AH18" s="136">
        <f>+'Pi''s Calc'!AH11</f>
        <v>7259.1138635294137</v>
      </c>
      <c r="AI18" s="136">
        <f>+'Pi''s Calc'!AI11</f>
        <v>7166.0483011764736</v>
      </c>
      <c r="AJ18" s="136">
        <f>+'Pi''s Calc'!AJ11</f>
        <v>7072.9827388235317</v>
      </c>
      <c r="AK18" s="136">
        <f>+'Pi''s Calc'!AK11</f>
        <v>6979.9171764705916</v>
      </c>
      <c r="AL18" s="136">
        <f>+'Pi''s Calc'!AL11</f>
        <v>6886.8516141176506</v>
      </c>
      <c r="AM18" s="136">
        <f>+'Pi''s Calc'!AM11</f>
        <v>6793.7860517647096</v>
      </c>
      <c r="AN18" s="136">
        <f>+'Pi''s Calc'!AN11</f>
        <v>6700.7204894117685</v>
      </c>
      <c r="AO18" s="136">
        <f>+'Pi''s Calc'!AO11</f>
        <v>6607.6549270588284</v>
      </c>
      <c r="AP18" s="136">
        <f>+'Pi''s Calc'!AP11</f>
        <v>6514.5893647058874</v>
      </c>
      <c r="AQ18" s="136">
        <f>+'Pi''s Calc'!AQ11</f>
        <v>6421.5238023529464</v>
      </c>
      <c r="AR18" s="136">
        <f>+'Pi''s Calc'!AR11</f>
        <v>6328.4582400000054</v>
      </c>
      <c r="AU18" s="136"/>
    </row>
    <row r="19" spans="1:47" ht="15">
      <c r="A19" s="135" t="s">
        <v>314</v>
      </c>
      <c r="B19" s="201" t="s">
        <v>322</v>
      </c>
      <c r="C19" s="206" t="s">
        <v>150</v>
      </c>
      <c r="S19" s="135"/>
      <c r="T19" s="135"/>
      <c r="U19" s="135"/>
      <c r="V19" s="136">
        <f>+'Pi''s Calc'!V12</f>
        <v>5743.2340548552975</v>
      </c>
      <c r="W19" s="136">
        <f>+'Pi''s Calc'!W12</f>
        <v>6038.6003776764273</v>
      </c>
      <c r="X19" s="136">
        <f>+'Pi''s Calc'!X12</f>
        <v>6161.6696788518975</v>
      </c>
      <c r="Y19" s="136">
        <f>+'Pi''s Calc'!Y12</f>
        <v>6235.51125955718</v>
      </c>
      <c r="Z19" s="136">
        <f>+'Pi''s Calc'!Z12</f>
        <v>6235.51125955718</v>
      </c>
      <c r="AA19" s="136">
        <f>+'Pi''s Calc'!AA12</f>
        <v>6235.51125955718</v>
      </c>
      <c r="AB19" s="136">
        <f>+'Pi''s Calc'!AB12</f>
        <v>6162.1523035623895</v>
      </c>
      <c r="AC19" s="136">
        <f>+'Pi''s Calc'!AC12</f>
        <v>6088.7933475676</v>
      </c>
      <c r="AD19" s="136">
        <f>+'Pi''s Calc'!AD12</f>
        <v>6015.4343915728095</v>
      </c>
      <c r="AE19" s="136">
        <f>+'Pi''s Calc'!AE12</f>
        <v>5942.0754355780191</v>
      </c>
      <c r="AF19" s="136">
        <f>+'Pi''s Calc'!AF12</f>
        <v>5868.7164795832296</v>
      </c>
      <c r="AG19" s="136">
        <f>+'Pi''s Calc'!AG12</f>
        <v>5795.3575235884391</v>
      </c>
      <c r="AH19" s="136">
        <f>+'Pi''s Calc'!AH12</f>
        <v>5721.9985675936487</v>
      </c>
      <c r="AI19" s="136">
        <f>+'Pi''s Calc'!AI12</f>
        <v>5648.6396115988591</v>
      </c>
      <c r="AJ19" s="136">
        <f>+'Pi''s Calc'!AJ12</f>
        <v>5575.2806556040687</v>
      </c>
      <c r="AK19" s="136">
        <f>+'Pi''s Calc'!AK12</f>
        <v>5501.92169960928</v>
      </c>
      <c r="AL19" s="136">
        <f>+'Pi''s Calc'!AL12</f>
        <v>5428.5627436144896</v>
      </c>
      <c r="AM19" s="136">
        <f>+'Pi''s Calc'!AM12</f>
        <v>5355.2037876196991</v>
      </c>
      <c r="AN19" s="136">
        <f>+'Pi''s Calc'!AN12</f>
        <v>5281.8448316249096</v>
      </c>
      <c r="AO19" s="136">
        <f>+'Pi''s Calc'!AO12</f>
        <v>5208.4858756301192</v>
      </c>
      <c r="AP19" s="136">
        <f>+'Pi''s Calc'!AP12</f>
        <v>5135.1269196353287</v>
      </c>
      <c r="AQ19" s="136">
        <f>+'Pi''s Calc'!AQ12</f>
        <v>5061.7679636405392</v>
      </c>
      <c r="AR19" s="136">
        <f>+'Pi''s Calc'!AR12</f>
        <v>4988.4090076457487</v>
      </c>
      <c r="AU19" s="136"/>
    </row>
    <row r="20" spans="1:47" ht="15">
      <c r="A20" s="135" t="s">
        <v>314</v>
      </c>
      <c r="B20" s="201" t="s">
        <v>322</v>
      </c>
      <c r="C20" s="206" t="s">
        <v>151</v>
      </c>
      <c r="S20" s="135"/>
      <c r="T20" s="135"/>
      <c r="U20" s="135"/>
      <c r="V20" s="136">
        <f>+'Pi''s Calc'!V13</f>
        <v>1864.7616789105712</v>
      </c>
      <c r="W20" s="136">
        <f>+'Pi''s Calc'!W13</f>
        <v>1864.7616789105712</v>
      </c>
      <c r="X20" s="136">
        <f>+'Pi''s Calc'!X13</f>
        <v>1864.7616789105712</v>
      </c>
      <c r="Y20" s="136">
        <f>+'Pi''s Calc'!Y13</f>
        <v>1864.7616789105712</v>
      </c>
      <c r="Z20" s="136">
        <f>+'Pi''s Calc'!Z13</f>
        <v>1864.7616789105712</v>
      </c>
      <c r="AA20" s="136">
        <f>+'Pi''s Calc'!AA13</f>
        <v>1864.7616789105712</v>
      </c>
      <c r="AB20" s="136">
        <f>+'Pi''s Calc'!AB13</f>
        <v>1842.8233062175057</v>
      </c>
      <c r="AC20" s="136">
        <f>+'Pi''s Calc'!AC13</f>
        <v>1820.8849335244404</v>
      </c>
      <c r="AD20" s="136">
        <f>+'Pi''s Calc'!AD13</f>
        <v>1798.9465608313747</v>
      </c>
      <c r="AE20" s="136">
        <f>+'Pi''s Calc'!AE13</f>
        <v>1777.0081881383094</v>
      </c>
      <c r="AF20" s="136">
        <f>+'Pi''s Calc'!AF13</f>
        <v>1755.0698154452439</v>
      </c>
      <c r="AG20" s="136">
        <f>+'Pi''s Calc'!AG13</f>
        <v>1733.1314427521784</v>
      </c>
      <c r="AH20" s="136">
        <f>+'Pi''s Calc'!AH13</f>
        <v>1711.1930700591129</v>
      </c>
      <c r="AI20" s="136">
        <f>+'Pi''s Calc'!AI13</f>
        <v>1689.2546973660474</v>
      </c>
      <c r="AJ20" s="136">
        <f>+'Pi''s Calc'!AJ13</f>
        <v>1667.3163246729819</v>
      </c>
      <c r="AK20" s="136">
        <f>+'Pi''s Calc'!AK13</f>
        <v>1645.3779519799166</v>
      </c>
      <c r="AL20" s="136">
        <f>+'Pi''s Calc'!AL13</f>
        <v>1623.4395792868511</v>
      </c>
      <c r="AM20" s="136">
        <f>+'Pi''s Calc'!AM13</f>
        <v>1601.5012065937856</v>
      </c>
      <c r="AN20" s="136">
        <f>+'Pi''s Calc'!AN13</f>
        <v>1579.5628339007201</v>
      </c>
      <c r="AO20" s="136">
        <f>+'Pi''s Calc'!AO13</f>
        <v>1557.6244612076546</v>
      </c>
      <c r="AP20" s="136">
        <f>+'Pi''s Calc'!AP13</f>
        <v>1535.6860885145893</v>
      </c>
      <c r="AQ20" s="136">
        <f>+'Pi''s Calc'!AQ13</f>
        <v>1513.7477158215238</v>
      </c>
      <c r="AR20" s="136">
        <f>+'Pi''s Calc'!AR13</f>
        <v>1491.8093431284581</v>
      </c>
      <c r="AU20" s="136"/>
    </row>
    <row r="21" spans="1:47" ht="15">
      <c r="A21" s="135" t="s">
        <v>314</v>
      </c>
      <c r="B21" s="201" t="s">
        <v>322</v>
      </c>
      <c r="C21" s="206" t="s">
        <v>336</v>
      </c>
      <c r="S21" s="135"/>
      <c r="T21" s="135"/>
      <c r="U21" s="135"/>
      <c r="V21" s="136">
        <f>+'Pi''s Calc'!V14</f>
        <v>12456.386384186768</v>
      </c>
      <c r="W21" s="136">
        <f>+'Pi''s Calc'!W14</f>
        <v>12871.599263659658</v>
      </c>
      <c r="X21" s="136">
        <f>+'Pi''s Calc'!X14</f>
        <v>13044.604630106698</v>
      </c>
      <c r="Y21" s="136">
        <f>+'Pi''s Calc'!Y14</f>
        <v>13148.407849974921</v>
      </c>
      <c r="Z21" s="136">
        <f>+'Pi''s Calc'!Z14</f>
        <v>13148.407849974921</v>
      </c>
      <c r="AA21" s="136">
        <f>+'Pi''s Calc'!AA14</f>
        <v>13148.407849974921</v>
      </c>
      <c r="AB21" s="136">
        <f>+'Pi''s Calc'!AB14</f>
        <v>12993.720698798747</v>
      </c>
      <c r="AC21" s="136">
        <f>+'Pi''s Calc'!AC14</f>
        <v>12839.03354762257</v>
      </c>
      <c r="AD21" s="136">
        <f>+'Pi''s Calc'!AD14</f>
        <v>12684.346396446395</v>
      </c>
      <c r="AE21" s="136">
        <f>+'Pi''s Calc'!AE14</f>
        <v>12529.659245270221</v>
      </c>
      <c r="AF21" s="136">
        <f>+'Pi''s Calc'!AF14</f>
        <v>12374.972094094046</v>
      </c>
      <c r="AG21" s="136">
        <f>+'Pi''s Calc'!AG14</f>
        <v>12220.28494291787</v>
      </c>
      <c r="AH21" s="136">
        <f>+'Pi''s Calc'!AH14</f>
        <v>12065.597791741695</v>
      </c>
      <c r="AI21" s="136">
        <f>+'Pi''s Calc'!AI14</f>
        <v>11910.91064056552</v>
      </c>
      <c r="AJ21" s="136">
        <f>+'Pi''s Calc'!AJ14</f>
        <v>11756.223489389347</v>
      </c>
      <c r="AK21" s="136">
        <f>+'Pi''s Calc'!AK14</f>
        <v>11601.536338213173</v>
      </c>
      <c r="AL21" s="136">
        <f>+'Pi''s Calc'!AL14</f>
        <v>11446.849187036996</v>
      </c>
      <c r="AM21" s="136">
        <f>+'Pi''s Calc'!AM14</f>
        <v>11292.162035860822</v>
      </c>
      <c r="AN21" s="136">
        <f>+'Pi''s Calc'!AN14</f>
        <v>11137.474884684647</v>
      </c>
      <c r="AO21" s="136">
        <f>+'Pi''s Calc'!AO14</f>
        <v>10982.787733508472</v>
      </c>
      <c r="AP21" s="136">
        <f>+'Pi''s Calc'!AP14</f>
        <v>10828.100582332296</v>
      </c>
      <c r="AQ21" s="136">
        <f>+'Pi''s Calc'!AQ14</f>
        <v>10673.413431156121</v>
      </c>
      <c r="AR21" s="136">
        <f>+'Pi''s Calc'!AR14</f>
        <v>10518.726279979946</v>
      </c>
      <c r="AU21" s="136"/>
    </row>
    <row r="22" spans="1:47" ht="15">
      <c r="A22" s="135" t="s">
        <v>314</v>
      </c>
      <c r="B22" s="201" t="s">
        <v>322</v>
      </c>
      <c r="C22" s="206" t="s">
        <v>337</v>
      </c>
      <c r="S22" s="135"/>
      <c r="T22" s="135"/>
      <c r="U22" s="135"/>
      <c r="V22" s="136">
        <f>+'Pi''s Calc'!V15</f>
        <v>14787.324225824284</v>
      </c>
      <c r="W22" s="136">
        <f>+'Pi''s Calc'!W15</f>
        <v>16154.959980878155</v>
      </c>
      <c r="X22" s="136">
        <f>+'Pi''s Calc'!X15</f>
        <v>17038.045730631213</v>
      </c>
      <c r="Y22" s="136">
        <f>+'Pi''s Calc'!Y15</f>
        <v>17758.670977821839</v>
      </c>
      <c r="Z22" s="136">
        <f>+'Pi''s Calc'!Z15</f>
        <v>17835.273325143567</v>
      </c>
      <c r="AA22" s="136">
        <f>+'Pi''s Calc'!AA15</f>
        <v>17835.273325143567</v>
      </c>
      <c r="AB22" s="136">
        <f>+'Pi''s Calc'!AB15</f>
        <v>17625.446580141881</v>
      </c>
      <c r="AC22" s="136">
        <f>+'Pi''s Calc'!AC15</f>
        <v>17415.619835140191</v>
      </c>
      <c r="AD22" s="136">
        <f>+'Pi''s Calc'!AD15</f>
        <v>17205.793090138501</v>
      </c>
      <c r="AE22" s="136">
        <f>+'Pi''s Calc'!AE15</f>
        <v>16995.966345136814</v>
      </c>
      <c r="AF22" s="136">
        <f>+'Pi''s Calc'!AF15</f>
        <v>16786.139600135124</v>
      </c>
      <c r="AG22" s="136">
        <f>+'Pi''s Calc'!AG15</f>
        <v>16576.312855133438</v>
      </c>
      <c r="AH22" s="136">
        <f>+'Pi''s Calc'!AH15</f>
        <v>16366.486110131749</v>
      </c>
      <c r="AI22" s="136">
        <f>+'Pi''s Calc'!AI15</f>
        <v>16156.659365130061</v>
      </c>
      <c r="AJ22" s="136">
        <f>+'Pi''s Calc'!AJ15</f>
        <v>15946.832620128373</v>
      </c>
      <c r="AK22" s="136">
        <f>+'Pi''s Calc'!AK15</f>
        <v>15737.005875126686</v>
      </c>
      <c r="AL22" s="136">
        <f>+'Pi''s Calc'!AL15</f>
        <v>15527.179130124998</v>
      </c>
      <c r="AM22" s="136">
        <f>+'Pi''s Calc'!AM15</f>
        <v>15317.352385123309</v>
      </c>
      <c r="AN22" s="136">
        <f>+'Pi''s Calc'!AN15</f>
        <v>15107.525640121619</v>
      </c>
      <c r="AO22" s="136">
        <f>+'Pi''s Calc'!AO15</f>
        <v>14897.698895119931</v>
      </c>
      <c r="AP22" s="136">
        <f>+'Pi''s Calc'!AP15</f>
        <v>14687.872150118243</v>
      </c>
      <c r="AQ22" s="136">
        <f>+'Pi''s Calc'!AQ15</f>
        <v>14478.045405116556</v>
      </c>
      <c r="AR22" s="136">
        <f>+'Pi''s Calc'!AR15</f>
        <v>14268.218660114868</v>
      </c>
      <c r="AU22" s="136"/>
    </row>
    <row r="23" spans="1:47" ht="15">
      <c r="A23" s="135" t="s">
        <v>315</v>
      </c>
      <c r="B23" s="201" t="s">
        <v>323</v>
      </c>
      <c r="C23" s="206"/>
      <c r="S23" s="135"/>
      <c r="T23" s="135"/>
      <c r="U23" s="135"/>
      <c r="V23" s="136">
        <f>+'Pi''s Calc'!V7</f>
        <v>12735.876369306134</v>
      </c>
      <c r="W23" s="136">
        <f>+'Pi''s Calc'!W7</f>
        <v>9806.9733183371682</v>
      </c>
      <c r="X23" s="136">
        <f>+'Pi''s Calc'!X7</f>
        <v>9667.0436292432587</v>
      </c>
      <c r="Y23" s="136">
        <f>+'Pi''s Calc'!Y7</f>
        <v>9932.2761865983957</v>
      </c>
      <c r="Z23" s="136">
        <f>+'Pi''s Calc'!Z7</f>
        <v>9491.4108996321029</v>
      </c>
      <c r="AA23" s="136">
        <f>+'Pi''s Calc'!AA7</f>
        <v>9486.0074625118523</v>
      </c>
      <c r="AB23" s="136">
        <f>+'Pi''s Calc'!AB7</f>
        <v>11523.86491083162</v>
      </c>
      <c r="AC23" s="136">
        <f>+'Pi''s Calc'!AC7</f>
        <v>7314.3076049793262</v>
      </c>
      <c r="AD23" s="136">
        <f>+'Pi''s Calc'!AD7</f>
        <v>7378.4908137476195</v>
      </c>
      <c r="AE23" s="136">
        <f>+'Pi''s Calc'!AE7</f>
        <v>7355.0825014392321</v>
      </c>
      <c r="AF23" s="136">
        <f>+'Pi''s Calc'!AF7</f>
        <v>7115.5223122260186</v>
      </c>
      <c r="AG23" s="136">
        <f>+'Pi''s Calc'!AG7</f>
        <v>6959.4733507839846</v>
      </c>
      <c r="AH23" s="136">
        <f>+'Pi''s Calc'!AH7</f>
        <v>6739.5350814917838</v>
      </c>
      <c r="AI23" s="136">
        <f>+'Pi''s Calc'!AI7</f>
        <v>6656.6028020530712</v>
      </c>
      <c r="AJ23" s="136">
        <f>+'Pi''s Calc'!AJ7</f>
        <v>6677.577161643916</v>
      </c>
      <c r="AK23" s="136">
        <f>+'Pi''s Calc'!AK7</f>
        <v>6610.7748536846557</v>
      </c>
      <c r="AL23" s="136">
        <f>+'Pi''s Calc'!AL7</f>
        <v>6698.8534896514066</v>
      </c>
      <c r="AM23" s="136">
        <f>+'Pi''s Calc'!AM7</f>
        <v>6401.8239162733425</v>
      </c>
      <c r="AN23" s="136">
        <f>+'Pi''s Calc'!AN7</f>
        <v>6322.052957124326</v>
      </c>
      <c r="AO23" s="136">
        <f>+'Pi''s Calc'!AO7</f>
        <v>6262.4817873449774</v>
      </c>
      <c r="AP23" s="136">
        <f>+'Pi''s Calc'!AP7</f>
        <v>5992.7841733765927</v>
      </c>
      <c r="AQ23" s="136">
        <f>+'Pi''s Calc'!AQ7</f>
        <v>6052.7738022945305</v>
      </c>
      <c r="AR23" s="136">
        <f>+'Pi''s Calc'!AR7</f>
        <v>5921.8168088660041</v>
      </c>
      <c r="AU23" s="136"/>
    </row>
    <row r="24" spans="1:47" ht="15">
      <c r="A24" s="135" t="s">
        <v>316</v>
      </c>
      <c r="B24" s="201" t="s">
        <v>324</v>
      </c>
      <c r="C24" s="206"/>
      <c r="S24" s="135"/>
      <c r="T24" s="135"/>
      <c r="U24" s="135"/>
      <c r="V24" s="136">
        <f>'Pi''s Calc'!V8</f>
        <v>8535.2909494267114</v>
      </c>
      <c r="W24" s="136">
        <f>'Pi''s Calc'!W8</f>
        <v>8953.8721069889125</v>
      </c>
      <c r="X24" s="136">
        <f>'Pi''s Calc'!X8</f>
        <v>9454.9712942626502</v>
      </c>
      <c r="Y24" s="136">
        <f>'Pi''s Calc'!Y8</f>
        <v>9850.8714166470982</v>
      </c>
      <c r="Z24" s="136">
        <f>'Pi''s Calc'!Z8</f>
        <v>9909.9026139898106</v>
      </c>
      <c r="AA24" s="136">
        <f>'Pi''s Calc'!AA8</f>
        <v>10029.005530072303</v>
      </c>
      <c r="AB24" s="136">
        <f>'Pi''s Calc'!AB8</f>
        <v>10180.589649722551</v>
      </c>
      <c r="AC24" s="136">
        <f>'Pi''s Calc'!AC8</f>
        <v>10358.585097462117</v>
      </c>
      <c r="AD24" s="136">
        <f>'Pi''s Calc'!AD8</f>
        <v>10529.438396922804</v>
      </c>
      <c r="AE24" s="136">
        <f>'Pi''s Calc'!AE8</f>
        <v>10694.32620025283</v>
      </c>
      <c r="AF24" s="136">
        <f>'Pi''s Calc'!AF8</f>
        <v>10852.676860603196</v>
      </c>
      <c r="AG24" s="136">
        <f>'Pi''s Calc'!AG8</f>
        <v>11006.20068774362</v>
      </c>
      <c r="AH24" s="136">
        <f>'Pi''s Calc'!AH8</f>
        <v>11154.224700546425</v>
      </c>
      <c r="AI24" s="136">
        <f>'Pi''s Calc'!AI8</f>
        <v>11297.782259556689</v>
      </c>
      <c r="AJ24" s="136">
        <f>'Pi''s Calc'!AJ8</f>
        <v>11436.679392085045</v>
      </c>
      <c r="AK24" s="136">
        <f>'Pi''s Calc'!AK8</f>
        <v>11571.331872798937</v>
      </c>
      <c r="AL24" s="136">
        <f>'Pi''s Calc'!AL8</f>
        <v>11702.129673595129</v>
      </c>
      <c r="AM24" s="136">
        <f>'Pi''s Calc'!AM8</f>
        <v>11829.395459716881</v>
      </c>
      <c r="AN24" s="136">
        <f>'Pi''s Calc'!AN8</f>
        <v>11952.867178780527</v>
      </c>
      <c r="AO24" s="136">
        <f>'Pi''s Calc'!AO8</f>
        <v>12073.481117321051</v>
      </c>
      <c r="AP24" s="136">
        <f>'Pi''s Calc'!AP8</f>
        <v>12190.882246137173</v>
      </c>
      <c r="AQ24" s="136">
        <f>'Pi''s Calc'!AQ8</f>
        <v>12305.324710523269</v>
      </c>
      <c r="AR24" s="136">
        <f>'Pi''s Calc'!AR8</f>
        <v>12419.335586329657</v>
      </c>
      <c r="AU24" s="136"/>
    </row>
    <row r="25" spans="1:47" ht="15">
      <c r="A25" s="135" t="s">
        <v>317</v>
      </c>
      <c r="B25" s="201" t="s">
        <v>325</v>
      </c>
      <c r="C25" s="206"/>
      <c r="S25" s="135"/>
      <c r="T25" s="135"/>
      <c r="U25" s="135"/>
      <c r="V25" s="136">
        <f>+'DAV Pi'!V53</f>
        <v>8381.9358956148899</v>
      </c>
      <c r="W25" s="136">
        <f>+'DAV Pi'!W53</f>
        <v>8630.6500665332424</v>
      </c>
      <c r="X25" s="136">
        <f>+'DAV Pi'!X53</f>
        <v>8872.6223177376141</v>
      </c>
      <c r="Y25" s="136">
        <f>+'DAV Pi'!Y53</f>
        <v>9084.1764543880308</v>
      </c>
      <c r="Z25" s="136">
        <f>+'DAV Pi'!Z53</f>
        <v>9279.0524247500325</v>
      </c>
      <c r="AA25" s="136">
        <f>+'DAV Pi'!AA53</f>
        <v>9423.3734813579522</v>
      </c>
      <c r="AB25" s="136">
        <f>+'DAV Pi'!AB53</f>
        <v>9685.6116011146642</v>
      </c>
      <c r="AC25" s="136">
        <f>+'DAV Pi'!AC53</f>
        <v>9849.3534894532841</v>
      </c>
      <c r="AD25" s="136">
        <f>+'DAV Pi'!AD53</f>
        <v>10041.834082396304</v>
      </c>
      <c r="AE25" s="136">
        <f>+'DAV Pi'!AE53</f>
        <v>10228.487835393007</v>
      </c>
      <c r="AF25" s="136">
        <f>+'DAV Pi'!AF53</f>
        <v>10403.247044214973</v>
      </c>
      <c r="AG25" s="136">
        <f>+'DAV Pi'!AG53</f>
        <v>10540.507918311661</v>
      </c>
      <c r="AH25" s="136">
        <f>+'DAV Pi'!AH53</f>
        <v>10671.571317024409</v>
      </c>
      <c r="AI25" s="136">
        <f>+'DAV Pi'!AI53</f>
        <v>10804.93567621842</v>
      </c>
      <c r="AJ25" s="136">
        <f>+'DAV Pi'!AJ53</f>
        <v>10945.730264517704</v>
      </c>
      <c r="AK25" s="136">
        <f>+'DAV Pi'!AK53</f>
        <v>11100.14465394432</v>
      </c>
      <c r="AL25" s="136">
        <f>+'DAV Pi'!AL53</f>
        <v>11255.871921631579</v>
      </c>
      <c r="AM25" s="136">
        <f>+'DAV Pi'!AM53</f>
        <v>11395.000515926295</v>
      </c>
      <c r="AN25" s="136">
        <f>+'DAV Pi'!AN53</f>
        <v>11524.317652704853</v>
      </c>
      <c r="AO25" s="136">
        <f>+'DAV Pi'!AO53</f>
        <v>11639.86313900885</v>
      </c>
      <c r="AP25" s="136">
        <f>+'DAV Pi'!AP53</f>
        <v>11727.524218339182</v>
      </c>
      <c r="AQ25" s="136">
        <f>+'DAV Pi'!AQ53</f>
        <v>11848.248596883128</v>
      </c>
      <c r="AR25" s="136">
        <f>+'DAV Pi'!AR53</f>
        <v>11960.024461127457</v>
      </c>
      <c r="AU25" s="136"/>
    </row>
    <row r="26" spans="1:47" ht="15">
      <c r="A26" s="135" t="s">
        <v>35</v>
      </c>
      <c r="B26" s="201" t="s">
        <v>326</v>
      </c>
      <c r="C26" s="206"/>
      <c r="S26" s="135"/>
      <c r="T26" s="135"/>
      <c r="U26" s="135"/>
      <c r="V26" s="136">
        <f>+'Pi''s Calc'!V29</f>
        <v>4045.7034717201277</v>
      </c>
      <c r="W26" s="136">
        <f>+'Pi''s Calc'!W29</f>
        <v>8427.0258060235337</v>
      </c>
      <c r="X26" s="136">
        <f>+'Pi''s Calc'!X29</f>
        <v>10018.839563776201</v>
      </c>
      <c r="Y26" s="136">
        <f>+'Pi''s Calc'!Y29</f>
        <v>11158.492624555138</v>
      </c>
      <c r="Z26" s="136">
        <f>+'Pi''s Calc'!Z29</f>
        <v>12709.260684611947</v>
      </c>
      <c r="AA26" s="136">
        <f>+'Pi''s Calc'!AA29</f>
        <v>13710.083324582658</v>
      </c>
      <c r="AB26" s="136">
        <f>+'Pi''s Calc'!AB29</f>
        <v>12133.611066284444</v>
      </c>
      <c r="AC26" s="136">
        <f>+'Pi''s Calc'!AC29</f>
        <v>16658.399477628569</v>
      </c>
      <c r="AD26" s="136">
        <f>+'Pi''s Calc'!AD29</f>
        <v>16866.547121421398</v>
      </c>
      <c r="AE26" s="136">
        <f>+'Pi''s Calc'!AE29</f>
        <v>17120.325178205654</v>
      </c>
      <c r="AF26" s="136">
        <f>+'Pi''s Calc'!AF29</f>
        <v>17550.963257322779</v>
      </c>
      <c r="AG26" s="136">
        <f>+'Pi''s Calc'!AG29</f>
        <v>17859.265897712663</v>
      </c>
      <c r="AH26" s="136">
        <f>+'Pi''s Calc'!AH29</f>
        <v>18195.289435222512</v>
      </c>
      <c r="AI26" s="136">
        <f>+'Pi''s Calc'!AI29</f>
        <v>18358.93503551391</v>
      </c>
      <c r="AJ26" s="136">
        <f>+'Pi''s Calc'!AJ29</f>
        <v>18385.203332739431</v>
      </c>
      <c r="AK26" s="136">
        <f>+'Pi''s Calc'!AK29</f>
        <v>18466.92765454435</v>
      </c>
      <c r="AL26" s="136">
        <f>+'Pi''s Calc'!AL29</f>
        <v>18362.656286502672</v>
      </c>
      <c r="AM26" s="136">
        <f>+'Pi''s Calc'!AM29</f>
        <v>18613.606957671527</v>
      </c>
      <c r="AN26" s="136">
        <f>+'Pi''s Calc'!AN29</f>
        <v>18619.020761630054</v>
      </c>
      <c r="AO26" s="136">
        <f>+'Pi''s Calc'!AO29</f>
        <v>18576.398401201604</v>
      </c>
      <c r="AP26" s="136">
        <f>+'Pi''s Calc'!AP29</f>
        <v>18717.759775364109</v>
      </c>
      <c r="AQ26" s="136">
        <f>+'Pi''s Calc'!AQ29</f>
        <v>18504.182109189343</v>
      </c>
      <c r="AR26" s="136">
        <f>+'Pi''s Calc'!AR29</f>
        <v>18454.886651683784</v>
      </c>
      <c r="AU26" s="136"/>
    </row>
    <row r="27" spans="1:47" ht="15">
      <c r="A27" s="135" t="s">
        <v>318</v>
      </c>
      <c r="B27" s="201" t="s">
        <v>328</v>
      </c>
      <c r="C27" s="206" t="s">
        <v>148</v>
      </c>
      <c r="S27" s="135"/>
      <c r="T27" s="135"/>
      <c r="U27" s="135"/>
      <c r="V27" s="197">
        <f>+'Pi''s Calc'!V19</f>
        <v>0.54010800692215732</v>
      </c>
      <c r="W27" s="197">
        <f>+'Pi''s Calc'!W19</f>
        <v>0.54010800692215732</v>
      </c>
      <c r="X27" s="197">
        <f>+'Pi''s Calc'!X19</f>
        <v>0.54010800692215732</v>
      </c>
      <c r="Y27" s="197">
        <f>+'Pi''s Calc'!Y19</f>
        <v>0.54010800692215732</v>
      </c>
      <c r="Z27" s="197">
        <f>+'Pi''s Calc'!Z19</f>
        <v>0.54010800692215732</v>
      </c>
      <c r="AA27" s="197">
        <f>+'Pi''s Calc'!AA19</f>
        <v>0.54010800692215732</v>
      </c>
      <c r="AB27" s="197">
        <f>+'Pi''s Calc'!AB19</f>
        <v>0.54010800692215732</v>
      </c>
      <c r="AC27" s="197">
        <f>+'Pi''s Calc'!AC19</f>
        <v>0.54010800692215732</v>
      </c>
      <c r="AD27" s="197">
        <f>+'Pi''s Calc'!AD19</f>
        <v>0.54010800692215732</v>
      </c>
      <c r="AE27" s="197">
        <f>+'Pi''s Calc'!AE19</f>
        <v>0.54010800692215732</v>
      </c>
      <c r="AF27" s="197">
        <f>+'Pi''s Calc'!AF19</f>
        <v>0.54010800692215732</v>
      </c>
      <c r="AG27" s="197">
        <f>+'Pi''s Calc'!AG19</f>
        <v>0.54010800692215732</v>
      </c>
      <c r="AH27" s="197">
        <f>+'Pi''s Calc'!AH19</f>
        <v>0.54010800692215732</v>
      </c>
      <c r="AI27" s="197">
        <f>+'Pi''s Calc'!AI19</f>
        <v>0.54010800692215732</v>
      </c>
      <c r="AJ27" s="197">
        <f>+'Pi''s Calc'!AJ19</f>
        <v>0.54010800692215732</v>
      </c>
      <c r="AK27" s="197">
        <f>+'Pi''s Calc'!AK19</f>
        <v>0.54010800692215732</v>
      </c>
      <c r="AL27" s="197">
        <f>+'Pi''s Calc'!AL19</f>
        <v>0.54010800692215732</v>
      </c>
      <c r="AM27" s="197">
        <f>+'Pi''s Calc'!AM19</f>
        <v>0.54010800692215732</v>
      </c>
      <c r="AN27" s="197">
        <f>+'Pi''s Calc'!AN19</f>
        <v>0.54010800692215732</v>
      </c>
      <c r="AO27" s="197">
        <f>+'Pi''s Calc'!AO19</f>
        <v>0.54010800692215732</v>
      </c>
      <c r="AP27" s="197">
        <f>+'Pi''s Calc'!AP19</f>
        <v>0.54010800692215732</v>
      </c>
      <c r="AQ27" s="197">
        <f>+'Pi''s Calc'!AQ19</f>
        <v>0.54010800692215732</v>
      </c>
      <c r="AR27" s="197">
        <f>+'Pi''s Calc'!AR19</f>
        <v>0.54010800692215732</v>
      </c>
      <c r="AS27" s="197"/>
      <c r="AT27" s="197"/>
      <c r="AU27" s="197"/>
    </row>
    <row r="28" spans="1:47" ht="15">
      <c r="A28" s="135" t="s">
        <v>318</v>
      </c>
      <c r="B28" s="201" t="s">
        <v>328</v>
      </c>
      <c r="C28" s="206" t="s">
        <v>149</v>
      </c>
      <c r="S28" s="135"/>
      <c r="T28" s="135"/>
      <c r="U28" s="135"/>
      <c r="V28" s="197">
        <f>+'Pi''s Calc'!V20</f>
        <v>0.37942223500053618</v>
      </c>
      <c r="W28" s="197">
        <f>+'Pi''s Calc'!W20</f>
        <v>0.37942223500053618</v>
      </c>
      <c r="X28" s="197">
        <f>+'Pi''s Calc'!X20</f>
        <v>0.37942223500053618</v>
      </c>
      <c r="Y28" s="197">
        <f>+'Pi''s Calc'!Y20</f>
        <v>0.37942223500053618</v>
      </c>
      <c r="Z28" s="197">
        <f>+'Pi''s Calc'!Z20</f>
        <v>0.37942223500053618</v>
      </c>
      <c r="AA28" s="197">
        <f>+'Pi''s Calc'!AA20</f>
        <v>0.37942223500053618</v>
      </c>
      <c r="AB28" s="197">
        <f>+'Pi''s Calc'!AB20</f>
        <v>0.37942223500053618</v>
      </c>
      <c r="AC28" s="197">
        <f>+'Pi''s Calc'!AC20</f>
        <v>0.37942223500053618</v>
      </c>
      <c r="AD28" s="197">
        <f>+'Pi''s Calc'!AD20</f>
        <v>0.37942223500053618</v>
      </c>
      <c r="AE28" s="197">
        <f>+'Pi''s Calc'!AE20</f>
        <v>0.37942223500053618</v>
      </c>
      <c r="AF28" s="197">
        <f>+'Pi''s Calc'!AF20</f>
        <v>0.37942223500053618</v>
      </c>
      <c r="AG28" s="197">
        <f>+'Pi''s Calc'!AG20</f>
        <v>0.37942223500053618</v>
      </c>
      <c r="AH28" s="197">
        <f>+'Pi''s Calc'!AH20</f>
        <v>0.37942223500053618</v>
      </c>
      <c r="AI28" s="197">
        <f>+'Pi''s Calc'!AI20</f>
        <v>0.37942223500053618</v>
      </c>
      <c r="AJ28" s="197">
        <f>+'Pi''s Calc'!AJ20</f>
        <v>0.37942223500053618</v>
      </c>
      <c r="AK28" s="197">
        <f>+'Pi''s Calc'!AK20</f>
        <v>0.37942223500053618</v>
      </c>
      <c r="AL28" s="197">
        <f>+'Pi''s Calc'!AL20</f>
        <v>0.37942223500053618</v>
      </c>
      <c r="AM28" s="197">
        <f>+'Pi''s Calc'!AM20</f>
        <v>0.37942223500053618</v>
      </c>
      <c r="AN28" s="197">
        <f>+'Pi''s Calc'!AN20</f>
        <v>0.37942223500053618</v>
      </c>
      <c r="AO28" s="197">
        <f>+'Pi''s Calc'!AO20</f>
        <v>0.37942223500053618</v>
      </c>
      <c r="AP28" s="197">
        <f>+'Pi''s Calc'!AP20</f>
        <v>0.37942223500053618</v>
      </c>
      <c r="AQ28" s="197">
        <f>+'Pi''s Calc'!AQ20</f>
        <v>0.37942223500053618</v>
      </c>
      <c r="AR28" s="197">
        <f>+'Pi''s Calc'!AR20</f>
        <v>0.37942223500053618</v>
      </c>
      <c r="AS28" s="197"/>
      <c r="AT28" s="197"/>
      <c r="AU28" s="197"/>
    </row>
    <row r="29" spans="1:47" ht="15">
      <c r="A29" s="135" t="s">
        <v>318</v>
      </c>
      <c r="B29" s="201" t="s">
        <v>328</v>
      </c>
      <c r="C29" s="206" t="s">
        <v>150</v>
      </c>
      <c r="S29" s="135"/>
      <c r="T29" s="135"/>
      <c r="U29" s="135"/>
      <c r="V29" s="197">
        <f>+'Pi''s Calc'!V21</f>
        <v>0.34008615697517486</v>
      </c>
      <c r="W29" s="197">
        <f>+'Pi''s Calc'!W21</f>
        <v>0.34008615697517486</v>
      </c>
      <c r="X29" s="197">
        <f>+'Pi''s Calc'!X21</f>
        <v>0.34008615697517486</v>
      </c>
      <c r="Y29" s="197">
        <f>+'Pi''s Calc'!Y21</f>
        <v>0.34008615697517486</v>
      </c>
      <c r="Z29" s="197">
        <f>+'Pi''s Calc'!Z21</f>
        <v>0.34008615697517486</v>
      </c>
      <c r="AA29" s="197">
        <f>+'Pi''s Calc'!AA21</f>
        <v>0.34008615697517486</v>
      </c>
      <c r="AB29" s="197">
        <f>+'Pi''s Calc'!AB21</f>
        <v>0.34008615697517486</v>
      </c>
      <c r="AC29" s="197">
        <f>+'Pi''s Calc'!AC21</f>
        <v>0.34008615697517486</v>
      </c>
      <c r="AD29" s="197">
        <f>+'Pi''s Calc'!AD21</f>
        <v>0.34008615697517486</v>
      </c>
      <c r="AE29" s="197">
        <f>+'Pi''s Calc'!AE21</f>
        <v>0.34008615697517486</v>
      </c>
      <c r="AF29" s="197">
        <f>+'Pi''s Calc'!AF21</f>
        <v>0.34008615697517486</v>
      </c>
      <c r="AG29" s="197">
        <f>+'Pi''s Calc'!AG21</f>
        <v>0.34008615697517486</v>
      </c>
      <c r="AH29" s="197">
        <f>+'Pi''s Calc'!AH21</f>
        <v>0.34008615697517486</v>
      </c>
      <c r="AI29" s="197">
        <f>+'Pi''s Calc'!AI21</f>
        <v>0.34008615697517486</v>
      </c>
      <c r="AJ29" s="197">
        <f>+'Pi''s Calc'!AJ21</f>
        <v>0.34008615697517486</v>
      </c>
      <c r="AK29" s="197">
        <f>+'Pi''s Calc'!AK21</f>
        <v>0.34008615697517486</v>
      </c>
      <c r="AL29" s="197">
        <f>+'Pi''s Calc'!AL21</f>
        <v>0.34008615697517486</v>
      </c>
      <c r="AM29" s="197">
        <f>+'Pi''s Calc'!AM21</f>
        <v>0.34008615697517486</v>
      </c>
      <c r="AN29" s="197">
        <f>+'Pi''s Calc'!AN21</f>
        <v>0.34008615697517486</v>
      </c>
      <c r="AO29" s="197">
        <f>+'Pi''s Calc'!AO21</f>
        <v>0.34008615697517486</v>
      </c>
      <c r="AP29" s="197">
        <f>+'Pi''s Calc'!AP21</f>
        <v>0.34008615697517486</v>
      </c>
      <c r="AQ29" s="197">
        <f>+'Pi''s Calc'!AQ21</f>
        <v>0.34008615697517486</v>
      </c>
      <c r="AR29" s="197">
        <f>+'Pi''s Calc'!AR21</f>
        <v>0.34008615697517486</v>
      </c>
      <c r="AS29" s="197"/>
      <c r="AT29" s="197"/>
      <c r="AU29" s="197"/>
    </row>
    <row r="30" spans="1:47" ht="15">
      <c r="A30" s="135" t="s">
        <v>318</v>
      </c>
      <c r="B30" s="201" t="s">
        <v>328</v>
      </c>
      <c r="C30" s="206" t="s">
        <v>151</v>
      </c>
      <c r="S30" s="135"/>
      <c r="T30" s="135"/>
      <c r="U30" s="135"/>
      <c r="V30" s="197">
        <f>+'Pi''s Calc'!V22</f>
        <v>0.27005400346107866</v>
      </c>
      <c r="W30" s="197">
        <f>+'Pi''s Calc'!W22</f>
        <v>0.27005400346107866</v>
      </c>
      <c r="X30" s="197">
        <f>+'Pi''s Calc'!X22</f>
        <v>0.27005400346107866</v>
      </c>
      <c r="Y30" s="197">
        <f>+'Pi''s Calc'!Y22</f>
        <v>0.27005400346107866</v>
      </c>
      <c r="Z30" s="197">
        <f>+'Pi''s Calc'!Z22</f>
        <v>0.27005400346107866</v>
      </c>
      <c r="AA30" s="197">
        <f>+'Pi''s Calc'!AA22</f>
        <v>0.27005400346107866</v>
      </c>
      <c r="AB30" s="197">
        <f>+'Pi''s Calc'!AB22</f>
        <v>0.27005400346107866</v>
      </c>
      <c r="AC30" s="197">
        <f>+'Pi''s Calc'!AC22</f>
        <v>0.27005400346107866</v>
      </c>
      <c r="AD30" s="197">
        <f>+'Pi''s Calc'!AD22</f>
        <v>0.27005400346107866</v>
      </c>
      <c r="AE30" s="197">
        <f>+'Pi''s Calc'!AE22</f>
        <v>0.27005400346107866</v>
      </c>
      <c r="AF30" s="197">
        <f>+'Pi''s Calc'!AF22</f>
        <v>0.27005400346107866</v>
      </c>
      <c r="AG30" s="197">
        <f>+'Pi''s Calc'!AG22</f>
        <v>0.27005400346107866</v>
      </c>
      <c r="AH30" s="197">
        <f>+'Pi''s Calc'!AH22</f>
        <v>0.27005400346107866</v>
      </c>
      <c r="AI30" s="197">
        <f>+'Pi''s Calc'!AI22</f>
        <v>0.27005400346107866</v>
      </c>
      <c r="AJ30" s="197">
        <f>+'Pi''s Calc'!AJ22</f>
        <v>0.27005400346107866</v>
      </c>
      <c r="AK30" s="197">
        <f>+'Pi''s Calc'!AK22</f>
        <v>0.27005400346107866</v>
      </c>
      <c r="AL30" s="197">
        <f>+'Pi''s Calc'!AL22</f>
        <v>0.27005400346107866</v>
      </c>
      <c r="AM30" s="197">
        <f>+'Pi''s Calc'!AM22</f>
        <v>0.27005400346107866</v>
      </c>
      <c r="AN30" s="197">
        <f>+'Pi''s Calc'!AN22</f>
        <v>0.27005400346107866</v>
      </c>
      <c r="AO30" s="197">
        <f>+'Pi''s Calc'!AO22</f>
        <v>0.27005400346107866</v>
      </c>
      <c r="AP30" s="197">
        <f>+'Pi''s Calc'!AP22</f>
        <v>0.27005400346107866</v>
      </c>
      <c r="AQ30" s="197">
        <f>+'Pi''s Calc'!AQ22</f>
        <v>0.27005400346107866</v>
      </c>
      <c r="AR30" s="197">
        <f>+'Pi''s Calc'!AR22</f>
        <v>0.27005400346107866</v>
      </c>
      <c r="AS30" s="197"/>
      <c r="AT30" s="197"/>
      <c r="AU30" s="197"/>
    </row>
    <row r="31" spans="1:47" ht="15">
      <c r="A31" s="135" t="s">
        <v>318</v>
      </c>
      <c r="B31" s="201" t="s">
        <v>328</v>
      </c>
      <c r="C31" s="206" t="s">
        <v>336</v>
      </c>
      <c r="S31" s="135"/>
      <c r="T31" s="135"/>
      <c r="U31" s="135"/>
      <c r="V31" s="197">
        <f>+'Pi''s Calc'!V23</f>
        <v>0.3187078561880809</v>
      </c>
      <c r="W31" s="197">
        <f>+'Pi''s Calc'!W23</f>
        <v>0.3187078561880809</v>
      </c>
      <c r="X31" s="197">
        <f>+'Pi''s Calc'!X23</f>
        <v>0.3187078561880809</v>
      </c>
      <c r="Y31" s="197">
        <f>+'Pi''s Calc'!Y23</f>
        <v>0.3187078561880809</v>
      </c>
      <c r="Z31" s="197">
        <f>+'Pi''s Calc'!Z23</f>
        <v>0.3187078561880809</v>
      </c>
      <c r="AA31" s="197">
        <f>+'Pi''s Calc'!AA23</f>
        <v>0.3187078561880809</v>
      </c>
      <c r="AB31" s="197">
        <f>+'Pi''s Calc'!AB23</f>
        <v>0.3187078561880809</v>
      </c>
      <c r="AC31" s="197">
        <f>+'Pi''s Calc'!AC23</f>
        <v>0.3187078561880809</v>
      </c>
      <c r="AD31" s="197">
        <f>+'Pi''s Calc'!AD23</f>
        <v>0.3187078561880809</v>
      </c>
      <c r="AE31" s="197">
        <f>+'Pi''s Calc'!AE23</f>
        <v>0.3187078561880809</v>
      </c>
      <c r="AF31" s="197">
        <f>+'Pi''s Calc'!AF23</f>
        <v>0.3187078561880809</v>
      </c>
      <c r="AG31" s="197">
        <f>+'Pi''s Calc'!AG23</f>
        <v>0.3187078561880809</v>
      </c>
      <c r="AH31" s="197">
        <f>+'Pi''s Calc'!AH23</f>
        <v>0.3187078561880809</v>
      </c>
      <c r="AI31" s="197">
        <f>+'Pi''s Calc'!AI23</f>
        <v>0.3187078561880809</v>
      </c>
      <c r="AJ31" s="197">
        <f>+'Pi''s Calc'!AJ23</f>
        <v>0.3187078561880809</v>
      </c>
      <c r="AK31" s="197">
        <f>+'Pi''s Calc'!AK23</f>
        <v>0.3187078561880809</v>
      </c>
      <c r="AL31" s="197">
        <f>+'Pi''s Calc'!AL23</f>
        <v>0.3187078561880809</v>
      </c>
      <c r="AM31" s="197">
        <f>+'Pi''s Calc'!AM23</f>
        <v>0.3187078561880809</v>
      </c>
      <c r="AN31" s="197">
        <f>+'Pi''s Calc'!AN23</f>
        <v>0.3187078561880809</v>
      </c>
      <c r="AO31" s="197">
        <f>+'Pi''s Calc'!AO23</f>
        <v>0.3187078561880809</v>
      </c>
      <c r="AP31" s="197">
        <f>+'Pi''s Calc'!AP23</f>
        <v>0.3187078561880809</v>
      </c>
      <c r="AQ31" s="197">
        <f>+'Pi''s Calc'!AQ23</f>
        <v>0.3187078561880809</v>
      </c>
      <c r="AR31" s="197">
        <f>+'Pi''s Calc'!AR23</f>
        <v>0.3187078561880809</v>
      </c>
      <c r="AS31" s="197"/>
      <c r="AT31" s="197"/>
      <c r="AU31" s="197"/>
    </row>
    <row r="32" spans="1:47" ht="15">
      <c r="A32" s="135" t="s">
        <v>318</v>
      </c>
      <c r="B32" s="201" t="s">
        <v>328</v>
      </c>
      <c r="C32" s="206" t="s">
        <v>337</v>
      </c>
      <c r="S32" s="135"/>
      <c r="T32" s="135"/>
      <c r="U32" s="135"/>
      <c r="V32" s="197">
        <f>+'Pi''s Calc'!V24</f>
        <v>0.28949789171027634</v>
      </c>
      <c r="W32" s="197">
        <f>+'Pi''s Calc'!W24</f>
        <v>0.28949789171027634</v>
      </c>
      <c r="X32" s="197">
        <f>+'Pi''s Calc'!X24</f>
        <v>0.28949789171027634</v>
      </c>
      <c r="Y32" s="197">
        <f>+'Pi''s Calc'!Y24</f>
        <v>0.28949789171027634</v>
      </c>
      <c r="Z32" s="197">
        <f>+'Pi''s Calc'!Z24</f>
        <v>0.28949789171027634</v>
      </c>
      <c r="AA32" s="197">
        <f>+'Pi''s Calc'!AA24</f>
        <v>0.28949789171027634</v>
      </c>
      <c r="AB32" s="197">
        <f>+'Pi''s Calc'!AB24</f>
        <v>0.28949789171027634</v>
      </c>
      <c r="AC32" s="197">
        <f>+'Pi''s Calc'!AC24</f>
        <v>0.28949789171027634</v>
      </c>
      <c r="AD32" s="197">
        <f>+'Pi''s Calc'!AD24</f>
        <v>0.28949789171027634</v>
      </c>
      <c r="AE32" s="197">
        <f>+'Pi''s Calc'!AE24</f>
        <v>0.28949789171027634</v>
      </c>
      <c r="AF32" s="197">
        <f>+'Pi''s Calc'!AF24</f>
        <v>0.28949789171027634</v>
      </c>
      <c r="AG32" s="197">
        <f>+'Pi''s Calc'!AG24</f>
        <v>0.28949789171027634</v>
      </c>
      <c r="AH32" s="197">
        <f>+'Pi''s Calc'!AH24</f>
        <v>0.28949789171027634</v>
      </c>
      <c r="AI32" s="197">
        <f>+'Pi''s Calc'!AI24</f>
        <v>0.28949789171027634</v>
      </c>
      <c r="AJ32" s="197">
        <f>+'Pi''s Calc'!AJ24</f>
        <v>0.28949789171027634</v>
      </c>
      <c r="AK32" s="197">
        <f>+'Pi''s Calc'!AK24</f>
        <v>0.28949789171027634</v>
      </c>
      <c r="AL32" s="197">
        <f>+'Pi''s Calc'!AL24</f>
        <v>0.28949789171027634</v>
      </c>
      <c r="AM32" s="197">
        <f>+'Pi''s Calc'!AM24</f>
        <v>0.28949789171027634</v>
      </c>
      <c r="AN32" s="197">
        <f>+'Pi''s Calc'!AN24</f>
        <v>0.28949789171027634</v>
      </c>
      <c r="AO32" s="197">
        <f>+'Pi''s Calc'!AO24</f>
        <v>0.28949789171027634</v>
      </c>
      <c r="AP32" s="197">
        <f>+'Pi''s Calc'!AP24</f>
        <v>0.28949789171027634</v>
      </c>
      <c r="AQ32" s="197">
        <f>+'Pi''s Calc'!AQ24</f>
        <v>0.28949789171027634</v>
      </c>
      <c r="AR32" s="197">
        <f>+'Pi''s Calc'!AR24</f>
        <v>0.28949789171027634</v>
      </c>
      <c r="AS32" s="197"/>
      <c r="AT32" s="197"/>
      <c r="AU32" s="197"/>
    </row>
    <row r="33" spans="1:47" ht="15">
      <c r="A33" s="135" t="s">
        <v>319</v>
      </c>
      <c r="B33" s="201" t="s">
        <v>329</v>
      </c>
      <c r="S33" s="135"/>
      <c r="T33" s="135"/>
      <c r="U33" s="135"/>
      <c r="V33" s="136">
        <f>+'Pi''s Calc'!V26</f>
        <v>25316.870790452973</v>
      </c>
      <c r="W33" s="136">
        <f>+'Pi''s Calc'!W26</f>
        <v>27187.871231349614</v>
      </c>
      <c r="X33" s="136">
        <f>+'Pi''s Calc'!X26</f>
        <v>29140.854487282111</v>
      </c>
      <c r="Y33" s="136">
        <f>+'Pi''s Calc'!Y26</f>
        <v>30941.640227800632</v>
      </c>
      <c r="Z33" s="136">
        <f>+'Pi''s Calc'!Z26</f>
        <v>32110.574198233862</v>
      </c>
      <c r="AA33" s="136">
        <f>+'Pi''s Calc'!AA26</f>
        <v>33225.096317166812</v>
      </c>
      <c r="AB33" s="136">
        <f>+'Pi''s Calc'!AB26</f>
        <v>33838.065626838616</v>
      </c>
      <c r="AC33" s="136">
        <f>+'Pi''s Calc'!AC26</f>
        <v>34331.292180070013</v>
      </c>
      <c r="AD33" s="136">
        <f>+'Pi''s Calc'!AD26</f>
        <v>34774.476332091821</v>
      </c>
      <c r="AE33" s="136">
        <f>+'Pi''s Calc'!AE26</f>
        <v>35169.733879897714</v>
      </c>
      <c r="AF33" s="136">
        <f>+'Pi''s Calc'!AF26</f>
        <v>35519.162430151991</v>
      </c>
      <c r="AG33" s="136">
        <f>+'Pi''s Calc'!AG26</f>
        <v>35824.939936240269</v>
      </c>
      <c r="AH33" s="136">
        <f>+'Pi''s Calc'!AH26</f>
        <v>36089.049217260719</v>
      </c>
      <c r="AI33" s="136">
        <f>+'Pi''s Calc'!AI26</f>
        <v>36313.320097123673</v>
      </c>
      <c r="AJ33" s="136">
        <f>+'Pi''s Calc'!AJ26</f>
        <v>36499.459886468394</v>
      </c>
      <c r="AK33" s="136">
        <f>+'Pi''s Calc'!AK26</f>
        <v>36649.034381027945</v>
      </c>
      <c r="AL33" s="136">
        <f>+'Pi''s Calc'!AL26</f>
        <v>36763.639449749207</v>
      </c>
      <c r="AM33" s="136">
        <f>+'Pi''s Calc'!AM26</f>
        <v>36844.826333661753</v>
      </c>
      <c r="AN33" s="136">
        <f>+'Pi''s Calc'!AN26</f>
        <v>36893.940897534907</v>
      </c>
      <c r="AO33" s="136">
        <f>+'Pi''s Calc'!AO26</f>
        <v>36912.361305867635</v>
      </c>
      <c r="AP33" s="136">
        <f>+'Pi''s Calc'!AP26</f>
        <v>36901.426194877873</v>
      </c>
      <c r="AQ33" s="136">
        <f>+'Pi''s Calc'!AQ26</f>
        <v>36862.280622007143</v>
      </c>
      <c r="AR33" s="136">
        <f>+'Pi''s Calc'!AR26</f>
        <v>36796.039046879443</v>
      </c>
      <c r="AU33" s="136"/>
    </row>
    <row r="34" spans="1:47" ht="15">
      <c r="A34" s="135" t="s">
        <v>320</v>
      </c>
      <c r="B34" s="201" t="s">
        <v>330</v>
      </c>
      <c r="S34" s="135"/>
      <c r="T34" s="135"/>
      <c r="U34" s="135"/>
      <c r="V34" s="136">
        <f>+'Pi''s Calc'!V33</f>
        <v>217425.80856483025</v>
      </c>
      <c r="W34" s="136">
        <f>+'Pi''s Calc'!W33</f>
        <v>218602.13181663418</v>
      </c>
      <c r="X34" s="136">
        <f>+'Pi''s Calc'!X33</f>
        <v>219396.55312813984</v>
      </c>
      <c r="Y34" s="136">
        <f>+'Pi''s Calc'!Y33</f>
        <v>220244.65286035021</v>
      </c>
      <c r="Z34" s="136">
        <f>+'Pi''s Calc'!Z33</f>
        <v>220457.0113352323</v>
      </c>
      <c r="AA34" s="136">
        <f>+'Pi''s Calc'!AA33</f>
        <v>220519.64531638619</v>
      </c>
      <c r="AB34" s="136">
        <f>+'Pi''s Calc'!AB33</f>
        <v>222357.89862610315</v>
      </c>
      <c r="AC34" s="136">
        <f>+'Pi''s Calc'!AC33</f>
        <v>219822.85274162918</v>
      </c>
      <c r="AD34" s="136">
        <f>+'Pi''s Calc'!AD33</f>
        <v>217159.50947298051</v>
      </c>
      <c r="AE34" s="136">
        <f>+'Pi''s Calc'!AE33</f>
        <v>214286.10413902675</v>
      </c>
      <c r="AF34" s="136">
        <f>+'Pi''s Calc'!AF33</f>
        <v>210998.37940703778</v>
      </c>
      <c r="AG34" s="136">
        <f>+'Pi''s Calc'!AG33</f>
        <v>207417.3448395101</v>
      </c>
      <c r="AH34" s="136">
        <f>+'Pi''s Calc'!AH33</f>
        <v>203485.30860397746</v>
      </c>
      <c r="AI34" s="136">
        <f>+'Pi''s Calc'!AI33</f>
        <v>199336.97572981211</v>
      </c>
      <c r="AJ34" s="136">
        <f>+'Pi''s Calc'!AJ33</f>
        <v>195068.82262693832</v>
      </c>
      <c r="AK34" s="136">
        <f>+'Pi''s Calc'!AK33</f>
        <v>190579.45282667864</v>
      </c>
      <c r="AL34" s="136">
        <f>+'Pi''s Calc'!AL33</f>
        <v>186022.43439469847</v>
      </c>
      <c r="AM34" s="136">
        <f>+'Pi''s Calc'!AM33</f>
        <v>181029.2577950455</v>
      </c>
      <c r="AN34" s="136">
        <f>+'Pi''s Calc'!AN33</f>
        <v>175826.99309946498</v>
      </c>
      <c r="AO34" s="136">
        <f>+'Pi''s Calc'!AO33</f>
        <v>170449.6117478011</v>
      </c>
      <c r="AP34" s="136">
        <f>+'Pi''s Calc'!AP33</f>
        <v>164714.87170283851</v>
      </c>
      <c r="AQ34" s="136">
        <f>+'Pi''s Calc'!AQ33</f>
        <v>158919.39690824994</v>
      </c>
      <c r="AR34" s="136">
        <f>+'Pi''s Calc'!AR33</f>
        <v>152881.18925598849</v>
      </c>
      <c r="AU34" s="136"/>
    </row>
    <row r="35" spans="1:47" ht="15">
      <c r="A35" s="135" t="s">
        <v>321</v>
      </c>
      <c r="B35" s="201" t="s">
        <v>331</v>
      </c>
      <c r="S35" s="135"/>
      <c r="T35" s="135"/>
      <c r="U35" s="135"/>
      <c r="AA35" s="136">
        <f>+'Pi''s Calc'!AA39</f>
        <v>257625.58450331708</v>
      </c>
      <c r="AG35" s="136">
        <f>+'Pi''s Calc'!AG39</f>
        <v>239354.21783663612</v>
      </c>
      <c r="AM35" s="136">
        <f>+'Pi''s Calc'!AM39</f>
        <v>198958.86333613307</v>
      </c>
      <c r="AR35" s="136">
        <f>+'Pi''s Calc'!AR39</f>
        <v>152881.18925598849</v>
      </c>
      <c r="AU35" s="136"/>
    </row>
    <row r="36" spans="1:47" ht="15">
      <c r="A36" s="135" t="s">
        <v>291</v>
      </c>
      <c r="B36" s="201" t="s">
        <v>332</v>
      </c>
      <c r="S36" s="135"/>
      <c r="T36" s="135"/>
      <c r="U36" s="135"/>
      <c r="AA36" s="136">
        <f>+'Pi''s Calc'!AA44</f>
        <v>37105.939186930889</v>
      </c>
      <c r="AG36" s="136">
        <f>+'Pi''s Calc'!AG44</f>
        <v>31936.872997126018</v>
      </c>
      <c r="AM36" s="136">
        <f>+'Pi''s Calc'!AM44</f>
        <v>17929.605541087571</v>
      </c>
      <c r="AR36" s="136">
        <f>+'Pi''s Calc'!AR44</f>
        <v>0</v>
      </c>
      <c r="AU36" s="136"/>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pageSetUpPr fitToPage="1"/>
  </sheetPr>
  <dimension ref="A1:AR113"/>
  <sheetViews>
    <sheetView zoomScaleNormal="100" workbookViewId="0">
      <pane xSplit="4" ySplit="1" topLeftCell="P38" activePane="bottomRight" state="frozen"/>
      <selection pane="topRight" activeCell="D1" sqref="D1"/>
      <selection pane="bottomLeft" activeCell="A2" sqref="A2"/>
      <selection pane="bottomRight" activeCell="R16" sqref="R16"/>
    </sheetView>
  </sheetViews>
  <sheetFormatPr defaultColWidth="9.08984375" defaultRowHeight="12.25" customHeight="1"/>
  <cols>
    <col min="1" max="1" width="28.36328125" style="196" bestFit="1" customWidth="1"/>
    <col min="2" max="2" width="2.6328125" style="196" bestFit="1" customWidth="1"/>
    <col min="3" max="3" width="15.6328125" style="196" bestFit="1" customWidth="1"/>
    <col min="4" max="4" width="2.36328125" style="196" customWidth="1"/>
    <col min="5" max="10" width="4.36328125" style="196" bestFit="1" customWidth="1"/>
    <col min="11" max="11" width="4.81640625" style="196" bestFit="1" customWidth="1"/>
    <col min="12" max="12" width="4.36328125" style="196" bestFit="1" customWidth="1"/>
    <col min="13" max="13" width="5.81640625" style="196" bestFit="1" customWidth="1"/>
    <col min="14" max="18" width="5.08984375" style="196" bestFit="1" customWidth="1"/>
    <col min="19" max="19" width="6.08984375" style="196" bestFit="1" customWidth="1"/>
    <col min="20" max="20" width="5.6328125" style="196" bestFit="1" customWidth="1"/>
    <col min="21" max="22" width="6.08984375" style="196" bestFit="1" customWidth="1"/>
    <col min="23" max="44" width="5.6328125" style="196" bestFit="1" customWidth="1"/>
    <col min="45" max="64" width="9.08984375" style="196" customWidth="1"/>
    <col min="65" max="16384" width="9.08984375" style="196"/>
  </cols>
  <sheetData>
    <row r="1" spans="1:44" ht="12.25" customHeight="1">
      <c r="A1" s="28" t="s">
        <v>53</v>
      </c>
      <c r="B1" s="32"/>
      <c r="C1" s="32"/>
      <c r="D1" s="32"/>
      <c r="E1" s="38">
        <v>2006</v>
      </c>
      <c r="F1" s="38">
        <f>E1+1</f>
        <v>2007</v>
      </c>
      <c r="G1" s="38">
        <f t="shared" ref="G1:K1" si="0">F1+1</f>
        <v>2008</v>
      </c>
      <c r="H1" s="38">
        <f t="shared" si="0"/>
        <v>2009</v>
      </c>
      <c r="I1" s="38">
        <f t="shared" si="0"/>
        <v>2010</v>
      </c>
      <c r="J1" s="38">
        <f t="shared" si="0"/>
        <v>2011</v>
      </c>
      <c r="K1" s="38">
        <f t="shared" si="0"/>
        <v>2012</v>
      </c>
      <c r="L1" s="38">
        <f t="shared" ref="L1:AR1" si="1">+K1+1</f>
        <v>2013</v>
      </c>
      <c r="M1" s="38">
        <f t="shared" si="1"/>
        <v>2014</v>
      </c>
      <c r="N1" s="38">
        <f t="shared" si="1"/>
        <v>2015</v>
      </c>
      <c r="O1" s="38">
        <f t="shared" si="1"/>
        <v>2016</v>
      </c>
      <c r="P1" s="38">
        <f t="shared" si="1"/>
        <v>2017</v>
      </c>
      <c r="Q1" s="38">
        <f t="shared" si="1"/>
        <v>2018</v>
      </c>
      <c r="R1" s="38">
        <f t="shared" si="1"/>
        <v>2019</v>
      </c>
      <c r="S1" s="38">
        <f t="shared" si="1"/>
        <v>2020</v>
      </c>
      <c r="T1" s="38">
        <f t="shared" si="1"/>
        <v>2021</v>
      </c>
      <c r="U1" s="38">
        <f t="shared" si="1"/>
        <v>2022</v>
      </c>
      <c r="V1" s="38">
        <f t="shared" si="1"/>
        <v>2023</v>
      </c>
      <c r="W1" s="38">
        <f t="shared" si="1"/>
        <v>2024</v>
      </c>
      <c r="X1" s="38">
        <f t="shared" si="1"/>
        <v>2025</v>
      </c>
      <c r="Y1" s="38">
        <f t="shared" si="1"/>
        <v>2026</v>
      </c>
      <c r="Z1" s="38">
        <f t="shared" si="1"/>
        <v>2027</v>
      </c>
      <c r="AA1" s="38">
        <f t="shared" si="1"/>
        <v>2028</v>
      </c>
      <c r="AB1" s="38">
        <f t="shared" si="1"/>
        <v>2029</v>
      </c>
      <c r="AC1" s="38">
        <f t="shared" si="1"/>
        <v>2030</v>
      </c>
      <c r="AD1" s="38">
        <f t="shared" si="1"/>
        <v>2031</v>
      </c>
      <c r="AE1" s="38">
        <f t="shared" si="1"/>
        <v>2032</v>
      </c>
      <c r="AF1" s="38">
        <f t="shared" si="1"/>
        <v>2033</v>
      </c>
      <c r="AG1" s="38">
        <f t="shared" si="1"/>
        <v>2034</v>
      </c>
      <c r="AH1" s="38">
        <f t="shared" si="1"/>
        <v>2035</v>
      </c>
      <c r="AI1" s="38">
        <f t="shared" si="1"/>
        <v>2036</v>
      </c>
      <c r="AJ1" s="38">
        <f t="shared" si="1"/>
        <v>2037</v>
      </c>
      <c r="AK1" s="38">
        <f t="shared" si="1"/>
        <v>2038</v>
      </c>
      <c r="AL1" s="38">
        <f t="shared" si="1"/>
        <v>2039</v>
      </c>
      <c r="AM1" s="38">
        <f t="shared" si="1"/>
        <v>2040</v>
      </c>
      <c r="AN1" s="38">
        <f t="shared" si="1"/>
        <v>2041</v>
      </c>
      <c r="AO1" s="38">
        <f t="shared" si="1"/>
        <v>2042</v>
      </c>
      <c r="AP1" s="38">
        <f t="shared" si="1"/>
        <v>2043</v>
      </c>
      <c r="AQ1" s="38">
        <f t="shared" si="1"/>
        <v>2044</v>
      </c>
      <c r="AR1" s="38">
        <f t="shared" si="1"/>
        <v>2045</v>
      </c>
    </row>
    <row r="2" spans="1:44" ht="13.4" customHeight="1">
      <c r="A2" s="35"/>
      <c r="B2" s="31"/>
      <c r="C2" s="31"/>
      <c r="D2" s="31"/>
      <c r="E2" s="31"/>
      <c r="F2" s="31"/>
      <c r="G2" s="31"/>
      <c r="H2" s="31"/>
      <c r="I2" s="3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ht="13.4" customHeight="1">
      <c r="A3" s="28" t="s">
        <v>278</v>
      </c>
      <c r="B3" s="31"/>
      <c r="C3" s="31"/>
      <c r="D3" s="31"/>
      <c r="E3" s="31"/>
      <c r="F3" s="31"/>
      <c r="G3" s="31"/>
      <c r="H3" s="31"/>
      <c r="I3" s="31"/>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3.4" customHeight="1">
      <c r="A4" s="28"/>
      <c r="B4" s="31"/>
      <c r="C4" s="31"/>
      <c r="D4" s="31"/>
      <c r="E4" s="31"/>
      <c r="F4" s="31"/>
      <c r="G4" s="31"/>
      <c r="H4" s="31"/>
      <c r="I4" s="3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2.25" customHeight="1">
      <c r="A5" s="35" t="s">
        <v>52</v>
      </c>
      <c r="B5" s="31"/>
      <c r="C5" s="31" t="s">
        <v>339</v>
      </c>
      <c r="D5" s="31"/>
      <c r="E5" s="31"/>
      <c r="F5" s="31"/>
      <c r="G5" s="31"/>
      <c r="H5" s="31"/>
      <c r="I5" s="31"/>
      <c r="J5" s="33"/>
      <c r="K5" s="33"/>
      <c r="L5" s="33"/>
      <c r="M5" s="33"/>
      <c r="N5" s="33"/>
      <c r="O5" s="33"/>
      <c r="P5" s="33"/>
      <c r="Q5" s="33"/>
      <c r="R5" s="33"/>
      <c r="S5" s="33"/>
      <c r="T5" s="33"/>
      <c r="U5" s="33"/>
      <c r="V5" s="10">
        <v>1.5669308641975303E-2</v>
      </c>
      <c r="W5" s="10">
        <v>3.2863958641975305E-2</v>
      </c>
      <c r="X5" s="10">
        <v>4.9734658641975307E-2</v>
      </c>
      <c r="Y5" s="10">
        <v>5.4368958641975308E-2</v>
      </c>
      <c r="Z5" s="10">
        <v>5.4368958641975308E-2</v>
      </c>
      <c r="AA5" s="10">
        <v>5.4368958641975308E-2</v>
      </c>
      <c r="AB5" s="33"/>
      <c r="AC5" s="33"/>
      <c r="AD5" s="33"/>
      <c r="AE5" s="33"/>
      <c r="AF5" s="33"/>
      <c r="AG5" s="33"/>
      <c r="AH5" s="33"/>
      <c r="AI5" s="33"/>
      <c r="AJ5" s="33"/>
      <c r="AK5" s="33"/>
      <c r="AL5" s="33"/>
      <c r="AM5" s="33"/>
      <c r="AN5" s="33"/>
      <c r="AO5" s="33"/>
      <c r="AP5" s="33"/>
      <c r="AQ5" s="33"/>
      <c r="AR5" s="33"/>
    </row>
    <row r="6" spans="1:44" ht="12.25" customHeight="1">
      <c r="A6" s="35" t="s">
        <v>161</v>
      </c>
      <c r="B6" s="31"/>
      <c r="C6" s="31"/>
      <c r="D6" s="31"/>
      <c r="E6" s="31"/>
      <c r="F6" s="31"/>
      <c r="G6" s="31"/>
      <c r="H6" s="31"/>
      <c r="I6" s="31"/>
      <c r="J6" s="33"/>
      <c r="K6" s="33"/>
      <c r="L6" s="33"/>
      <c r="M6" s="33"/>
      <c r="N6" s="33"/>
      <c r="O6" s="33"/>
      <c r="P6" s="33"/>
      <c r="Q6" s="33"/>
      <c r="R6" s="33"/>
      <c r="S6" s="33"/>
      <c r="T6" s="33"/>
      <c r="U6" s="33"/>
      <c r="V6" s="10">
        <v>0.55000000000000004</v>
      </c>
      <c r="W6" s="33"/>
      <c r="X6" s="33"/>
      <c r="Y6" s="33"/>
      <c r="Z6" s="33"/>
      <c r="AA6" s="33"/>
      <c r="AB6" s="33"/>
      <c r="AC6" s="33"/>
      <c r="AD6" s="33"/>
      <c r="AE6" s="33"/>
      <c r="AF6" s="33"/>
      <c r="AG6" s="33" t="s">
        <v>352</v>
      </c>
      <c r="AH6" s="33"/>
      <c r="AI6" s="33"/>
      <c r="AJ6" s="33"/>
      <c r="AK6" s="33"/>
      <c r="AL6" s="33"/>
      <c r="AM6" s="33"/>
      <c r="AN6" s="33"/>
      <c r="AO6" s="33"/>
      <c r="AP6" s="33"/>
      <c r="AQ6" s="33"/>
      <c r="AR6" s="33"/>
    </row>
    <row r="7" spans="1:44" ht="12.25" customHeight="1">
      <c r="A7" s="35" t="s">
        <v>162</v>
      </c>
      <c r="B7" s="31"/>
      <c r="C7" s="31"/>
      <c r="D7" s="31"/>
      <c r="E7" s="31"/>
      <c r="F7" s="31"/>
      <c r="G7" s="31"/>
      <c r="H7" s="31"/>
      <c r="I7" s="31"/>
      <c r="J7" s="33"/>
      <c r="K7" s="33"/>
      <c r="L7" s="33"/>
      <c r="M7" s="33"/>
      <c r="N7" s="33"/>
      <c r="O7" s="33"/>
      <c r="P7" s="33"/>
      <c r="Q7" s="33"/>
      <c r="R7" s="33"/>
      <c r="S7" s="33"/>
      <c r="T7" s="33"/>
      <c r="U7" s="33"/>
      <c r="V7" s="85">
        <v>3.2099999999999997E-2</v>
      </c>
      <c r="W7" s="10">
        <v>3.2099999999999997E-2</v>
      </c>
      <c r="X7" s="10">
        <v>5.1100000000000007E-2</v>
      </c>
      <c r="Y7" s="10">
        <v>7.0099999999999996E-2</v>
      </c>
      <c r="Z7" s="10">
        <v>7.0099999999999996E-2</v>
      </c>
      <c r="AA7" s="10">
        <v>7.0099999999999996E-2</v>
      </c>
      <c r="AB7" s="33"/>
      <c r="AC7" s="33"/>
      <c r="AD7" s="33"/>
      <c r="AE7" s="33"/>
      <c r="AF7" s="33"/>
      <c r="AG7" s="33"/>
      <c r="AH7" s="33"/>
      <c r="AI7" s="33"/>
      <c r="AJ7" s="33"/>
      <c r="AK7" s="33"/>
      <c r="AL7" s="33"/>
      <c r="AM7" s="33"/>
      <c r="AN7" s="33"/>
      <c r="AO7" s="33"/>
      <c r="AP7" s="33"/>
      <c r="AQ7" s="33"/>
      <c r="AR7" s="33"/>
    </row>
    <row r="8" spans="1:44" ht="12.25" customHeight="1">
      <c r="A8" s="35"/>
      <c r="B8" s="31"/>
      <c r="C8" s="31"/>
      <c r="D8" s="31"/>
      <c r="E8" s="31"/>
      <c r="F8" s="31"/>
      <c r="G8" s="31"/>
      <c r="H8" s="31"/>
      <c r="I8" s="31"/>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row>
    <row r="9" spans="1:44" ht="12.25" customHeight="1">
      <c r="A9" s="55" t="s">
        <v>8</v>
      </c>
      <c r="B9" s="31"/>
      <c r="C9" s="31"/>
      <c r="D9" s="31"/>
      <c r="E9" s="31"/>
      <c r="F9" s="31"/>
      <c r="G9" s="31"/>
      <c r="H9" s="31"/>
      <c r="I9" s="31"/>
      <c r="J9" s="33"/>
      <c r="K9" s="33"/>
      <c r="L9" s="33"/>
      <c r="M9" s="33"/>
      <c r="N9" s="33"/>
      <c r="O9" s="33"/>
      <c r="P9" s="33"/>
      <c r="Q9" s="33"/>
      <c r="R9" s="33"/>
      <c r="S9" s="33"/>
      <c r="T9" s="33"/>
      <c r="U9" s="33"/>
      <c r="V9" s="33">
        <v>8535.2909494267114</v>
      </c>
      <c r="W9" s="33">
        <v>8953.8721069889125</v>
      </c>
      <c r="X9" s="33">
        <v>9454.9712942626502</v>
      </c>
      <c r="Y9" s="33">
        <v>9850.8714166470982</v>
      </c>
      <c r="Z9" s="33">
        <v>9909.9026139898106</v>
      </c>
      <c r="AA9" s="33">
        <v>10029.005530072303</v>
      </c>
      <c r="AB9" s="33">
        <v>10180.589649722551</v>
      </c>
      <c r="AC9" s="33">
        <v>10358.585097462117</v>
      </c>
      <c r="AD9" s="33">
        <v>10529.438396922804</v>
      </c>
      <c r="AE9" s="33">
        <v>10694.32620025283</v>
      </c>
      <c r="AF9" s="33">
        <v>10852.676860603196</v>
      </c>
      <c r="AG9" s="33">
        <v>11006.20068774362</v>
      </c>
      <c r="AH9" s="33">
        <v>11154.224700546425</v>
      </c>
      <c r="AI9" s="33">
        <v>11297.782259556689</v>
      </c>
      <c r="AJ9" s="33">
        <v>11436.679392085045</v>
      </c>
      <c r="AK9" s="33">
        <v>11571.331872798937</v>
      </c>
      <c r="AL9" s="33">
        <v>11702.129673595129</v>
      </c>
      <c r="AM9" s="33">
        <v>11829.395459716881</v>
      </c>
      <c r="AN9" s="33">
        <v>11952.867178780527</v>
      </c>
      <c r="AO9" s="33">
        <v>12073.481117321051</v>
      </c>
      <c r="AP9" s="33">
        <v>12190.882246137173</v>
      </c>
      <c r="AQ9" s="33">
        <v>12305.324710523269</v>
      </c>
      <c r="AR9" s="33">
        <v>12419.335586329657</v>
      </c>
    </row>
    <row r="10" spans="1:44" ht="12.25" customHeight="1">
      <c r="A10" s="35"/>
      <c r="B10" s="31"/>
      <c r="C10" s="31"/>
      <c r="D10" s="31"/>
      <c r="E10" s="31"/>
      <c r="F10" s="31"/>
      <c r="G10" s="31"/>
      <c r="H10" s="31"/>
      <c r="I10" s="31"/>
      <c r="J10" s="33"/>
      <c r="K10" s="4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2.25" customHeight="1">
      <c r="A11" s="35" t="s">
        <v>3</v>
      </c>
      <c r="B11" s="31"/>
      <c r="C11" s="31"/>
      <c r="D11" s="31"/>
      <c r="E11" s="31"/>
      <c r="F11" s="31"/>
      <c r="G11" s="31"/>
      <c r="H11" s="31"/>
      <c r="I11" s="31"/>
      <c r="J11" s="33"/>
      <c r="K11" s="4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3">
      <c r="A12" s="53" t="s">
        <v>129</v>
      </c>
      <c r="B12" s="36"/>
      <c r="C12" s="31"/>
      <c r="D12" s="33"/>
      <c r="E12" s="33"/>
      <c r="F12" s="33"/>
      <c r="G12" s="33"/>
      <c r="H12" s="33"/>
      <c r="I12" s="33"/>
      <c r="J12" s="41"/>
      <c r="K12" s="43"/>
      <c r="L12" s="43"/>
      <c r="M12" s="43"/>
      <c r="N12" s="43"/>
      <c r="O12" s="43"/>
      <c r="P12" s="43"/>
      <c r="Q12" s="43"/>
      <c r="R12" s="43"/>
      <c r="S12" s="43"/>
      <c r="T12" s="43"/>
      <c r="U12" s="43"/>
      <c r="V12" s="33">
        <v>10628.137953151154</v>
      </c>
      <c r="W12" s="33">
        <v>7841.4384526634913</v>
      </c>
      <c r="X12" s="33">
        <v>7674.9124685605948</v>
      </c>
      <c r="Y12" s="33">
        <v>7920.0782800486541</v>
      </c>
      <c r="Z12" s="33">
        <v>7298.9217017256842</v>
      </c>
      <c r="AA12" s="33">
        <v>7097.3867232771699</v>
      </c>
      <c r="AB12" s="33">
        <v>9445.8426531981731</v>
      </c>
      <c r="AC12" s="33">
        <v>5178.9022306370571</v>
      </c>
      <c r="AD12" s="33">
        <v>5015.1109877730278</v>
      </c>
      <c r="AE12" s="33">
        <v>4859.0006411466102</v>
      </c>
      <c r="AF12" s="33">
        <v>4714.3751924642502</v>
      </c>
      <c r="AG12" s="33">
        <v>4575.3394056460738</v>
      </c>
      <c r="AH12" s="33">
        <v>4443.5673620317821</v>
      </c>
      <c r="AI12" s="33">
        <v>4315.1374002062821</v>
      </c>
      <c r="AJ12" s="33">
        <v>4189.4923370085953</v>
      </c>
      <c r="AK12" s="33">
        <v>4070.3740072946089</v>
      </c>
      <c r="AL12" s="33">
        <v>3954.2488237871257</v>
      </c>
      <c r="AM12" s="33">
        <v>3850.454559566972</v>
      </c>
      <c r="AN12" s="33">
        <v>3746.0291459172604</v>
      </c>
      <c r="AO12" s="33">
        <v>3647.2259787725734</v>
      </c>
      <c r="AP12" s="33">
        <v>3556.1346125418395</v>
      </c>
      <c r="AQ12" s="33">
        <v>3462.2173864030201</v>
      </c>
      <c r="AR12" s="33">
        <v>3375.6375533740475</v>
      </c>
    </row>
    <row r="13" spans="1:44" ht="13">
      <c r="A13" s="53" t="s">
        <v>130</v>
      </c>
      <c r="B13" s="36"/>
      <c r="C13" s="31"/>
      <c r="D13" s="33"/>
      <c r="E13" s="33"/>
      <c r="F13" s="33"/>
      <c r="G13" s="33"/>
      <c r="H13" s="33"/>
      <c r="I13" s="33"/>
      <c r="J13" s="41"/>
      <c r="K13" s="43"/>
      <c r="L13" s="43"/>
      <c r="M13" s="43"/>
      <c r="N13" s="43"/>
      <c r="O13" s="43"/>
      <c r="P13" s="43"/>
      <c r="Q13" s="43"/>
      <c r="R13" s="43"/>
      <c r="S13" s="43"/>
      <c r="T13" s="43"/>
      <c r="U13" s="43"/>
      <c r="V13" s="33">
        <v>1592.9651527008275</v>
      </c>
      <c r="W13" s="33">
        <v>1733.9288544501294</v>
      </c>
      <c r="X13" s="33">
        <v>1750.7507970977779</v>
      </c>
      <c r="Y13" s="33">
        <v>1883.4175842222153</v>
      </c>
      <c r="Z13" s="33">
        <v>2092.1731510266918</v>
      </c>
      <c r="AA13" s="33">
        <v>2297.6737455575126</v>
      </c>
      <c r="AB13" s="33">
        <v>1920.4121526079848</v>
      </c>
      <c r="AC13" s="33">
        <v>1977.7952693168074</v>
      </c>
      <c r="AD13" s="33">
        <v>2205.7697209491294</v>
      </c>
      <c r="AE13" s="33">
        <v>2338.4717552671596</v>
      </c>
      <c r="AF13" s="33">
        <v>2243.5370147363064</v>
      </c>
      <c r="AG13" s="33">
        <v>2226.5238401124489</v>
      </c>
      <c r="AH13" s="33">
        <v>2138.3576144345398</v>
      </c>
      <c r="AI13" s="33">
        <v>2183.8552968213271</v>
      </c>
      <c r="AJ13" s="33">
        <v>2330.4747196098583</v>
      </c>
      <c r="AK13" s="33">
        <v>2382.7907413645844</v>
      </c>
      <c r="AL13" s="33">
        <v>2586.9945608388189</v>
      </c>
      <c r="AM13" s="33">
        <v>2393.7592516809082</v>
      </c>
      <c r="AN13" s="33">
        <v>2418.4137061816032</v>
      </c>
      <c r="AO13" s="33">
        <v>2457.6457035469425</v>
      </c>
      <c r="AP13" s="33">
        <v>2279.0394558092917</v>
      </c>
      <c r="AQ13" s="33">
        <v>2432.9463108660484</v>
      </c>
      <c r="AR13" s="33">
        <v>2388.5691504664951</v>
      </c>
    </row>
    <row r="14" spans="1:44" ht="13">
      <c r="A14" s="53" t="s">
        <v>131</v>
      </c>
      <c r="B14" s="36"/>
      <c r="C14" s="31"/>
      <c r="D14" s="33"/>
      <c r="E14" s="33"/>
      <c r="F14" s="33"/>
      <c r="G14" s="33"/>
      <c r="H14" s="33"/>
      <c r="I14" s="33"/>
      <c r="J14" s="41"/>
      <c r="K14" s="43"/>
      <c r="L14" s="43"/>
      <c r="M14" s="43"/>
      <c r="N14" s="43"/>
      <c r="O14" s="43"/>
      <c r="P14" s="43"/>
      <c r="Q14" s="43"/>
      <c r="R14" s="43"/>
      <c r="S14" s="43"/>
      <c r="T14" s="43"/>
      <c r="U14" s="43"/>
      <c r="V14" s="33">
        <v>514.77326345415099</v>
      </c>
      <c r="W14" s="33">
        <v>231.6060112235478</v>
      </c>
      <c r="X14" s="33">
        <v>241.38036358488515</v>
      </c>
      <c r="Y14" s="33">
        <v>128.78032232752665</v>
      </c>
      <c r="Z14" s="33">
        <v>100.31604687972739</v>
      </c>
      <c r="AA14" s="33">
        <v>90.946993677168479</v>
      </c>
      <c r="AB14" s="33">
        <v>157.61010502546188</v>
      </c>
      <c r="AC14" s="33">
        <v>157.61010502546188</v>
      </c>
      <c r="AD14" s="33">
        <v>157.61010502546188</v>
      </c>
      <c r="AE14" s="33">
        <v>157.61010502546188</v>
      </c>
      <c r="AF14" s="33">
        <v>157.61010502546188</v>
      </c>
      <c r="AG14" s="33">
        <v>157.61010502546188</v>
      </c>
      <c r="AH14" s="33">
        <v>157.61010502546188</v>
      </c>
      <c r="AI14" s="33">
        <v>157.61010502546188</v>
      </c>
      <c r="AJ14" s="33">
        <v>157.61010502546188</v>
      </c>
      <c r="AK14" s="33">
        <v>157.61010502546188</v>
      </c>
      <c r="AL14" s="33">
        <v>157.61010502546188</v>
      </c>
      <c r="AM14" s="33">
        <v>157.61010502546188</v>
      </c>
      <c r="AN14" s="33">
        <v>157.61010502546188</v>
      </c>
      <c r="AO14" s="33">
        <v>157.61010502546188</v>
      </c>
      <c r="AP14" s="33">
        <v>157.61010502546188</v>
      </c>
      <c r="AQ14" s="33">
        <v>157.61010502546188</v>
      </c>
      <c r="AR14" s="33">
        <v>157.61010502546188</v>
      </c>
    </row>
    <row r="15" spans="1:44" ht="13">
      <c r="A15" s="27" t="s">
        <v>128</v>
      </c>
      <c r="B15" s="33"/>
      <c r="C15" s="31"/>
      <c r="D15" s="22"/>
      <c r="E15" s="22"/>
      <c r="F15" s="22"/>
      <c r="G15" s="22"/>
      <c r="H15" s="22"/>
      <c r="I15" s="22"/>
      <c r="J15" s="44"/>
      <c r="K15" s="45"/>
      <c r="L15" s="45"/>
      <c r="M15" s="45"/>
      <c r="N15" s="45"/>
      <c r="O15" s="45"/>
      <c r="P15" s="45"/>
      <c r="Q15" s="45"/>
      <c r="R15" s="45"/>
      <c r="S15" s="45"/>
      <c r="T15" s="45"/>
      <c r="U15" s="45"/>
      <c r="V15" s="207">
        <f t="shared" ref="V15" si="2">SUM(V12:V14)</f>
        <v>12735.876369306134</v>
      </c>
      <c r="W15" s="207">
        <f t="shared" ref="W15:AR15" si="3">SUM(W12:W14)</f>
        <v>9806.9733183371682</v>
      </c>
      <c r="X15" s="207">
        <f t="shared" si="3"/>
        <v>9667.0436292432587</v>
      </c>
      <c r="Y15" s="207">
        <f t="shared" si="3"/>
        <v>9932.2761865983957</v>
      </c>
      <c r="Z15" s="207">
        <f t="shared" si="3"/>
        <v>9491.4108996321029</v>
      </c>
      <c r="AA15" s="207">
        <f t="shared" si="3"/>
        <v>9486.0074625118523</v>
      </c>
      <c r="AB15" s="207">
        <f t="shared" si="3"/>
        <v>11523.86491083162</v>
      </c>
      <c r="AC15" s="207">
        <f t="shared" si="3"/>
        <v>7314.3076049793262</v>
      </c>
      <c r="AD15" s="207">
        <f t="shared" si="3"/>
        <v>7378.4908137476195</v>
      </c>
      <c r="AE15" s="207">
        <f t="shared" si="3"/>
        <v>7355.0825014392321</v>
      </c>
      <c r="AF15" s="207">
        <f t="shared" si="3"/>
        <v>7115.5223122260186</v>
      </c>
      <c r="AG15" s="207">
        <f t="shared" si="3"/>
        <v>6959.4733507839846</v>
      </c>
      <c r="AH15" s="207">
        <f t="shared" si="3"/>
        <v>6739.5350814917838</v>
      </c>
      <c r="AI15" s="207">
        <f t="shared" si="3"/>
        <v>6656.6028020530712</v>
      </c>
      <c r="AJ15" s="207">
        <f t="shared" si="3"/>
        <v>6677.577161643916</v>
      </c>
      <c r="AK15" s="207">
        <f t="shared" si="3"/>
        <v>6610.7748536846557</v>
      </c>
      <c r="AL15" s="207">
        <f t="shared" si="3"/>
        <v>6698.8534896514066</v>
      </c>
      <c r="AM15" s="207">
        <f t="shared" si="3"/>
        <v>6401.8239162733425</v>
      </c>
      <c r="AN15" s="207">
        <f t="shared" si="3"/>
        <v>6322.052957124326</v>
      </c>
      <c r="AO15" s="207">
        <f t="shared" si="3"/>
        <v>6262.4817873449774</v>
      </c>
      <c r="AP15" s="207">
        <f t="shared" si="3"/>
        <v>5992.7841733765927</v>
      </c>
      <c r="AQ15" s="207">
        <f t="shared" si="3"/>
        <v>6052.7738022945305</v>
      </c>
      <c r="AR15" s="207">
        <f t="shared" si="3"/>
        <v>5921.8168088660041</v>
      </c>
    </row>
    <row r="16" spans="1:44" ht="13">
      <c r="A16" s="27"/>
      <c r="B16" s="33"/>
      <c r="C16" s="31"/>
      <c r="D16" s="22"/>
      <c r="E16" s="22"/>
      <c r="F16" s="22"/>
      <c r="G16" s="22"/>
      <c r="H16" s="22"/>
      <c r="I16" s="22"/>
      <c r="J16" s="44"/>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row>
    <row r="17" spans="1:44" ht="12.25" customHeight="1">
      <c r="A17" s="133" t="s">
        <v>18</v>
      </c>
      <c r="B17" s="31"/>
      <c r="C17" s="31"/>
      <c r="D17" s="31"/>
      <c r="E17" s="31"/>
      <c r="F17" s="31"/>
      <c r="G17" s="31"/>
      <c r="H17" s="31"/>
      <c r="I17" s="31"/>
      <c r="J17" s="33"/>
      <c r="K17" s="33"/>
      <c r="L17" s="134"/>
      <c r="M17" s="134"/>
      <c r="N17" s="134"/>
      <c r="O17" s="134"/>
      <c r="P17" s="134"/>
      <c r="Q17" s="134"/>
      <c r="R17" s="134"/>
      <c r="S17" s="134"/>
      <c r="T17" s="134"/>
      <c r="U17" s="134"/>
      <c r="V17" s="8"/>
      <c r="W17" s="8"/>
      <c r="X17" s="8"/>
      <c r="Y17" s="8"/>
      <c r="Z17" s="8"/>
      <c r="AA17" s="8"/>
      <c r="AB17" s="8"/>
      <c r="AC17" s="8"/>
      <c r="AD17" s="8"/>
      <c r="AE17" s="8"/>
      <c r="AF17" s="8"/>
      <c r="AG17" s="8"/>
      <c r="AH17" s="8"/>
      <c r="AI17" s="8"/>
      <c r="AJ17" s="8"/>
      <c r="AK17" s="8"/>
      <c r="AL17" s="8"/>
      <c r="AM17" s="8"/>
      <c r="AN17" s="8"/>
      <c r="AO17" s="8"/>
      <c r="AP17" s="8"/>
      <c r="AQ17" s="8"/>
      <c r="AR17" s="8"/>
    </row>
    <row r="18" spans="1:44" ht="12.25" customHeight="1">
      <c r="A18" s="54" t="s">
        <v>39</v>
      </c>
      <c r="B18" s="7" t="s">
        <v>19</v>
      </c>
      <c r="C18" s="31"/>
      <c r="D18" s="31"/>
      <c r="E18" s="31"/>
      <c r="F18" s="31"/>
      <c r="G18" s="31"/>
      <c r="H18" s="31"/>
      <c r="I18" s="31"/>
      <c r="J18" s="33"/>
      <c r="K18" s="33"/>
      <c r="L18" s="64"/>
      <c r="M18" s="64"/>
      <c r="N18" s="64"/>
      <c r="O18" s="64"/>
      <c r="P18" s="64"/>
      <c r="Q18" s="64"/>
      <c r="R18" s="64"/>
      <c r="S18" s="64"/>
      <c r="T18" s="64"/>
      <c r="U18" s="64"/>
      <c r="V18" s="64">
        <v>22128.372675000002</v>
      </c>
      <c r="W18" s="64">
        <v>24237.425691000004</v>
      </c>
      <c r="X18" s="64">
        <v>27066.706343999998</v>
      </c>
      <c r="Y18" s="64">
        <v>29594.81568</v>
      </c>
      <c r="Z18" s="64">
        <v>31718.016480000002</v>
      </c>
      <c r="AA18" s="64">
        <v>33781.533599999995</v>
      </c>
      <c r="AB18" s="64">
        <v>35242.71870494118</v>
      </c>
      <c r="AC18" s="64">
        <v>36482.20230776471</v>
      </c>
      <c r="AD18" s="64">
        <v>37629.033328941179</v>
      </c>
      <c r="AE18" s="64">
        <v>38687.129127529421</v>
      </c>
      <c r="AF18" s="64">
        <v>39660.373383529426</v>
      </c>
      <c r="AG18" s="64">
        <v>40552.798537411771</v>
      </c>
      <c r="AH18" s="64">
        <v>41368.07574211766</v>
      </c>
      <c r="AI18" s="64">
        <v>42109.592882823541</v>
      </c>
      <c r="AJ18" s="64">
        <v>42780.511013647068</v>
      </c>
      <c r="AK18" s="64">
        <v>43383.72917647061</v>
      </c>
      <c r="AL18" s="64">
        <v>43922.202093176486</v>
      </c>
      <c r="AM18" s="64">
        <v>44398.801857882383</v>
      </c>
      <c r="AN18" s="64">
        <v>44816.020314352972</v>
      </c>
      <c r="AO18" s="64">
        <v>45176.409108705906</v>
      </c>
      <c r="AP18" s="64">
        <v>45482.446701176501</v>
      </c>
      <c r="AQ18" s="64">
        <v>45736.253144470626</v>
      </c>
      <c r="AR18" s="64">
        <v>45939.891840000033</v>
      </c>
    </row>
    <row r="19" spans="1:44" ht="12.25" customHeight="1">
      <c r="A19" s="54" t="s">
        <v>42</v>
      </c>
      <c r="B19" s="7" t="s">
        <v>20</v>
      </c>
      <c r="C19" s="31"/>
      <c r="D19" s="31"/>
      <c r="E19" s="31"/>
      <c r="F19" s="31"/>
      <c r="G19" s="31"/>
      <c r="H19" s="31"/>
      <c r="I19" s="31"/>
      <c r="J19" s="33"/>
      <c r="K19" s="33"/>
      <c r="L19" s="64"/>
      <c r="M19" s="64"/>
      <c r="N19" s="64"/>
      <c r="O19" s="64"/>
      <c r="P19" s="64"/>
      <c r="Q19" s="64"/>
      <c r="R19" s="64"/>
      <c r="S19" s="64"/>
      <c r="T19" s="64"/>
      <c r="U19" s="64"/>
      <c r="V19" s="64">
        <v>7004.1530000000002</v>
      </c>
      <c r="W19" s="64">
        <v>7276.0789400000003</v>
      </c>
      <c r="X19" s="64">
        <v>7466.4270980000001</v>
      </c>
      <c r="Y19" s="64">
        <v>7910.5727999999999</v>
      </c>
      <c r="Z19" s="64">
        <v>7910.5727999999999</v>
      </c>
      <c r="AA19" s="64">
        <v>7910.5727999999999</v>
      </c>
      <c r="AB19" s="64">
        <v>7817.5072376470598</v>
      </c>
      <c r="AC19" s="64">
        <v>7724.4416752941179</v>
      </c>
      <c r="AD19" s="64">
        <v>7631.3761129411778</v>
      </c>
      <c r="AE19" s="64">
        <v>7538.3105505882359</v>
      </c>
      <c r="AF19" s="64">
        <v>7445.2449882352958</v>
      </c>
      <c r="AG19" s="64">
        <v>7352.1794258823547</v>
      </c>
      <c r="AH19" s="64">
        <v>7259.1138635294137</v>
      </c>
      <c r="AI19" s="64">
        <v>7166.0483011764736</v>
      </c>
      <c r="AJ19" s="64">
        <v>7072.9827388235317</v>
      </c>
      <c r="AK19" s="64">
        <v>6979.9171764705916</v>
      </c>
      <c r="AL19" s="64">
        <v>6886.8516141176506</v>
      </c>
      <c r="AM19" s="64">
        <v>6793.7860517647096</v>
      </c>
      <c r="AN19" s="64">
        <v>6700.7204894117685</v>
      </c>
      <c r="AO19" s="64">
        <v>6607.6549270588284</v>
      </c>
      <c r="AP19" s="64">
        <v>6514.5893647058874</v>
      </c>
      <c r="AQ19" s="64">
        <v>6421.5238023529464</v>
      </c>
      <c r="AR19" s="64">
        <v>6328.4582400000054</v>
      </c>
    </row>
    <row r="20" spans="1:44" ht="12.25" customHeight="1">
      <c r="A20" s="54" t="s">
        <v>49</v>
      </c>
      <c r="B20" s="7" t="s">
        <v>50</v>
      </c>
      <c r="C20" s="31"/>
      <c r="D20" s="31"/>
      <c r="E20" s="31"/>
      <c r="F20" s="31"/>
      <c r="G20" s="31"/>
      <c r="H20" s="31"/>
      <c r="I20" s="31"/>
      <c r="J20" s="33"/>
      <c r="K20" s="33"/>
      <c r="L20" s="64"/>
      <c r="M20" s="64"/>
      <c r="N20" s="64"/>
      <c r="O20" s="64"/>
      <c r="P20" s="64"/>
      <c r="Q20" s="64"/>
      <c r="R20" s="64"/>
      <c r="S20" s="64"/>
      <c r="T20" s="64"/>
      <c r="U20" s="64"/>
      <c r="V20" s="64">
        <v>5743.2340548552975</v>
      </c>
      <c r="W20" s="64">
        <v>6038.6003776764273</v>
      </c>
      <c r="X20" s="64">
        <v>6161.6696788518975</v>
      </c>
      <c r="Y20" s="64">
        <v>6235.51125955718</v>
      </c>
      <c r="Z20" s="64">
        <v>6235.51125955718</v>
      </c>
      <c r="AA20" s="64">
        <v>6235.51125955718</v>
      </c>
      <c r="AB20" s="64">
        <v>6162.1523035623895</v>
      </c>
      <c r="AC20" s="64">
        <v>6088.7933475676</v>
      </c>
      <c r="AD20" s="64">
        <v>6015.4343915728095</v>
      </c>
      <c r="AE20" s="64">
        <v>5942.0754355780191</v>
      </c>
      <c r="AF20" s="64">
        <v>5868.7164795832296</v>
      </c>
      <c r="AG20" s="64">
        <v>5795.3575235884391</v>
      </c>
      <c r="AH20" s="64">
        <v>5721.9985675936487</v>
      </c>
      <c r="AI20" s="64">
        <v>5648.6396115988591</v>
      </c>
      <c r="AJ20" s="64">
        <v>5575.2806556040687</v>
      </c>
      <c r="AK20" s="64">
        <v>5501.92169960928</v>
      </c>
      <c r="AL20" s="64">
        <v>5428.5627436144896</v>
      </c>
      <c r="AM20" s="64">
        <v>5355.2037876196991</v>
      </c>
      <c r="AN20" s="64">
        <v>5281.8448316249096</v>
      </c>
      <c r="AO20" s="64">
        <v>5208.4858756301192</v>
      </c>
      <c r="AP20" s="64">
        <v>5135.1269196353287</v>
      </c>
      <c r="AQ20" s="64">
        <v>5061.7679636405392</v>
      </c>
      <c r="AR20" s="64">
        <v>4988.4090076457487</v>
      </c>
    </row>
    <row r="21" spans="1:44" ht="12.25" customHeight="1">
      <c r="A21" s="54" t="s">
        <v>21</v>
      </c>
      <c r="B21" s="7" t="s">
        <v>51</v>
      </c>
      <c r="C21" s="31"/>
      <c r="D21" s="31"/>
      <c r="E21" s="31"/>
      <c r="F21" s="31"/>
      <c r="G21" s="31"/>
      <c r="H21" s="31"/>
      <c r="I21" s="31"/>
      <c r="J21" s="33"/>
      <c r="K21" s="33"/>
      <c r="L21" s="64"/>
      <c r="M21" s="64"/>
      <c r="N21" s="64"/>
      <c r="O21" s="64"/>
      <c r="P21" s="64"/>
      <c r="Q21" s="64"/>
      <c r="R21" s="64"/>
      <c r="S21" s="64"/>
      <c r="T21" s="64"/>
      <c r="U21" s="64"/>
      <c r="V21" s="64">
        <v>1864.7616789105712</v>
      </c>
      <c r="W21" s="64">
        <v>1864.7616789105712</v>
      </c>
      <c r="X21" s="64">
        <v>1864.7616789105712</v>
      </c>
      <c r="Y21" s="64">
        <v>1864.7616789105712</v>
      </c>
      <c r="Z21" s="64">
        <v>1864.7616789105712</v>
      </c>
      <c r="AA21" s="64">
        <v>1864.7616789105712</v>
      </c>
      <c r="AB21" s="64">
        <v>1842.8233062175057</v>
      </c>
      <c r="AC21" s="64">
        <v>1820.8849335244404</v>
      </c>
      <c r="AD21" s="64">
        <v>1798.9465608313747</v>
      </c>
      <c r="AE21" s="64">
        <v>1777.0081881383094</v>
      </c>
      <c r="AF21" s="64">
        <v>1755.0698154452439</v>
      </c>
      <c r="AG21" s="64">
        <v>1733.1314427521784</v>
      </c>
      <c r="AH21" s="64">
        <v>1711.1930700591129</v>
      </c>
      <c r="AI21" s="64">
        <v>1689.2546973660474</v>
      </c>
      <c r="AJ21" s="64">
        <v>1667.3163246729819</v>
      </c>
      <c r="AK21" s="64">
        <v>1645.3779519799166</v>
      </c>
      <c r="AL21" s="64">
        <v>1623.4395792868511</v>
      </c>
      <c r="AM21" s="64">
        <v>1601.5012065937856</v>
      </c>
      <c r="AN21" s="64">
        <v>1579.5628339007201</v>
      </c>
      <c r="AO21" s="64">
        <v>1557.6244612076546</v>
      </c>
      <c r="AP21" s="64">
        <v>1535.6860885145893</v>
      </c>
      <c r="AQ21" s="64">
        <v>1513.7477158215238</v>
      </c>
      <c r="AR21" s="64">
        <v>1491.8093431284581</v>
      </c>
    </row>
    <row r="22" spans="1:44" ht="12.25" customHeight="1">
      <c r="A22" s="54" t="s">
        <v>164</v>
      </c>
      <c r="B22" s="7" t="s">
        <v>166</v>
      </c>
      <c r="C22" s="31"/>
      <c r="D22" s="31"/>
      <c r="E22" s="31"/>
      <c r="F22" s="31"/>
      <c r="G22" s="31"/>
      <c r="H22" s="31"/>
      <c r="I22" s="31"/>
      <c r="J22" s="33"/>
      <c r="K22" s="33"/>
      <c r="L22" s="64"/>
      <c r="M22" s="64"/>
      <c r="N22" s="64"/>
      <c r="O22" s="64"/>
      <c r="P22" s="64"/>
      <c r="Q22" s="64"/>
      <c r="R22" s="64"/>
      <c r="S22" s="64"/>
      <c r="T22" s="64"/>
      <c r="U22" s="64"/>
      <c r="V22" s="64">
        <v>12456.386384186768</v>
      </c>
      <c r="W22" s="64">
        <v>12871.599263659658</v>
      </c>
      <c r="X22" s="64">
        <v>13044.604630106698</v>
      </c>
      <c r="Y22" s="64">
        <v>13148.407849974921</v>
      </c>
      <c r="Z22" s="64">
        <v>13148.407849974921</v>
      </c>
      <c r="AA22" s="64">
        <v>13148.407849974921</v>
      </c>
      <c r="AB22" s="64">
        <v>12993.720698798747</v>
      </c>
      <c r="AC22" s="64">
        <v>12839.03354762257</v>
      </c>
      <c r="AD22" s="64">
        <v>12684.346396446395</v>
      </c>
      <c r="AE22" s="64">
        <v>12529.659245270221</v>
      </c>
      <c r="AF22" s="64">
        <v>12374.972094094046</v>
      </c>
      <c r="AG22" s="64">
        <v>12220.28494291787</v>
      </c>
      <c r="AH22" s="64">
        <v>12065.597791741695</v>
      </c>
      <c r="AI22" s="64">
        <v>11910.91064056552</v>
      </c>
      <c r="AJ22" s="64">
        <v>11756.223489389347</v>
      </c>
      <c r="AK22" s="64">
        <v>11601.536338213173</v>
      </c>
      <c r="AL22" s="64">
        <v>11446.849187036996</v>
      </c>
      <c r="AM22" s="64">
        <v>11292.162035860822</v>
      </c>
      <c r="AN22" s="64">
        <v>11137.474884684647</v>
      </c>
      <c r="AO22" s="64">
        <v>10982.787733508472</v>
      </c>
      <c r="AP22" s="64">
        <v>10828.100582332296</v>
      </c>
      <c r="AQ22" s="64">
        <v>10673.413431156121</v>
      </c>
      <c r="AR22" s="64">
        <v>10518.726279979946</v>
      </c>
    </row>
    <row r="23" spans="1:44" ht="12.25" customHeight="1">
      <c r="A23" s="54" t="s">
        <v>165</v>
      </c>
      <c r="B23" s="7" t="s">
        <v>167</v>
      </c>
      <c r="C23" s="31"/>
      <c r="D23" s="31"/>
      <c r="E23" s="31"/>
      <c r="F23" s="31"/>
      <c r="G23" s="31"/>
      <c r="H23" s="31"/>
      <c r="I23" s="31"/>
      <c r="J23" s="33"/>
      <c r="K23" s="33"/>
      <c r="L23" s="64"/>
      <c r="M23" s="64"/>
      <c r="N23" s="64"/>
      <c r="O23" s="64"/>
      <c r="P23" s="64"/>
      <c r="Q23" s="64"/>
      <c r="R23" s="64"/>
      <c r="S23" s="64"/>
      <c r="T23" s="64"/>
      <c r="U23" s="64"/>
      <c r="V23" s="64">
        <v>14787.324225824284</v>
      </c>
      <c r="W23" s="64">
        <v>16154.959980878155</v>
      </c>
      <c r="X23" s="64">
        <v>17038.045730631213</v>
      </c>
      <c r="Y23" s="64">
        <v>17758.670977821839</v>
      </c>
      <c r="Z23" s="64">
        <v>17835.273325143567</v>
      </c>
      <c r="AA23" s="64">
        <v>17835.273325143567</v>
      </c>
      <c r="AB23" s="64">
        <v>17625.446580141881</v>
      </c>
      <c r="AC23" s="64">
        <v>17415.619835140191</v>
      </c>
      <c r="AD23" s="64">
        <v>17205.793090138501</v>
      </c>
      <c r="AE23" s="64">
        <v>16995.966345136814</v>
      </c>
      <c r="AF23" s="64">
        <v>16786.139600135124</v>
      </c>
      <c r="AG23" s="64">
        <v>16576.312855133438</v>
      </c>
      <c r="AH23" s="64">
        <v>16366.486110131749</v>
      </c>
      <c r="AI23" s="64">
        <v>16156.659365130061</v>
      </c>
      <c r="AJ23" s="64">
        <v>15946.832620128373</v>
      </c>
      <c r="AK23" s="64">
        <v>15737.005875126686</v>
      </c>
      <c r="AL23" s="64">
        <v>15527.179130124998</v>
      </c>
      <c r="AM23" s="64">
        <v>15317.352385123309</v>
      </c>
      <c r="AN23" s="64">
        <v>15107.525640121619</v>
      </c>
      <c r="AO23" s="64">
        <v>14897.698895119931</v>
      </c>
      <c r="AP23" s="64">
        <v>14687.872150118243</v>
      </c>
      <c r="AQ23" s="64">
        <v>14478.045405116556</v>
      </c>
      <c r="AR23" s="64">
        <v>14268.218660114868</v>
      </c>
    </row>
    <row r="24" spans="1:44" ht="12.25" customHeight="1">
      <c r="A24" s="55" t="s">
        <v>58</v>
      </c>
      <c r="B24" s="51"/>
      <c r="C24" s="31"/>
      <c r="D24" s="31"/>
      <c r="E24" s="31"/>
      <c r="F24" s="31"/>
      <c r="G24" s="31"/>
      <c r="H24" s="31"/>
      <c r="I24" s="31"/>
      <c r="J24" s="33"/>
      <c r="K24" s="33"/>
      <c r="L24" s="64"/>
      <c r="M24" s="64"/>
      <c r="N24" s="64"/>
      <c r="O24" s="64"/>
      <c r="P24" s="64"/>
      <c r="Q24" s="64"/>
      <c r="R24" s="64"/>
      <c r="S24" s="64"/>
      <c r="T24" s="64"/>
      <c r="U24" s="64"/>
      <c r="V24" s="208">
        <f t="shared" ref="V24:AR24" si="4">SUM(V18:V23)</f>
        <v>63984.232018776922</v>
      </c>
      <c r="W24" s="208">
        <f t="shared" si="4"/>
        <v>68443.42593212481</v>
      </c>
      <c r="X24" s="208">
        <f t="shared" si="4"/>
        <v>72642.215160500375</v>
      </c>
      <c r="Y24" s="208">
        <f t="shared" si="4"/>
        <v>76512.740246264511</v>
      </c>
      <c r="Z24" s="208">
        <f t="shared" si="4"/>
        <v>78712.543393586238</v>
      </c>
      <c r="AA24" s="208">
        <f t="shared" si="4"/>
        <v>80776.060513586242</v>
      </c>
      <c r="AB24" s="208">
        <f t="shared" si="4"/>
        <v>81684.368831308762</v>
      </c>
      <c r="AC24" s="208">
        <f t="shared" si="4"/>
        <v>82370.975646913634</v>
      </c>
      <c r="AD24" s="208">
        <f t="shared" si="4"/>
        <v>82964.929880871437</v>
      </c>
      <c r="AE24" s="208">
        <f t="shared" si="4"/>
        <v>83470.148892241006</v>
      </c>
      <c r="AF24" s="208">
        <f t="shared" si="4"/>
        <v>83890.516361022368</v>
      </c>
      <c r="AG24" s="208">
        <f t="shared" si="4"/>
        <v>84230.064727686055</v>
      </c>
      <c r="AH24" s="208">
        <f t="shared" si="4"/>
        <v>84492.465145173279</v>
      </c>
      <c r="AI24" s="208">
        <f t="shared" si="4"/>
        <v>84681.105498660516</v>
      </c>
      <c r="AJ24" s="208">
        <f t="shared" si="4"/>
        <v>84799.146842265385</v>
      </c>
      <c r="AK24" s="208">
        <f t="shared" si="4"/>
        <v>84849.488217870254</v>
      </c>
      <c r="AL24" s="208">
        <f t="shared" si="4"/>
        <v>84835.084347357479</v>
      </c>
      <c r="AM24" s="208">
        <f t="shared" si="4"/>
        <v>84758.807324844704</v>
      </c>
      <c r="AN24" s="208">
        <f t="shared" si="4"/>
        <v>84623.148994096642</v>
      </c>
      <c r="AO24" s="208">
        <f t="shared" si="4"/>
        <v>84430.66100123091</v>
      </c>
      <c r="AP24" s="208">
        <f t="shared" si="4"/>
        <v>84183.821806482854</v>
      </c>
      <c r="AQ24" s="208">
        <f t="shared" si="4"/>
        <v>83884.751462558314</v>
      </c>
      <c r="AR24" s="208">
        <f t="shared" si="4"/>
        <v>83535.51337086907</v>
      </c>
    </row>
    <row r="25" spans="1:44" ht="13">
      <c r="A25" s="27"/>
      <c r="B25" s="33"/>
      <c r="C25" s="33"/>
      <c r="D25" s="22"/>
      <c r="E25" s="22"/>
      <c r="F25" s="22"/>
      <c r="G25" s="22"/>
      <c r="H25" s="22"/>
      <c r="I25" s="22"/>
      <c r="J25" s="44"/>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row>
    <row r="26" spans="1:44" ht="13">
      <c r="A26" s="27" t="s">
        <v>279</v>
      </c>
      <c r="B26" s="33"/>
      <c r="C26" s="33"/>
      <c r="D26" s="22"/>
      <c r="E26" s="22"/>
      <c r="F26" s="22"/>
      <c r="G26" s="22"/>
      <c r="H26" s="22"/>
      <c r="I26" s="22"/>
      <c r="J26" s="44"/>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row>
    <row r="27" spans="1:44" ht="13">
      <c r="A27" s="27"/>
      <c r="B27" s="33"/>
      <c r="C27" s="33"/>
      <c r="D27" s="22"/>
      <c r="E27" s="22"/>
      <c r="F27" s="22"/>
      <c r="G27" s="22"/>
      <c r="H27" s="22"/>
      <c r="I27" s="22"/>
      <c r="J27" s="44"/>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row>
    <row r="28" spans="1:44" ht="12.25" customHeight="1">
      <c r="A28" s="35" t="s">
        <v>280</v>
      </c>
      <c r="B28" s="31"/>
      <c r="C28" s="31" t="s">
        <v>281</v>
      </c>
      <c r="D28" s="31"/>
      <c r="E28" s="31"/>
      <c r="F28" s="31"/>
      <c r="G28" s="31"/>
      <c r="H28" s="31"/>
      <c r="I28" s="31"/>
      <c r="J28" s="33"/>
      <c r="K28" s="90">
        <v>242.7</v>
      </c>
      <c r="L28" s="90"/>
      <c r="M28" s="90">
        <v>256</v>
      </c>
      <c r="N28" s="90"/>
      <c r="O28" s="90"/>
      <c r="P28" s="90"/>
      <c r="Q28" s="90"/>
      <c r="R28" s="90"/>
      <c r="S28" s="90">
        <v>293.10000000000002</v>
      </c>
      <c r="T28" s="90"/>
      <c r="U28" s="90"/>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ht="12.25" customHeight="1">
      <c r="A29" s="35"/>
      <c r="B29" s="31"/>
      <c r="C29" s="31" t="s">
        <v>282</v>
      </c>
      <c r="D29" s="31"/>
      <c r="E29" s="31"/>
      <c r="F29" s="31"/>
      <c r="G29" s="31"/>
      <c r="H29" s="31"/>
      <c r="I29" s="31"/>
      <c r="J29" s="33"/>
      <c r="K29" s="90"/>
      <c r="L29" s="90"/>
      <c r="M29" s="90"/>
      <c r="N29" s="90"/>
      <c r="O29" s="90"/>
      <c r="P29" s="90"/>
      <c r="Q29" s="90"/>
      <c r="R29" s="90"/>
      <c r="S29" s="90"/>
      <c r="T29" s="90"/>
      <c r="U29" s="90">
        <v>355.2</v>
      </c>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2.25" customHeight="1">
      <c r="A30" s="35"/>
      <c r="B30" s="31"/>
      <c r="C30" s="31" t="s">
        <v>298</v>
      </c>
      <c r="D30" s="31"/>
      <c r="E30" s="31"/>
      <c r="F30" s="31"/>
      <c r="G30" s="31"/>
      <c r="H30" s="31"/>
      <c r="I30" s="31"/>
      <c r="J30" s="33"/>
      <c r="K30" s="90"/>
      <c r="L30" s="90"/>
      <c r="M30" s="90"/>
      <c r="N30" s="90"/>
      <c r="O30" s="90"/>
      <c r="P30" s="90"/>
      <c r="Q30" s="90"/>
      <c r="R30" s="90"/>
      <c r="S30" s="90">
        <v>108.9</v>
      </c>
      <c r="T30" s="90">
        <v>111.6</v>
      </c>
      <c r="U30" s="90"/>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ht="12.25" customHeight="1">
      <c r="A31" s="35"/>
      <c r="B31" s="31"/>
      <c r="C31" s="31" t="s">
        <v>299</v>
      </c>
      <c r="D31" s="31"/>
      <c r="E31" s="31"/>
      <c r="F31" s="31"/>
      <c r="G31" s="31"/>
      <c r="H31" s="31"/>
      <c r="I31" s="31"/>
      <c r="J31" s="33"/>
      <c r="K31" s="90"/>
      <c r="L31" s="90"/>
      <c r="M31" s="90"/>
      <c r="N31" s="90"/>
      <c r="O31" s="90"/>
      <c r="P31" s="90"/>
      <c r="Q31" s="90"/>
      <c r="R31" s="90"/>
      <c r="S31" s="90"/>
      <c r="T31" s="90"/>
      <c r="U31" s="90">
        <v>125.2</v>
      </c>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12.25" customHeight="1">
      <c r="A32" s="35"/>
      <c r="B32" s="31"/>
      <c r="C32" s="31" t="s">
        <v>300</v>
      </c>
      <c r="D32" s="31"/>
      <c r="E32" s="31"/>
      <c r="F32" s="31"/>
      <c r="G32" s="31"/>
      <c r="H32" s="31"/>
      <c r="I32" s="31"/>
      <c r="J32" s="33"/>
      <c r="K32" s="90"/>
      <c r="L32" s="90"/>
      <c r="M32" s="90"/>
      <c r="N32" s="90"/>
      <c r="O32" s="90"/>
      <c r="P32" s="90"/>
      <c r="Q32" s="90"/>
      <c r="R32" s="90"/>
      <c r="S32" s="47">
        <f>+U29/S28/U31*S30</f>
        <v>1.0540972724091811</v>
      </c>
      <c r="T32" s="90"/>
      <c r="U32" s="90"/>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44" ht="12.25" customHeight="1">
      <c r="A33" s="35"/>
      <c r="B33" s="31"/>
      <c r="C33" s="31"/>
      <c r="D33" s="31"/>
      <c r="E33" s="31"/>
      <c r="F33" s="31"/>
      <c r="G33" s="31"/>
      <c r="H33" s="31"/>
      <c r="I33" s="31"/>
      <c r="J33" s="33"/>
      <c r="K33" s="90"/>
      <c r="L33" s="90"/>
      <c r="M33" s="90"/>
      <c r="N33" s="90"/>
      <c r="O33" s="90"/>
      <c r="P33" s="90"/>
      <c r="Q33" s="90"/>
      <c r="R33" s="90"/>
      <c r="S33" s="90"/>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44" ht="12.25" customHeight="1">
      <c r="A34" s="35"/>
      <c r="B34" s="31"/>
      <c r="C34" s="31"/>
      <c r="D34" s="31"/>
      <c r="E34" s="31"/>
      <c r="F34" s="31"/>
      <c r="G34" s="31"/>
      <c r="H34" s="31"/>
      <c r="I34" s="31"/>
      <c r="J34" s="33"/>
      <c r="K34" s="90"/>
      <c r="L34" s="90"/>
      <c r="M34" s="90"/>
      <c r="N34" s="90"/>
      <c r="O34" s="90"/>
      <c r="P34" s="90"/>
      <c r="Q34" s="90"/>
      <c r="R34" s="90"/>
      <c r="S34" s="90"/>
      <c r="T34" s="33" t="s">
        <v>293</v>
      </c>
      <c r="U34" s="236" t="s">
        <v>294</v>
      </c>
      <c r="V34" s="236"/>
      <c r="W34" s="236"/>
      <c r="X34" s="236"/>
      <c r="Y34" s="236"/>
      <c r="Z34" s="236"/>
      <c r="AA34" s="236"/>
      <c r="AB34" s="33"/>
      <c r="AC34" s="33"/>
      <c r="AD34" s="33"/>
      <c r="AE34" s="33"/>
      <c r="AF34" s="33"/>
      <c r="AG34" s="33"/>
      <c r="AH34" s="33"/>
      <c r="AI34" s="33"/>
      <c r="AJ34" s="33"/>
      <c r="AK34" s="33"/>
      <c r="AL34" s="33"/>
      <c r="AM34" s="33"/>
      <c r="AN34" s="33"/>
      <c r="AO34" s="33"/>
      <c r="AP34" s="33"/>
      <c r="AQ34" s="33"/>
      <c r="AR34" s="33"/>
    </row>
    <row r="35" spans="1:44" ht="12.25" customHeight="1">
      <c r="A35" s="132" t="s">
        <v>295</v>
      </c>
      <c r="B35" s="24"/>
      <c r="C35" s="187" t="s">
        <v>313</v>
      </c>
      <c r="D35" s="24"/>
      <c r="E35" s="24"/>
      <c r="F35" s="24"/>
      <c r="G35" s="24"/>
      <c r="H35" s="24"/>
      <c r="I35" s="24"/>
      <c r="J35" s="65"/>
      <c r="K35" s="65"/>
      <c r="L35" s="66"/>
      <c r="M35" s="66"/>
      <c r="N35" s="66"/>
      <c r="O35" s="66"/>
      <c r="P35" s="66"/>
      <c r="Q35" s="66"/>
      <c r="R35" s="66"/>
      <c r="S35" s="26"/>
      <c r="T35" s="70">
        <f>+T30/S30-1</f>
        <v>2.4793388429751984E-2</v>
      </c>
      <c r="U35" s="70">
        <v>0.08</v>
      </c>
      <c r="V35" s="70">
        <v>5.5500000000000001E-2</v>
      </c>
      <c r="W35" s="70">
        <v>2.2799999999999997E-2</v>
      </c>
      <c r="X35" s="70">
        <v>1.09E-2</v>
      </c>
      <c r="Y35" s="70">
        <v>2.0899999999999998E-2</v>
      </c>
      <c r="Z35" s="70">
        <v>2.0899999999999998E-2</v>
      </c>
      <c r="AA35" s="70">
        <v>2.0899999999999998E-2</v>
      </c>
      <c r="AB35" s="70">
        <f>+AA35</f>
        <v>2.0899999999999998E-2</v>
      </c>
      <c r="AC35" s="70">
        <f t="shared" ref="AC35:AR35" si="5">+AB35</f>
        <v>2.0899999999999998E-2</v>
      </c>
      <c r="AD35" s="70">
        <f t="shared" si="5"/>
        <v>2.0899999999999998E-2</v>
      </c>
      <c r="AE35" s="70">
        <f t="shared" si="5"/>
        <v>2.0899999999999998E-2</v>
      </c>
      <c r="AF35" s="70">
        <f t="shared" si="5"/>
        <v>2.0899999999999998E-2</v>
      </c>
      <c r="AG35" s="70">
        <f t="shared" si="5"/>
        <v>2.0899999999999998E-2</v>
      </c>
      <c r="AH35" s="70">
        <f t="shared" si="5"/>
        <v>2.0899999999999998E-2</v>
      </c>
      <c r="AI35" s="70">
        <f t="shared" si="5"/>
        <v>2.0899999999999998E-2</v>
      </c>
      <c r="AJ35" s="70">
        <f t="shared" si="5"/>
        <v>2.0899999999999998E-2</v>
      </c>
      <c r="AK35" s="70">
        <f t="shared" si="5"/>
        <v>2.0899999999999998E-2</v>
      </c>
      <c r="AL35" s="70">
        <f t="shared" si="5"/>
        <v>2.0899999999999998E-2</v>
      </c>
      <c r="AM35" s="70">
        <f t="shared" si="5"/>
        <v>2.0899999999999998E-2</v>
      </c>
      <c r="AN35" s="70">
        <f t="shared" si="5"/>
        <v>2.0899999999999998E-2</v>
      </c>
      <c r="AO35" s="70">
        <f t="shared" si="5"/>
        <v>2.0899999999999998E-2</v>
      </c>
      <c r="AP35" s="70">
        <f t="shared" si="5"/>
        <v>2.0899999999999998E-2</v>
      </c>
      <c r="AQ35" s="70">
        <f t="shared" si="5"/>
        <v>2.0899999999999998E-2</v>
      </c>
      <c r="AR35" s="70">
        <f t="shared" si="5"/>
        <v>2.0899999999999998E-2</v>
      </c>
    </row>
    <row r="36" spans="1:44" ht="12.25" customHeight="1">
      <c r="A36" s="35" t="s">
        <v>263</v>
      </c>
      <c r="B36" s="31"/>
      <c r="C36" s="31"/>
      <c r="D36" s="31"/>
      <c r="E36" s="31"/>
      <c r="F36" s="31"/>
      <c r="G36" s="31"/>
      <c r="H36" s="31"/>
      <c r="I36" s="31"/>
      <c r="J36" s="33"/>
      <c r="K36" s="33"/>
      <c r="L36" s="33"/>
      <c r="M36" s="33"/>
      <c r="N36" s="33"/>
      <c r="O36" s="33"/>
      <c r="P36" s="33"/>
      <c r="Q36" s="33"/>
      <c r="R36" s="33"/>
      <c r="S36" s="47">
        <v>1</v>
      </c>
      <c r="T36" s="47">
        <f>+S36+S36*T$35</f>
        <v>1.024793388429752</v>
      </c>
      <c r="U36" s="47">
        <f>+T36+T36*U35</f>
        <v>1.1067768595041321</v>
      </c>
      <c r="V36" s="47">
        <f>+U36+U36*V35</f>
        <v>1.1682029752066114</v>
      </c>
      <c r="W36" s="47">
        <f t="shared" ref="W36:AB36" si="6">+V36+V36*W35</f>
        <v>1.1948380030413221</v>
      </c>
      <c r="X36" s="47">
        <f t="shared" si="6"/>
        <v>1.2078617372744727</v>
      </c>
      <c r="Y36" s="47">
        <f t="shared" si="6"/>
        <v>1.2331060475835092</v>
      </c>
      <c r="Z36" s="47">
        <f t="shared" si="6"/>
        <v>1.2588779639780046</v>
      </c>
      <c r="AA36" s="47">
        <f t="shared" si="6"/>
        <v>1.2851885134251448</v>
      </c>
      <c r="AB36" s="47">
        <f t="shared" si="6"/>
        <v>1.3120489533557305</v>
      </c>
      <c r="AC36" s="47">
        <f t="shared" ref="AC36" si="7">+AB36+AB36*AC35</f>
        <v>1.3394707764808653</v>
      </c>
      <c r="AD36" s="47">
        <f t="shared" ref="AD36" si="8">+AC36+AC36*AD35</f>
        <v>1.3674657157093153</v>
      </c>
      <c r="AE36" s="47">
        <f t="shared" ref="AE36" si="9">+AD36+AD36*AE35</f>
        <v>1.3960457491676399</v>
      </c>
      <c r="AF36" s="47">
        <f t="shared" ref="AF36" si="10">+AE36+AE36*AF35</f>
        <v>1.4252231053252435</v>
      </c>
      <c r="AG36" s="47">
        <f t="shared" ref="AG36" si="11">+AF36+AF36*AG35</f>
        <v>1.4550102682265411</v>
      </c>
      <c r="AH36" s="47">
        <f t="shared" ref="AH36" si="12">+AG36+AG36*AH35</f>
        <v>1.4854199828324759</v>
      </c>
      <c r="AI36" s="47">
        <f t="shared" ref="AI36" si="13">+AH36+AH36*AI35</f>
        <v>1.5164652604736746</v>
      </c>
      <c r="AJ36" s="47">
        <f t="shared" ref="AJ36" si="14">+AI36+AI36*AJ35</f>
        <v>1.5481593844175743</v>
      </c>
      <c r="AK36" s="47">
        <f t="shared" ref="AK36" si="15">+AJ36+AJ36*AK35</f>
        <v>1.5805159155519015</v>
      </c>
      <c r="AL36" s="47">
        <f t="shared" ref="AL36" si="16">+AK36+AK36*AL35</f>
        <v>1.6135486981869362</v>
      </c>
      <c r="AM36" s="47">
        <f t="shared" ref="AM36" si="17">+AL36+AL36*AM35</f>
        <v>1.6472718659790433</v>
      </c>
      <c r="AN36" s="47">
        <f t="shared" ref="AN36" si="18">+AM36+AM36*AN35</f>
        <v>1.6816998479780052</v>
      </c>
      <c r="AO36" s="47">
        <f t="shared" ref="AO36" si="19">+AN36+AN36*AO35</f>
        <v>1.7168473748007456</v>
      </c>
      <c r="AP36" s="47">
        <f t="shared" ref="AP36" si="20">+AO36+AO36*AP35</f>
        <v>1.7527294849340811</v>
      </c>
      <c r="AQ36" s="47">
        <f t="shared" ref="AQ36" si="21">+AP36+AP36*AQ35</f>
        <v>1.7893615311692035</v>
      </c>
      <c r="AR36" s="47">
        <f t="shared" ref="AR36" si="22">+AQ36+AQ36*AR35</f>
        <v>1.8267591871706399</v>
      </c>
    </row>
    <row r="37" spans="1:44" ht="12.25" customHeight="1">
      <c r="A37" s="35"/>
      <c r="B37" s="31"/>
      <c r="C37" s="31"/>
      <c r="D37" s="31"/>
      <c r="E37" s="31"/>
      <c r="F37" s="31"/>
      <c r="G37" s="31"/>
      <c r="H37" s="31"/>
      <c r="I37" s="31"/>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44" ht="12.25" customHeight="1">
      <c r="A38" s="28" t="s">
        <v>277</v>
      </c>
      <c r="B38" s="31"/>
      <c r="C38" s="31"/>
      <c r="D38" s="31"/>
      <c r="E38" s="31"/>
      <c r="F38" s="31"/>
      <c r="G38" s="31"/>
      <c r="H38" s="31"/>
      <c r="I38" s="31"/>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ht="12.25" customHeight="1">
      <c r="A39" s="35"/>
      <c r="B39" s="31"/>
      <c r="C39" s="31"/>
      <c r="D39" s="31"/>
      <c r="E39" s="31"/>
      <c r="F39" s="31"/>
      <c r="G39" s="31"/>
      <c r="H39" s="31"/>
      <c r="I39" s="31"/>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ht="12.25" customHeight="1">
      <c r="A40" s="35" t="s">
        <v>139</v>
      </c>
      <c r="B40" s="31"/>
      <c r="C40" s="31"/>
      <c r="D40" s="31"/>
      <c r="E40" s="33">
        <v>2627.7539999999999</v>
      </c>
      <c r="F40" s="31"/>
      <c r="G40" s="31"/>
      <c r="H40" s="31"/>
      <c r="I40" s="31"/>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ht="13">
      <c r="A41" s="35"/>
      <c r="B41" s="31"/>
      <c r="C41" s="31"/>
      <c r="D41" s="31"/>
      <c r="E41" s="31"/>
      <c r="F41" s="31"/>
      <c r="G41" s="31"/>
      <c r="H41" s="31"/>
      <c r="I41" s="31"/>
      <c r="J41" s="33"/>
      <c r="K41" s="43"/>
      <c r="L41" s="33"/>
      <c r="M41" s="33"/>
      <c r="N41" s="33"/>
      <c r="O41" s="33"/>
      <c r="P41" s="33"/>
      <c r="Q41" s="33"/>
      <c r="R41" s="33"/>
      <c r="S41" s="33"/>
      <c r="T41" s="33"/>
      <c r="U41" s="33"/>
      <c r="V41" s="33"/>
      <c r="W41" s="189"/>
      <c r="X41" s="189"/>
      <c r="Y41" s="33"/>
      <c r="Z41" s="33"/>
      <c r="AA41" s="33"/>
      <c r="AB41" s="33"/>
      <c r="AC41" s="33"/>
      <c r="AD41" s="33"/>
      <c r="AE41" s="33"/>
      <c r="AF41" s="33"/>
      <c r="AG41" s="33"/>
      <c r="AH41" s="33"/>
      <c r="AI41" s="33"/>
      <c r="AJ41" s="33"/>
      <c r="AK41" s="33"/>
      <c r="AL41" s="33"/>
      <c r="AM41" s="33"/>
      <c r="AN41" s="33"/>
      <c r="AO41" s="33"/>
      <c r="AP41" s="33"/>
      <c r="AQ41" s="33"/>
      <c r="AR41" s="33"/>
    </row>
    <row r="42" spans="1:44" ht="12.25" customHeight="1">
      <c r="A42" s="15" t="s">
        <v>54</v>
      </c>
      <c r="B42" s="31"/>
      <c r="C42" s="31"/>
      <c r="D42" s="6"/>
      <c r="E42" s="6"/>
      <c r="F42" s="6"/>
      <c r="G42" s="6"/>
      <c r="H42" s="6"/>
      <c r="I42" s="6"/>
      <c r="J42" s="33"/>
      <c r="K42" s="33"/>
      <c r="L42" s="33"/>
      <c r="M42" s="14"/>
      <c r="N42" s="33"/>
      <c r="O42" s="33"/>
      <c r="P42" s="33"/>
      <c r="Q42" s="33"/>
      <c r="R42" s="33"/>
      <c r="S42" s="14"/>
      <c r="T42" s="33"/>
      <c r="U42" s="33" t="s">
        <v>145</v>
      </c>
      <c r="V42" s="33" t="s">
        <v>313</v>
      </c>
      <c r="W42" s="33"/>
      <c r="X42" s="33"/>
      <c r="Y42" s="33"/>
      <c r="Z42" s="33"/>
      <c r="AA42" s="33"/>
      <c r="AB42" s="33"/>
      <c r="AC42" s="33"/>
      <c r="AD42" s="33"/>
      <c r="AE42" s="33"/>
      <c r="AF42" s="33"/>
      <c r="AG42" s="33"/>
      <c r="AH42" s="33"/>
      <c r="AI42" s="33"/>
      <c r="AJ42" s="33"/>
      <c r="AK42" s="33"/>
      <c r="AL42" s="33"/>
      <c r="AM42" s="33"/>
      <c r="AN42" s="33"/>
      <c r="AO42" s="33"/>
      <c r="AP42" s="33"/>
      <c r="AQ42" s="33"/>
      <c r="AR42" s="33"/>
    </row>
    <row r="43" spans="1:44" ht="12.25" customHeight="1">
      <c r="A43" s="15" t="s">
        <v>1</v>
      </c>
      <c r="B43" s="31"/>
      <c r="C43" s="31"/>
      <c r="D43" s="6"/>
      <c r="E43" s="6"/>
      <c r="F43" s="6"/>
      <c r="G43" s="6"/>
      <c r="H43" s="6"/>
      <c r="I43" s="6"/>
      <c r="J43" s="33"/>
      <c r="K43" s="33"/>
      <c r="L43" s="67"/>
      <c r="M43" s="14"/>
      <c r="N43" s="33"/>
      <c r="O43" s="33"/>
      <c r="P43" s="33"/>
      <c r="Q43" s="33"/>
      <c r="R43" s="33"/>
      <c r="S43" s="14">
        <f>+'DAV Pi'!U28</f>
        <v>202136.81760522426</v>
      </c>
      <c r="T43" s="33"/>
      <c r="U43" s="33">
        <f>+S43</f>
        <v>202136.81760522426</v>
      </c>
      <c r="V43" s="33">
        <f>+U43*S$32</f>
        <v>213071.86809113901</v>
      </c>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ht="12.25" customHeight="1">
      <c r="A44" s="15" t="s">
        <v>2</v>
      </c>
      <c r="B44" s="31"/>
      <c r="C44" s="31" t="s">
        <v>255</v>
      </c>
      <c r="D44" s="6"/>
      <c r="E44" s="6"/>
      <c r="F44" s="6"/>
      <c r="G44" s="6"/>
      <c r="H44" s="6"/>
      <c r="I44" s="6"/>
      <c r="J44" s="33"/>
      <c r="K44" s="33"/>
      <c r="L44" s="33"/>
      <c r="M44" s="14">
        <v>38381.449271086458</v>
      </c>
      <c r="N44" s="68"/>
      <c r="O44" s="33"/>
      <c r="P44" s="33"/>
      <c r="Q44" s="33"/>
      <c r="R44" s="33"/>
      <c r="S44" s="14">
        <f>+M44/M$28*S$28</f>
        <v>43943.760864669697</v>
      </c>
      <c r="T44" s="33"/>
      <c r="U44" s="33">
        <f>+S44+SUM(S45:S50)</f>
        <v>37440.736440871333</v>
      </c>
      <c r="V44" s="33">
        <f>+U44*S$32</f>
        <v>39466.178159313502</v>
      </c>
      <c r="W44" s="33"/>
      <c r="X44" s="33"/>
      <c r="Y44" s="33"/>
      <c r="Z44" s="67"/>
      <c r="AA44" s="33"/>
      <c r="AB44" s="33"/>
      <c r="AC44" s="33"/>
      <c r="AD44" s="33"/>
      <c r="AE44" s="33"/>
      <c r="AF44" s="33"/>
      <c r="AG44" s="33"/>
      <c r="AH44" s="33"/>
      <c r="AI44" s="33"/>
      <c r="AJ44" s="33"/>
      <c r="AK44" s="33"/>
      <c r="AL44" s="33"/>
      <c r="AM44" s="33"/>
      <c r="AN44" s="33"/>
      <c r="AO44" s="33"/>
      <c r="AP44" s="33"/>
      <c r="AQ44" s="33"/>
      <c r="AR44" s="33"/>
    </row>
    <row r="45" spans="1:44" ht="12.25" customHeight="1">
      <c r="A45" s="15" t="s">
        <v>55</v>
      </c>
      <c r="B45" s="31"/>
      <c r="C45" s="31" t="s">
        <v>256</v>
      </c>
      <c r="D45" s="6"/>
      <c r="E45" s="6"/>
      <c r="F45" s="6"/>
      <c r="G45" s="6"/>
      <c r="H45" s="6"/>
      <c r="I45" s="6"/>
      <c r="J45" s="33"/>
      <c r="K45" s="33"/>
      <c r="L45" s="33"/>
      <c r="M45" s="14">
        <v>-6459</v>
      </c>
      <c r="N45" s="68"/>
      <c r="O45" s="33"/>
      <c r="P45" s="33"/>
      <c r="Q45" s="33"/>
      <c r="R45" s="33"/>
      <c r="S45" s="14">
        <f t="shared" ref="S45:S50" si="23">+M45/M$28*S$28</f>
        <v>-7395.0503906250005</v>
      </c>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1:44" ht="12.25" customHeight="1">
      <c r="A46" s="15" t="s">
        <v>262</v>
      </c>
      <c r="B46" s="31"/>
      <c r="C46" s="31" t="s">
        <v>261</v>
      </c>
      <c r="D46" s="6"/>
      <c r="E46" s="6"/>
      <c r="F46" s="6"/>
      <c r="G46" s="6"/>
      <c r="H46" s="6"/>
      <c r="I46" s="6"/>
      <c r="J46" s="33"/>
      <c r="K46" s="33"/>
      <c r="L46" s="33"/>
      <c r="M46" s="14">
        <v>252.74299999999999</v>
      </c>
      <c r="N46" s="68"/>
      <c r="O46" s="33"/>
      <c r="P46" s="33"/>
      <c r="Q46" s="33"/>
      <c r="R46" s="33"/>
      <c r="S46" s="14">
        <f t="shared" si="23"/>
        <v>289.37098945312499</v>
      </c>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ht="12.25" customHeight="1">
      <c r="A47" s="15" t="s">
        <v>267</v>
      </c>
      <c r="B47" s="31"/>
      <c r="C47" s="31" t="s">
        <v>261</v>
      </c>
      <c r="D47" s="6"/>
      <c r="E47" s="6"/>
      <c r="F47" s="6"/>
      <c r="G47" s="6"/>
      <c r="H47" s="6"/>
      <c r="I47" s="6"/>
      <c r="J47" s="33"/>
      <c r="K47" s="33"/>
      <c r="L47" s="33"/>
      <c r="M47" s="14">
        <v>1221.2739999999999</v>
      </c>
      <c r="N47" s="68"/>
      <c r="O47" s="33"/>
      <c r="P47" s="33"/>
      <c r="Q47" s="33"/>
      <c r="R47" s="33"/>
      <c r="S47" s="14"/>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ht="12.25" customHeight="1">
      <c r="A48" s="15" t="s">
        <v>257</v>
      </c>
      <c r="B48" s="31"/>
      <c r="C48" s="31" t="s">
        <v>259</v>
      </c>
      <c r="D48" s="6"/>
      <c r="E48" s="6"/>
      <c r="F48" s="6"/>
      <c r="G48" s="6"/>
      <c r="H48" s="6"/>
      <c r="I48" s="6"/>
      <c r="J48" s="33"/>
      <c r="K48" s="33"/>
      <c r="L48" s="33"/>
      <c r="M48" s="14">
        <f>+S48/S28*M28</f>
        <v>33046.485139909993</v>
      </c>
      <c r="N48" s="68"/>
      <c r="O48" s="33"/>
      <c r="P48" s="33"/>
      <c r="Q48" s="33"/>
      <c r="R48" s="33"/>
      <c r="S48" s="14">
        <f>SUM('DAV Pi'!P26:U26)</f>
        <v>37835.643728545387</v>
      </c>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ht="12.25" customHeight="1">
      <c r="A49" s="15" t="s">
        <v>258</v>
      </c>
      <c r="B49" s="31"/>
      <c r="C49" s="31" t="s">
        <v>255</v>
      </c>
      <c r="D49" s="6"/>
      <c r="E49" s="6"/>
      <c r="F49" s="6"/>
      <c r="G49" s="6"/>
      <c r="H49" s="6"/>
      <c r="I49" s="6"/>
      <c r="J49" s="33"/>
      <c r="K49" s="33"/>
      <c r="L49" s="33"/>
      <c r="M49" s="14">
        <v>-32335.113000000001</v>
      </c>
      <c r="N49" s="68"/>
      <c r="O49" s="33"/>
      <c r="P49" s="33"/>
      <c r="Q49" s="33"/>
      <c r="R49" s="33"/>
      <c r="S49" s="14">
        <f t="shared" si="23"/>
        <v>-37021.178204296877</v>
      </c>
      <c r="T49" s="47"/>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ht="12.25" customHeight="1">
      <c r="A50" s="15" t="s">
        <v>260</v>
      </c>
      <c r="B50" s="31"/>
      <c r="C50" s="31" t="s">
        <v>273</v>
      </c>
      <c r="D50" s="6"/>
      <c r="E50" s="6"/>
      <c r="F50" s="6"/>
      <c r="G50" s="6"/>
      <c r="H50" s="6"/>
      <c r="I50" s="6"/>
      <c r="J50" s="33"/>
      <c r="K50" s="33"/>
      <c r="L50" s="33"/>
      <c r="M50" s="14">
        <v>-185</v>
      </c>
      <c r="N50" s="68"/>
      <c r="O50" s="33"/>
      <c r="P50" s="33"/>
      <c r="Q50" s="33"/>
      <c r="R50" s="33"/>
      <c r="S50" s="14">
        <f t="shared" si="23"/>
        <v>-211.81054687500003</v>
      </c>
      <c r="T50" s="47"/>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1:44" ht="12.25" customHeight="1">
      <c r="A51" s="15" t="s">
        <v>0</v>
      </c>
      <c r="B51" s="31"/>
      <c r="C51" s="31"/>
      <c r="D51" s="6"/>
      <c r="E51" s="6"/>
      <c r="F51" s="6"/>
      <c r="G51" s="6"/>
      <c r="H51" s="6"/>
      <c r="I51" s="6"/>
      <c r="J51" s="33"/>
      <c r="K51" s="33"/>
      <c r="L51" s="33"/>
      <c r="M51" s="14"/>
      <c r="N51" s="33"/>
      <c r="O51" s="33"/>
      <c r="P51" s="33"/>
      <c r="Q51" s="33"/>
      <c r="R51" s="33"/>
      <c r="S51" s="14"/>
      <c r="T51" s="33"/>
      <c r="U51" s="49">
        <f>SUM(U43:U46)</f>
        <v>239577.55404609558</v>
      </c>
      <c r="V51" s="49">
        <f>SUM(V43:V46)</f>
        <v>252538.04625045252</v>
      </c>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ht="12.25" customHeight="1">
      <c r="A52" s="15"/>
      <c r="B52" s="31"/>
      <c r="C52" s="31"/>
      <c r="D52" s="6"/>
      <c r="E52" s="6"/>
      <c r="F52" s="6"/>
      <c r="G52" s="6"/>
      <c r="H52" s="6"/>
      <c r="I52" s="6"/>
      <c r="J52" s="33"/>
      <c r="K52" s="33"/>
      <c r="L52" s="33"/>
      <c r="M52" s="14"/>
      <c r="N52" s="33"/>
      <c r="O52" s="33"/>
      <c r="P52" s="33"/>
      <c r="Q52" s="33"/>
      <c r="R52" s="33"/>
      <c r="S52" s="14"/>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ht="12.25" customHeight="1">
      <c r="A53" s="35" t="s">
        <v>268</v>
      </c>
      <c r="B53" s="31"/>
      <c r="C53" s="31"/>
      <c r="D53" s="31"/>
      <c r="E53" s="31"/>
      <c r="F53" s="31"/>
      <c r="G53" s="31"/>
      <c r="H53" s="31"/>
      <c r="I53" s="31"/>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ht="12.25" customHeight="1">
      <c r="A54" s="35" t="s">
        <v>129</v>
      </c>
      <c r="B54" s="31"/>
      <c r="C54" s="31" t="s">
        <v>284</v>
      </c>
      <c r="D54" s="31"/>
      <c r="E54" s="31"/>
      <c r="F54" s="31"/>
      <c r="G54" s="31"/>
      <c r="H54" s="31"/>
      <c r="I54" s="31"/>
      <c r="J54" s="33"/>
      <c r="K54" s="33"/>
      <c r="L54" s="33"/>
      <c r="M54" s="33">
        <v>10405.388319749683</v>
      </c>
      <c r="N54" s="33">
        <v>8750.78155184364</v>
      </c>
      <c r="O54" s="33">
        <v>7928.9938559655548</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ht="12.25" customHeight="1">
      <c r="A55" s="35" t="s">
        <v>130</v>
      </c>
      <c r="B55" s="31"/>
      <c r="C55" s="31" t="s">
        <v>284</v>
      </c>
      <c r="D55" s="31"/>
      <c r="E55" s="31"/>
      <c r="F55" s="31"/>
      <c r="G55" s="31"/>
      <c r="H55" s="31"/>
      <c r="I55" s="31"/>
      <c r="J55" s="33"/>
      <c r="K55" s="33"/>
      <c r="L55" s="33"/>
      <c r="M55" s="33">
        <v>1028.354</v>
      </c>
      <c r="N55" s="33">
        <v>978.99</v>
      </c>
      <c r="O55" s="33">
        <v>890.81899999999996</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ht="12.25" customHeight="1">
      <c r="A56" s="35" t="s">
        <v>131</v>
      </c>
      <c r="B56" s="31"/>
      <c r="C56" s="31" t="s">
        <v>284</v>
      </c>
      <c r="D56" s="31"/>
      <c r="E56" s="31"/>
      <c r="F56" s="31"/>
      <c r="G56" s="31"/>
      <c r="H56" s="31"/>
      <c r="I56" s="31"/>
      <c r="J56" s="33"/>
      <c r="K56" s="33"/>
      <c r="L56" s="33"/>
      <c r="M56" s="33">
        <v>147.00000000000026</v>
      </c>
      <c r="N56" s="33">
        <v>46.999999999999993</v>
      </c>
      <c r="O56" s="33">
        <v>31</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ht="12.25" customHeight="1">
      <c r="A57" s="35" t="s">
        <v>128</v>
      </c>
      <c r="B57" s="31"/>
      <c r="C57" s="31" t="s">
        <v>284</v>
      </c>
      <c r="D57" s="31"/>
      <c r="E57" s="31"/>
      <c r="F57" s="31"/>
      <c r="G57" s="31"/>
      <c r="H57" s="31"/>
      <c r="I57" s="31"/>
      <c r="J57" s="33"/>
      <c r="K57" s="33"/>
      <c r="L57" s="33"/>
      <c r="M57" s="33">
        <f>SUM(M54:M56)</f>
        <v>11580.742319749683</v>
      </c>
      <c r="N57" s="33">
        <f t="shared" ref="N57:O57" si="24">SUM(N54:N56)</f>
        <v>9776.7715518436398</v>
      </c>
      <c r="O57" s="33">
        <f t="shared" si="24"/>
        <v>8850.8128559655543</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ht="12.25" customHeight="1">
      <c r="A58" s="35"/>
      <c r="B58" s="31"/>
      <c r="C58" s="31"/>
      <c r="D58" s="31"/>
      <c r="E58" s="31"/>
      <c r="F58" s="31"/>
      <c r="G58" s="31"/>
      <c r="H58" s="31"/>
      <c r="I58" s="3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ht="12.25" customHeight="1">
      <c r="A59" s="35" t="s">
        <v>274</v>
      </c>
      <c r="B59" s="31"/>
      <c r="C59" s="31"/>
      <c r="D59" s="31"/>
      <c r="E59" s="31"/>
      <c r="F59" s="31"/>
      <c r="G59" s="31"/>
      <c r="H59" s="31"/>
      <c r="I59" s="3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row>
    <row r="60" spans="1:44" ht="12.25" customHeight="1">
      <c r="A60" s="35" t="s">
        <v>129</v>
      </c>
      <c r="B60" s="31"/>
      <c r="C60" s="31" t="s">
        <v>285</v>
      </c>
      <c r="D60" s="31"/>
      <c r="E60" s="31"/>
      <c r="F60" s="31"/>
      <c r="G60" s="31"/>
      <c r="H60" s="31"/>
      <c r="I60" s="31"/>
      <c r="J60" s="33"/>
      <c r="K60" s="33"/>
      <c r="L60" s="33"/>
      <c r="M60" s="33">
        <v>-4417.295546409543</v>
      </c>
      <c r="N60" s="33">
        <v>183.84584407000344</v>
      </c>
      <c r="O60" s="33">
        <v>2683.7226307814099</v>
      </c>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row>
    <row r="61" spans="1:44" ht="12.25" customHeight="1">
      <c r="A61" s="35" t="s">
        <v>130</v>
      </c>
      <c r="B61" s="31"/>
      <c r="C61" s="31" t="s">
        <v>285</v>
      </c>
      <c r="D61" s="31"/>
      <c r="E61" s="31"/>
      <c r="F61" s="31"/>
      <c r="G61" s="31"/>
      <c r="H61" s="31"/>
      <c r="I61" s="31"/>
      <c r="J61" s="33"/>
      <c r="K61" s="33"/>
      <c r="L61" s="33"/>
      <c r="M61" s="33">
        <v>-1.6072092447916788</v>
      </c>
      <c r="N61" s="33">
        <v>-26.555457291666649</v>
      </c>
      <c r="O61" s="33">
        <v>119.17451549479172</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row>
    <row r="62" spans="1:44" ht="12.25" customHeight="1">
      <c r="A62" s="35" t="s">
        <v>131</v>
      </c>
      <c r="B62" s="31"/>
      <c r="C62" s="31" t="s">
        <v>285</v>
      </c>
      <c r="D62" s="31"/>
      <c r="E62" s="31"/>
      <c r="F62" s="31"/>
      <c r="G62" s="31"/>
      <c r="H62" s="31"/>
      <c r="I62" s="31"/>
      <c r="J62" s="33"/>
      <c r="K62" s="33"/>
      <c r="L62" s="33"/>
      <c r="M62" s="33">
        <v>-3.853346817708319</v>
      </c>
      <c r="N62" s="33">
        <v>0</v>
      </c>
      <c r="O62" s="33">
        <v>0</v>
      </c>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row>
    <row r="63" spans="1:44" ht="12.25" customHeight="1">
      <c r="A63" s="35" t="s">
        <v>128</v>
      </c>
      <c r="B63" s="31"/>
      <c r="C63" s="31" t="s">
        <v>285</v>
      </c>
      <c r="D63" s="31"/>
      <c r="E63" s="31"/>
      <c r="F63" s="31"/>
      <c r="G63" s="31"/>
      <c r="H63" s="31"/>
      <c r="I63" s="31"/>
      <c r="J63" s="33"/>
      <c r="K63" s="33"/>
      <c r="L63" s="33"/>
      <c r="M63" s="33">
        <f>SUM(M60:M62)</f>
        <v>-4422.7561024720435</v>
      </c>
      <c r="N63" s="33">
        <f t="shared" ref="N63:O63" si="25">SUM(N60:N62)</f>
        <v>157.2903867783368</v>
      </c>
      <c r="O63" s="33">
        <f t="shared" si="25"/>
        <v>2802.8971462762015</v>
      </c>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ht="12.25" customHeight="1">
      <c r="A64" s="35"/>
      <c r="B64" s="31"/>
      <c r="C64" s="31"/>
      <c r="D64" s="31"/>
      <c r="E64" s="31"/>
      <c r="F64" s="31"/>
      <c r="G64" s="31"/>
      <c r="H64" s="31"/>
      <c r="I64" s="31"/>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2.25" customHeight="1">
      <c r="A65" s="35" t="s">
        <v>191</v>
      </c>
      <c r="B65" s="31"/>
      <c r="C65" s="31"/>
      <c r="D65" s="31"/>
      <c r="E65" s="31"/>
      <c r="F65" s="31"/>
      <c r="G65" s="31"/>
      <c r="H65" s="31"/>
      <c r="I65" s="31"/>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2.25" customHeight="1">
      <c r="A66" s="35" t="s">
        <v>129</v>
      </c>
      <c r="B66" s="31"/>
      <c r="C66" s="31" t="s">
        <v>255</v>
      </c>
      <c r="D66" s="31"/>
      <c r="E66" s="31"/>
      <c r="F66" s="31"/>
      <c r="G66" s="31"/>
      <c r="H66" s="31"/>
      <c r="I66" s="31"/>
      <c r="J66" s="33"/>
      <c r="K66" s="33"/>
      <c r="L66" s="33"/>
      <c r="M66" s="33"/>
      <c r="N66" s="33"/>
      <c r="O66" s="33"/>
      <c r="P66" s="33">
        <v>15151.923223385147</v>
      </c>
      <c r="Q66" s="33">
        <v>12704.52278355015</v>
      </c>
      <c r="R66" s="33">
        <v>12817.754097996376</v>
      </c>
      <c r="S66" s="33">
        <v>13005.416208427849</v>
      </c>
      <c r="T66" s="33">
        <v>13271.924538960326</v>
      </c>
      <c r="U66" s="33">
        <v>13512.460412379418</v>
      </c>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2.25" customHeight="1">
      <c r="A67" s="35" t="s">
        <v>130</v>
      </c>
      <c r="B67" s="31"/>
      <c r="C67" s="31" t="s">
        <v>255</v>
      </c>
      <c r="D67" s="31"/>
      <c r="E67" s="31"/>
      <c r="F67" s="31"/>
      <c r="G67" s="31"/>
      <c r="H67" s="31"/>
      <c r="I67" s="31"/>
      <c r="J67" s="33"/>
      <c r="K67" s="33"/>
      <c r="L67" s="33"/>
      <c r="M67" s="33"/>
      <c r="N67" s="33"/>
      <c r="O67" s="33"/>
      <c r="P67" s="33">
        <v>1139.5417736392174</v>
      </c>
      <c r="Q67" s="33">
        <v>1223.7900889081002</v>
      </c>
      <c r="R67" s="33">
        <v>1282.4168869698681</v>
      </c>
      <c r="S67" s="33">
        <v>1339.7577679449953</v>
      </c>
      <c r="T67" s="33">
        <v>1382.7739367305071</v>
      </c>
      <c r="U67" s="33">
        <v>1454.923112892121</v>
      </c>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2.25" customHeight="1">
      <c r="A68" s="35" t="s">
        <v>131</v>
      </c>
      <c r="B68" s="31"/>
      <c r="C68" s="31" t="s">
        <v>255</v>
      </c>
      <c r="D68" s="31"/>
      <c r="E68" s="31"/>
      <c r="F68" s="31"/>
      <c r="G68" s="31"/>
      <c r="H68" s="31"/>
      <c r="I68" s="31"/>
      <c r="J68" s="33"/>
      <c r="K68" s="33"/>
      <c r="L68" s="33"/>
      <c r="M68" s="33"/>
      <c r="N68" s="33"/>
      <c r="O68" s="33"/>
      <c r="P68" s="33">
        <v>578.56743176510656</v>
      </c>
      <c r="Q68" s="33">
        <v>126.78573621678636</v>
      </c>
      <c r="R68" s="33">
        <v>124.55790765920669</v>
      </c>
      <c r="S68" s="33">
        <v>123.74383730304753</v>
      </c>
      <c r="T68" s="33">
        <v>113.63678954164691</v>
      </c>
      <c r="U68" s="33">
        <v>112.89409609509308</v>
      </c>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2.25" customHeight="1">
      <c r="A69" s="35" t="s">
        <v>128</v>
      </c>
      <c r="B69" s="31"/>
      <c r="C69" s="31" t="s">
        <v>255</v>
      </c>
      <c r="D69" s="31"/>
      <c r="E69" s="31"/>
      <c r="F69" s="31"/>
      <c r="G69" s="31"/>
      <c r="H69" s="31"/>
      <c r="I69" s="31"/>
      <c r="J69" s="33"/>
      <c r="K69" s="33"/>
      <c r="L69" s="33"/>
      <c r="M69" s="33"/>
      <c r="N69" s="33"/>
      <c r="O69" s="33"/>
      <c r="P69" s="33">
        <f>SUM(P66:P68)</f>
        <v>16870.032428789473</v>
      </c>
      <c r="Q69" s="33">
        <f t="shared" ref="Q69:U69" si="26">SUM(Q66:Q68)</f>
        <v>14055.098608675036</v>
      </c>
      <c r="R69" s="33">
        <f t="shared" si="26"/>
        <v>14224.728892625451</v>
      </c>
      <c r="S69" s="33">
        <f t="shared" si="26"/>
        <v>14468.917813675891</v>
      </c>
      <c r="T69" s="33">
        <f t="shared" si="26"/>
        <v>14768.335265232479</v>
      </c>
      <c r="U69" s="33">
        <f t="shared" si="26"/>
        <v>15080.277621366633</v>
      </c>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t="12.25" customHeight="1">
      <c r="A70" s="35"/>
      <c r="B70" s="31"/>
      <c r="C70" s="31"/>
      <c r="D70" s="31"/>
      <c r="E70" s="31"/>
      <c r="F70" s="31"/>
      <c r="G70" s="31"/>
      <c r="H70" s="31"/>
      <c r="I70" s="31"/>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t="12.25" customHeight="1">
      <c r="A71" s="35" t="s">
        <v>190</v>
      </c>
      <c r="B71" s="31"/>
      <c r="C71" s="31"/>
      <c r="D71" s="31"/>
      <c r="E71" s="31"/>
      <c r="F71" s="31"/>
      <c r="G71" s="31"/>
      <c r="H71" s="31"/>
      <c r="I71" s="31"/>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t="12.25" customHeight="1">
      <c r="A72" s="35" t="s">
        <v>129</v>
      </c>
      <c r="B72" s="31"/>
      <c r="C72" s="31" t="s">
        <v>261</v>
      </c>
      <c r="D72" s="31"/>
      <c r="E72" s="31"/>
      <c r="F72" s="31"/>
      <c r="G72" s="31"/>
      <c r="H72" s="31"/>
      <c r="I72" s="31"/>
      <c r="J72" s="33"/>
      <c r="K72" s="33"/>
      <c r="L72" s="33"/>
      <c r="M72" s="33"/>
      <c r="N72" s="33"/>
      <c r="O72" s="33"/>
      <c r="P72" s="33">
        <v>-1807.7200761879128</v>
      </c>
      <c r="Q72" s="33">
        <v>2184.9667933615656</v>
      </c>
      <c r="R72" s="33">
        <v>2315.1847821352867</v>
      </c>
      <c r="S72" s="33">
        <v>3368.6062873210226</v>
      </c>
      <c r="T72" s="33">
        <v>4381.0956119438188</v>
      </c>
      <c r="U72" s="33">
        <v>3491.3586998381238</v>
      </c>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t="12.25" customHeight="1">
      <c r="A73" s="35" t="s">
        <v>130</v>
      </c>
      <c r="B73" s="31"/>
      <c r="C73" s="31" t="s">
        <v>261</v>
      </c>
      <c r="D73" s="31"/>
      <c r="E73" s="31"/>
      <c r="F73" s="31"/>
      <c r="G73" s="31"/>
      <c r="H73" s="31"/>
      <c r="I73" s="31"/>
      <c r="J73" s="33"/>
      <c r="K73" s="33"/>
      <c r="L73" s="33"/>
      <c r="M73" s="33"/>
      <c r="N73" s="33"/>
      <c r="O73" s="33"/>
      <c r="P73" s="33">
        <v>130.42666735059893</v>
      </c>
      <c r="Q73" s="33">
        <v>93.703404492419381</v>
      </c>
      <c r="R73" s="33">
        <v>278.13241157549692</v>
      </c>
      <c r="S73" s="33">
        <v>183.82067457723653</v>
      </c>
      <c r="T73" s="33">
        <v>109.99895209458776</v>
      </c>
      <c r="U73" s="33">
        <v>27.947283399378126</v>
      </c>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t="12.25" customHeight="1">
      <c r="A74" s="35" t="s">
        <v>131</v>
      </c>
      <c r="B74" s="31"/>
      <c r="C74" s="31" t="s">
        <v>261</v>
      </c>
      <c r="D74" s="31"/>
      <c r="E74" s="31"/>
      <c r="F74" s="31"/>
      <c r="G74" s="31"/>
      <c r="H74" s="31"/>
      <c r="I74" s="31"/>
      <c r="J74" s="33"/>
      <c r="K74" s="33"/>
      <c r="L74" s="33"/>
      <c r="M74" s="33"/>
      <c r="N74" s="33"/>
      <c r="O74" s="33"/>
      <c r="P74" s="33">
        <v>0</v>
      </c>
      <c r="Q74" s="33">
        <v>0</v>
      </c>
      <c r="R74" s="33">
        <v>0</v>
      </c>
      <c r="S74" s="33">
        <v>0</v>
      </c>
      <c r="T74" s="33">
        <v>0</v>
      </c>
      <c r="U74" s="33">
        <v>0</v>
      </c>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t="12.25" customHeight="1">
      <c r="A75" s="35" t="s">
        <v>128</v>
      </c>
      <c r="B75" s="31"/>
      <c r="C75" s="31" t="s">
        <v>261</v>
      </c>
      <c r="D75" s="31"/>
      <c r="E75" s="31"/>
      <c r="F75" s="31"/>
      <c r="G75" s="31"/>
      <c r="H75" s="31"/>
      <c r="I75" s="31"/>
      <c r="J75" s="33"/>
      <c r="K75" s="33"/>
      <c r="L75" s="33"/>
      <c r="M75" s="33"/>
      <c r="N75" s="33"/>
      <c r="O75" s="33"/>
      <c r="P75" s="33">
        <f>SUM(P72:P74)</f>
        <v>-1677.2934088373138</v>
      </c>
      <c r="Q75" s="33">
        <f t="shared" ref="Q75:U75" si="27">SUM(Q72:Q74)</f>
        <v>2278.670197853985</v>
      </c>
      <c r="R75" s="33">
        <f t="shared" si="27"/>
        <v>2593.3171937107836</v>
      </c>
      <c r="S75" s="33">
        <f t="shared" si="27"/>
        <v>3552.4269618982589</v>
      </c>
      <c r="T75" s="33">
        <f t="shared" si="27"/>
        <v>4491.0945640384061</v>
      </c>
      <c r="U75" s="33">
        <f t="shared" si="27"/>
        <v>3519.305983237502</v>
      </c>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2.25" customHeight="1">
      <c r="A76" s="35"/>
      <c r="B76" s="31"/>
      <c r="C76" s="31"/>
      <c r="D76" s="31"/>
      <c r="E76" s="31"/>
      <c r="F76" s="31"/>
      <c r="G76" s="31"/>
      <c r="H76" s="31"/>
      <c r="I76" s="31"/>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12.25" customHeight="1">
      <c r="A77" s="35" t="s">
        <v>286</v>
      </c>
      <c r="B77" s="31"/>
      <c r="C77" s="31"/>
      <c r="D77" s="31"/>
      <c r="E77" s="31"/>
      <c r="F77" s="31"/>
      <c r="G77" s="31"/>
      <c r="H77" s="31"/>
      <c r="I77" s="31"/>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2.25" customHeight="1">
      <c r="A78" s="35" t="s">
        <v>287</v>
      </c>
      <c r="B78" s="31"/>
      <c r="C78" s="31"/>
      <c r="D78" s="31"/>
      <c r="E78" s="31"/>
      <c r="F78" s="31"/>
      <c r="G78" s="31"/>
      <c r="H78" s="31"/>
      <c r="I78" s="31"/>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2.25" customHeight="1">
      <c r="A79" s="35" t="s">
        <v>193</v>
      </c>
      <c r="B79" s="31"/>
      <c r="C79" s="31"/>
      <c r="D79" s="31"/>
      <c r="E79" s="31"/>
      <c r="F79" s="31"/>
      <c r="G79" s="31"/>
      <c r="H79" s="31"/>
      <c r="I79" s="31"/>
      <c r="J79" s="33"/>
      <c r="K79" s="33"/>
      <c r="L79" s="33"/>
      <c r="M79" s="33">
        <v>10917.523716125379</v>
      </c>
      <c r="N79" s="33">
        <v>11709.4592430024</v>
      </c>
      <c r="O79" s="33">
        <v>11734.827055427017</v>
      </c>
      <c r="P79" s="33">
        <v>12250.460939743103</v>
      </c>
      <c r="Q79" s="33">
        <v>14797.29578691918</v>
      </c>
      <c r="R79" s="33">
        <v>14839.940155368362</v>
      </c>
      <c r="S79" s="33">
        <v>15726.61977482088</v>
      </c>
      <c r="T79" s="33">
        <v>19356.859095632848</v>
      </c>
      <c r="U79" s="33">
        <v>21909.235922645854</v>
      </c>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2.25" customHeight="1">
      <c r="A80" s="35"/>
      <c r="B80" s="31"/>
      <c r="C80" s="31"/>
      <c r="D80" s="31"/>
      <c r="E80" s="31"/>
      <c r="F80" s="31"/>
      <c r="G80" s="31"/>
      <c r="H80" s="31"/>
      <c r="I80" s="31"/>
      <c r="J80" s="67"/>
      <c r="K80" s="67"/>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2.25" customHeight="1">
      <c r="A81" s="28" t="s">
        <v>104</v>
      </c>
      <c r="B81" s="35"/>
      <c r="C81" s="31"/>
      <c r="D81" s="31"/>
      <c r="E81" s="31"/>
      <c r="F81" s="31"/>
      <c r="G81" s="31"/>
      <c r="H81" s="31"/>
      <c r="I81" s="31"/>
      <c r="J81" s="33"/>
      <c r="K81" s="33"/>
      <c r="L81" s="33"/>
      <c r="M81" s="33"/>
      <c r="N81" s="33"/>
      <c r="O81" s="33"/>
      <c r="P81" s="33"/>
      <c r="Q81" s="33"/>
      <c r="R81" s="33"/>
      <c r="S81" s="33"/>
      <c r="T81" s="67"/>
      <c r="U81" s="67"/>
      <c r="V81" s="67"/>
      <c r="W81" s="67"/>
      <c r="X81" s="67"/>
      <c r="Y81" s="67"/>
      <c r="Z81" s="67"/>
      <c r="AA81" s="67"/>
      <c r="AB81" s="33"/>
      <c r="AC81" s="33"/>
      <c r="AD81" s="33"/>
      <c r="AE81" s="33"/>
      <c r="AF81" s="33"/>
      <c r="AG81" s="33"/>
      <c r="AH81" s="33"/>
      <c r="AI81" s="33"/>
      <c r="AJ81" s="33"/>
      <c r="AK81" s="33"/>
      <c r="AL81" s="33"/>
      <c r="AM81" s="33"/>
      <c r="AN81" s="33"/>
      <c r="AO81" s="33"/>
      <c r="AP81" s="33"/>
      <c r="AQ81" s="33"/>
      <c r="AR81" s="33"/>
    </row>
    <row r="82" spans="1:44" ht="12.25" customHeight="1">
      <c r="A82" s="28"/>
      <c r="B82" s="35"/>
      <c r="C82" s="31"/>
      <c r="D82" s="31"/>
      <c r="E82" s="31"/>
      <c r="F82" s="31"/>
      <c r="G82" s="31"/>
      <c r="H82" s="31"/>
      <c r="I82" s="31"/>
      <c r="J82" s="33"/>
      <c r="K82" s="33"/>
      <c r="L82" s="33"/>
      <c r="M82" s="33"/>
      <c r="N82" s="33"/>
      <c r="O82" s="33"/>
      <c r="P82" s="33"/>
      <c r="Q82" s="33"/>
      <c r="R82" s="33"/>
      <c r="S82" s="33"/>
      <c r="T82" s="67"/>
      <c r="U82" s="67"/>
      <c r="V82" s="67"/>
      <c r="W82" s="67"/>
      <c r="X82" s="67"/>
      <c r="Y82" s="67"/>
      <c r="Z82" s="67"/>
      <c r="AA82" s="67"/>
      <c r="AB82" s="33"/>
      <c r="AC82" s="33"/>
      <c r="AD82" s="33"/>
      <c r="AE82" s="33"/>
      <c r="AF82" s="33"/>
      <c r="AG82" s="33"/>
      <c r="AH82" s="33"/>
      <c r="AI82" s="33"/>
      <c r="AJ82" s="33"/>
      <c r="AK82" s="33"/>
      <c r="AL82" s="33"/>
      <c r="AM82" s="33"/>
      <c r="AN82" s="33"/>
      <c r="AO82" s="33"/>
      <c r="AP82" s="33"/>
      <c r="AQ82" s="33"/>
      <c r="AR82" s="33"/>
    </row>
    <row r="83" spans="1:44" ht="12.25" customHeight="1">
      <c r="A83" s="35" t="s">
        <v>116</v>
      </c>
      <c r="B83" s="35"/>
      <c r="C83" s="31"/>
      <c r="D83" s="31"/>
      <c r="E83" s="31"/>
      <c r="F83" s="31"/>
      <c r="G83" s="31"/>
      <c r="H83" s="31"/>
      <c r="I83" s="31"/>
      <c r="J83" s="33"/>
      <c r="K83" s="33"/>
      <c r="L83" s="33"/>
      <c r="M83" s="33"/>
      <c r="N83" s="33"/>
      <c r="O83" s="33"/>
      <c r="P83" s="33"/>
      <c r="Q83" s="33"/>
      <c r="R83" s="33"/>
      <c r="S83" s="33"/>
      <c r="T83" s="67"/>
      <c r="U83" s="67"/>
      <c r="V83" s="67"/>
      <c r="W83" s="67"/>
      <c r="X83" s="67"/>
      <c r="Y83" s="67"/>
      <c r="Z83" s="67"/>
      <c r="AA83" s="67"/>
      <c r="AB83" s="33"/>
      <c r="AC83" s="33"/>
      <c r="AD83" s="33"/>
      <c r="AE83" s="33"/>
      <c r="AF83" s="33"/>
      <c r="AG83" s="33"/>
      <c r="AH83" s="33"/>
      <c r="AI83" s="33"/>
      <c r="AJ83" s="33"/>
      <c r="AK83" s="33"/>
      <c r="AL83" s="33"/>
      <c r="AM83" s="33"/>
      <c r="AN83" s="33"/>
      <c r="AO83" s="33"/>
      <c r="AP83" s="33"/>
      <c r="AQ83" s="33"/>
      <c r="AR83" s="33"/>
    </row>
    <row r="84" spans="1:44" ht="12.25" customHeight="1">
      <c r="A84" s="35" t="s">
        <v>105</v>
      </c>
      <c r="B84" s="35"/>
      <c r="C84" s="31"/>
      <c r="D84" s="31"/>
      <c r="E84" s="31"/>
      <c r="F84" s="31"/>
      <c r="G84" s="31"/>
      <c r="H84" s="31"/>
      <c r="I84" s="31"/>
      <c r="J84" s="33"/>
      <c r="K84" s="33"/>
      <c r="L84" s="33"/>
      <c r="M84" s="33"/>
      <c r="N84" s="33"/>
      <c r="O84" s="33"/>
      <c r="P84" s="33"/>
      <c r="Q84" s="33"/>
      <c r="R84" s="33"/>
      <c r="S84" s="33"/>
      <c r="T84" s="67">
        <v>5579.9830000000002</v>
      </c>
      <c r="U84" s="67"/>
      <c r="V84" s="67"/>
      <c r="W84" s="67"/>
      <c r="X84" s="67"/>
      <c r="Y84" s="67"/>
      <c r="Z84" s="67"/>
      <c r="AA84" s="67"/>
      <c r="AB84" s="33"/>
      <c r="AC84" s="33"/>
      <c r="AD84" s="33"/>
      <c r="AE84" s="33"/>
      <c r="AF84" s="33"/>
      <c r="AG84" s="33"/>
      <c r="AH84" s="33"/>
      <c r="AI84" s="33"/>
      <c r="AJ84" s="33"/>
      <c r="AK84" s="33"/>
      <c r="AL84" s="33"/>
      <c r="AM84" s="33"/>
      <c r="AN84" s="33"/>
      <c r="AO84" s="33"/>
      <c r="AP84" s="33"/>
      <c r="AQ84" s="33"/>
      <c r="AR84" s="33"/>
    </row>
    <row r="85" spans="1:44" ht="12.25" customHeight="1">
      <c r="A85" s="35" t="s">
        <v>115</v>
      </c>
      <c r="B85" s="35"/>
      <c r="C85" s="31"/>
      <c r="D85" s="31"/>
      <c r="E85" s="31"/>
      <c r="F85" s="31"/>
      <c r="G85" s="31"/>
      <c r="H85" s="31"/>
      <c r="I85" s="31"/>
      <c r="J85" s="33"/>
      <c r="K85" s="33"/>
      <c r="L85" s="33"/>
      <c r="M85" s="33"/>
      <c r="N85" s="33"/>
      <c r="O85" s="33"/>
      <c r="P85" s="33"/>
      <c r="Q85" s="33"/>
      <c r="R85" s="33"/>
      <c r="S85" s="33"/>
      <c r="T85" s="67">
        <v>1360.9380000000001</v>
      </c>
      <c r="U85" s="67"/>
      <c r="V85" s="67"/>
      <c r="W85" s="67"/>
      <c r="X85" s="67"/>
      <c r="Y85" s="67"/>
      <c r="Z85" s="67"/>
      <c r="AA85" s="67"/>
      <c r="AB85" s="33"/>
      <c r="AC85" s="33"/>
      <c r="AD85" s="33"/>
      <c r="AE85" s="33"/>
      <c r="AF85" s="33"/>
      <c r="AG85" s="33"/>
      <c r="AH85" s="33"/>
      <c r="AI85" s="33"/>
      <c r="AJ85" s="33"/>
      <c r="AK85" s="33"/>
      <c r="AL85" s="33"/>
      <c r="AM85" s="33"/>
      <c r="AN85" s="33"/>
      <c r="AO85" s="33"/>
      <c r="AP85" s="33"/>
      <c r="AQ85" s="33"/>
      <c r="AR85" s="33"/>
    </row>
    <row r="86" spans="1:44" ht="12.25" customHeight="1">
      <c r="A86" s="35" t="s">
        <v>170</v>
      </c>
      <c r="B86" s="35"/>
      <c r="C86" s="31"/>
      <c r="D86" s="31"/>
      <c r="E86" s="31"/>
      <c r="F86" s="31"/>
      <c r="G86" s="31"/>
      <c r="H86" s="31"/>
      <c r="I86" s="31"/>
      <c r="J86" s="33"/>
      <c r="K86" s="33"/>
      <c r="L86" s="33"/>
      <c r="M86" s="33"/>
      <c r="N86" s="33"/>
      <c r="O86" s="33"/>
      <c r="P86" s="33"/>
      <c r="Q86" s="33"/>
      <c r="R86" s="33"/>
      <c r="S86" s="33"/>
      <c r="T86" s="10">
        <v>0.13720679924239051</v>
      </c>
      <c r="U86" s="67"/>
      <c r="V86" s="67"/>
      <c r="W86" s="67"/>
      <c r="X86" s="67"/>
      <c r="Y86" s="67"/>
      <c r="Z86" s="67"/>
      <c r="AA86" s="67"/>
      <c r="AB86" s="33"/>
      <c r="AC86" s="33"/>
      <c r="AD86" s="33"/>
      <c r="AE86" s="33"/>
      <c r="AF86" s="33"/>
      <c r="AG86" s="33"/>
      <c r="AH86" s="33"/>
      <c r="AI86" s="33"/>
      <c r="AJ86" s="33"/>
      <c r="AK86" s="33"/>
      <c r="AL86" s="33"/>
      <c r="AM86" s="33"/>
      <c r="AN86" s="33"/>
      <c r="AO86" s="33"/>
      <c r="AP86" s="33"/>
      <c r="AQ86" s="33"/>
      <c r="AR86" s="33"/>
    </row>
    <row r="87" spans="1:44" ht="12.25" customHeight="1">
      <c r="A87" s="35" t="s">
        <v>171</v>
      </c>
      <c r="B87" s="35"/>
      <c r="C87" s="31"/>
      <c r="D87" s="31"/>
      <c r="E87" s="31"/>
      <c r="F87" s="31"/>
      <c r="G87" s="31"/>
      <c r="H87" s="31"/>
      <c r="I87" s="31"/>
      <c r="J87" s="33"/>
      <c r="K87" s="33"/>
      <c r="L87" s="33"/>
      <c r="M87" s="33"/>
      <c r="N87" s="33"/>
      <c r="O87" s="33"/>
      <c r="P87" s="33"/>
      <c r="Q87" s="33"/>
      <c r="R87" s="33"/>
      <c r="S87" s="33"/>
      <c r="T87" s="10">
        <v>0.76453286136229437</v>
      </c>
      <c r="U87" s="67"/>
      <c r="V87" s="67"/>
      <c r="W87" s="67"/>
      <c r="X87" s="67"/>
      <c r="Y87" s="67"/>
      <c r="Z87" s="67"/>
      <c r="AA87" s="67"/>
      <c r="AB87" s="33"/>
      <c r="AC87" s="33"/>
      <c r="AD87" s="33"/>
      <c r="AE87" s="33"/>
      <c r="AF87" s="33"/>
      <c r="AG87" s="33"/>
      <c r="AH87" s="33"/>
      <c r="AI87" s="33"/>
      <c r="AJ87" s="33"/>
      <c r="AK87" s="33"/>
      <c r="AL87" s="33"/>
      <c r="AM87" s="33"/>
      <c r="AN87" s="33"/>
      <c r="AO87" s="33"/>
      <c r="AP87" s="33"/>
      <c r="AQ87" s="33"/>
      <c r="AR87" s="33"/>
    </row>
    <row r="88" spans="1:44" ht="12.25" customHeight="1">
      <c r="A88" s="35" t="s">
        <v>172</v>
      </c>
      <c r="B88" s="35"/>
      <c r="C88" s="31"/>
      <c r="D88" s="31"/>
      <c r="E88" s="31"/>
      <c r="F88" s="31"/>
      <c r="G88" s="31"/>
      <c r="H88" s="31"/>
      <c r="I88" s="31"/>
      <c r="J88" s="33"/>
      <c r="K88" s="33"/>
      <c r="L88" s="33"/>
      <c r="M88" s="33"/>
      <c r="N88" s="33"/>
      <c r="O88" s="33"/>
      <c r="P88" s="33"/>
      <c r="Q88" s="33"/>
      <c r="R88" s="33"/>
      <c r="S88" s="33"/>
      <c r="T88" s="10">
        <v>9.8260339395315158E-2</v>
      </c>
      <c r="U88" s="67"/>
      <c r="V88" s="67"/>
      <c r="W88" s="67"/>
      <c r="X88" s="67"/>
      <c r="Y88" s="67"/>
      <c r="Z88" s="67"/>
      <c r="AA88" s="67"/>
      <c r="AB88" s="33"/>
      <c r="AC88" s="33"/>
      <c r="AD88" s="33"/>
      <c r="AE88" s="33"/>
      <c r="AF88" s="33"/>
      <c r="AG88" s="33"/>
      <c r="AH88" s="33"/>
      <c r="AI88" s="33"/>
      <c r="AJ88" s="33"/>
      <c r="AK88" s="33"/>
      <c r="AL88" s="33"/>
      <c r="AM88" s="33"/>
      <c r="AN88" s="33"/>
      <c r="AO88" s="33"/>
      <c r="AP88" s="33"/>
      <c r="AQ88" s="33"/>
      <c r="AR88" s="33"/>
    </row>
    <row r="89" spans="1:44" ht="12.25" customHeight="1">
      <c r="A89" s="35" t="s">
        <v>106</v>
      </c>
      <c r="B89" s="35"/>
      <c r="C89" s="31"/>
      <c r="D89" s="31"/>
      <c r="E89" s="31"/>
      <c r="F89" s="31"/>
      <c r="G89" s="31"/>
      <c r="H89" s="31"/>
      <c r="I89" s="31"/>
      <c r="J89" s="33"/>
      <c r="K89" s="33"/>
      <c r="L89" s="33"/>
      <c r="M89" s="33"/>
      <c r="N89" s="33"/>
      <c r="O89" s="33"/>
      <c r="P89" s="33"/>
      <c r="Q89" s="33"/>
      <c r="R89" s="33"/>
      <c r="S89" s="33"/>
      <c r="T89" s="84">
        <v>0.18</v>
      </c>
      <c r="U89" s="33"/>
      <c r="V89" s="67"/>
      <c r="W89" s="67"/>
      <c r="X89" s="67"/>
      <c r="Y89" s="67"/>
      <c r="Z89" s="67"/>
      <c r="AA89" s="67"/>
      <c r="AB89" s="33"/>
      <c r="AC89" s="33"/>
      <c r="AD89" s="33"/>
      <c r="AE89" s="33"/>
      <c r="AF89" s="33"/>
      <c r="AG89" s="33"/>
      <c r="AH89" s="33"/>
      <c r="AI89" s="33"/>
      <c r="AJ89" s="33"/>
      <c r="AK89" s="33"/>
      <c r="AL89" s="33"/>
      <c r="AM89" s="33"/>
      <c r="AN89" s="33"/>
      <c r="AO89" s="33"/>
      <c r="AP89" s="33"/>
      <c r="AQ89" s="33"/>
      <c r="AR89" s="33"/>
    </row>
    <row r="90" spans="1:44" ht="12.25" customHeight="1">
      <c r="A90" s="35" t="s">
        <v>107</v>
      </c>
      <c r="B90" s="35"/>
      <c r="C90" s="31"/>
      <c r="D90" s="31"/>
      <c r="E90" s="31"/>
      <c r="F90" s="31"/>
      <c r="G90" s="31"/>
      <c r="H90" s="31"/>
      <c r="I90" s="31"/>
      <c r="J90" s="33"/>
      <c r="K90" s="33"/>
      <c r="L90" s="33"/>
      <c r="M90" s="33"/>
      <c r="N90" s="33"/>
      <c r="O90" s="33"/>
      <c r="P90" s="33"/>
      <c r="Q90" s="33"/>
      <c r="R90" s="33"/>
      <c r="S90" s="33"/>
      <c r="T90" s="84">
        <v>1.3</v>
      </c>
      <c r="U90" s="33"/>
      <c r="V90" s="67"/>
      <c r="W90" s="67"/>
      <c r="X90" s="67"/>
      <c r="Y90" s="67"/>
      <c r="Z90" s="67"/>
      <c r="AA90" s="67"/>
      <c r="AB90" s="33"/>
      <c r="AC90" s="33"/>
      <c r="AD90" s="33"/>
      <c r="AE90" s="33"/>
      <c r="AF90" s="33"/>
      <c r="AG90" s="33"/>
      <c r="AH90" s="33"/>
      <c r="AI90" s="33"/>
      <c r="AJ90" s="33"/>
      <c r="AK90" s="33"/>
      <c r="AL90" s="33"/>
      <c r="AM90" s="33"/>
      <c r="AN90" s="33"/>
      <c r="AO90" s="33"/>
      <c r="AP90" s="33"/>
      <c r="AQ90" s="33"/>
      <c r="AR90" s="33"/>
    </row>
    <row r="91" spans="1:44" ht="12.25" customHeight="1">
      <c r="A91" s="35" t="s">
        <v>169</v>
      </c>
      <c r="B91" s="35"/>
      <c r="C91" s="31"/>
      <c r="D91" s="31"/>
      <c r="E91" s="31"/>
      <c r="F91" s="31"/>
      <c r="G91" s="31"/>
      <c r="H91" s="31"/>
      <c r="I91" s="31"/>
      <c r="J91" s="33"/>
      <c r="K91" s="33"/>
      <c r="L91" s="33"/>
      <c r="M91" s="33"/>
      <c r="N91" s="33"/>
      <c r="O91" s="33"/>
      <c r="P91" s="33"/>
      <c r="Q91" s="33"/>
      <c r="R91" s="33"/>
      <c r="S91" s="33"/>
      <c r="T91" s="84">
        <v>0.1</v>
      </c>
      <c r="U91" s="33"/>
      <c r="V91" s="67"/>
      <c r="W91" s="67"/>
      <c r="X91" s="67"/>
      <c r="Y91" s="67"/>
      <c r="Z91" s="67"/>
      <c r="AA91" s="67"/>
      <c r="AB91" s="33"/>
      <c r="AC91" s="33"/>
      <c r="AD91" s="33"/>
      <c r="AE91" s="33"/>
      <c r="AF91" s="33"/>
      <c r="AG91" s="33"/>
      <c r="AH91" s="33"/>
      <c r="AI91" s="33"/>
      <c r="AJ91" s="33"/>
      <c r="AK91" s="33"/>
      <c r="AL91" s="33"/>
      <c r="AM91" s="33"/>
      <c r="AN91" s="33"/>
      <c r="AO91" s="33"/>
      <c r="AP91" s="33"/>
      <c r="AQ91" s="33"/>
      <c r="AR91" s="33"/>
    </row>
    <row r="92" spans="1:44" ht="12.25" customHeight="1">
      <c r="A92" s="35" t="s">
        <v>176</v>
      </c>
      <c r="B92" s="35"/>
      <c r="C92" s="31"/>
      <c r="D92" s="31"/>
      <c r="E92" s="31"/>
      <c r="F92" s="31"/>
      <c r="G92" s="31"/>
      <c r="H92" s="31"/>
      <c r="I92" s="31"/>
      <c r="J92" s="33"/>
      <c r="K92" s="33"/>
      <c r="L92" s="33"/>
      <c r="M92" s="33"/>
      <c r="N92" s="33"/>
      <c r="O92" s="33"/>
      <c r="P92" s="33"/>
      <c r="Q92" s="33"/>
      <c r="R92" s="33"/>
      <c r="S92" s="33"/>
      <c r="T92" s="84">
        <v>0</v>
      </c>
      <c r="U92" s="33"/>
      <c r="V92" s="67"/>
      <c r="W92" s="67"/>
      <c r="X92" s="67"/>
      <c r="Y92" s="67"/>
      <c r="Z92" s="67"/>
      <c r="AA92" s="67"/>
      <c r="AB92" s="33"/>
      <c r="AC92" s="33"/>
      <c r="AD92" s="33"/>
      <c r="AE92" s="33"/>
      <c r="AF92" s="33"/>
      <c r="AG92" s="33"/>
      <c r="AH92" s="33"/>
      <c r="AI92" s="33"/>
      <c r="AJ92" s="33"/>
      <c r="AK92" s="33"/>
      <c r="AL92" s="33"/>
      <c r="AM92" s="33"/>
      <c r="AN92" s="33"/>
      <c r="AO92" s="33"/>
      <c r="AP92" s="33"/>
      <c r="AQ92" s="33"/>
      <c r="AR92" s="33"/>
    </row>
    <row r="93" spans="1:44" ht="12.25" customHeight="1">
      <c r="A93" s="35" t="s">
        <v>108</v>
      </c>
      <c r="B93" s="35"/>
      <c r="C93" s="31"/>
      <c r="D93" s="31"/>
      <c r="E93" s="31"/>
      <c r="F93" s="31"/>
      <c r="G93" s="31"/>
      <c r="H93" s="31"/>
      <c r="I93" s="31"/>
      <c r="J93" s="33"/>
      <c r="K93" s="33"/>
      <c r="L93" s="33"/>
      <c r="M93" s="33"/>
      <c r="N93" s="33"/>
      <c r="O93" s="33"/>
      <c r="P93" s="33"/>
      <c r="Q93" s="33"/>
      <c r="R93" s="33"/>
      <c r="S93" s="33"/>
      <c r="T93" s="67">
        <f>95978.0046715952</f>
        <v>95978.004671595205</v>
      </c>
      <c r="U93" s="67"/>
      <c r="V93" s="67"/>
      <c r="W93" s="67"/>
      <c r="X93" s="67"/>
      <c r="Y93" s="67"/>
      <c r="Z93" s="67"/>
      <c r="AA93" s="67"/>
      <c r="AB93" s="33"/>
      <c r="AC93" s="33"/>
      <c r="AD93" s="33"/>
      <c r="AE93" s="33"/>
      <c r="AF93" s="33"/>
      <c r="AG93" s="33"/>
      <c r="AH93" s="33"/>
      <c r="AI93" s="33"/>
      <c r="AJ93" s="33"/>
      <c r="AK93" s="33"/>
      <c r="AL93" s="33"/>
      <c r="AM93" s="33"/>
      <c r="AN93" s="33"/>
      <c r="AO93" s="33"/>
      <c r="AP93" s="33"/>
      <c r="AQ93" s="33"/>
      <c r="AR93" s="33"/>
    </row>
    <row r="94" spans="1:44" ht="12.25" customHeight="1">
      <c r="A94" s="35" t="s">
        <v>109</v>
      </c>
      <c r="B94" s="35"/>
      <c r="C94" s="31"/>
      <c r="D94" s="31"/>
      <c r="E94" s="31"/>
      <c r="F94" s="31"/>
      <c r="G94" s="31"/>
      <c r="H94" s="31"/>
      <c r="I94" s="31"/>
      <c r="J94" s="33"/>
      <c r="K94" s="33"/>
      <c r="L94" s="33"/>
      <c r="M94" s="33"/>
      <c r="N94" s="33"/>
      <c r="O94" s="33"/>
      <c r="P94" s="33"/>
      <c r="Q94" s="33"/>
      <c r="R94" s="33"/>
      <c r="S94" s="33"/>
      <c r="T94" s="67">
        <v>-1000</v>
      </c>
      <c r="U94" s="67">
        <v>-1000</v>
      </c>
      <c r="V94" s="67">
        <v>-400</v>
      </c>
      <c r="W94" s="67">
        <v>-200</v>
      </c>
      <c r="X94" s="67">
        <v>-200</v>
      </c>
      <c r="Y94" s="67">
        <v>-200</v>
      </c>
      <c r="Z94" s="67">
        <v>-200</v>
      </c>
      <c r="AA94" s="67">
        <v>-200</v>
      </c>
      <c r="AB94" s="33">
        <f>+AA94</f>
        <v>-200</v>
      </c>
      <c r="AC94" s="33">
        <f t="shared" ref="AC94:AR94" si="28">+AB94</f>
        <v>-200</v>
      </c>
      <c r="AD94" s="33">
        <f t="shared" si="28"/>
        <v>-200</v>
      </c>
      <c r="AE94" s="33">
        <f t="shared" si="28"/>
        <v>-200</v>
      </c>
      <c r="AF94" s="33">
        <f t="shared" si="28"/>
        <v>-200</v>
      </c>
      <c r="AG94" s="33">
        <f t="shared" si="28"/>
        <v>-200</v>
      </c>
      <c r="AH94" s="33">
        <f t="shared" si="28"/>
        <v>-200</v>
      </c>
      <c r="AI94" s="33">
        <f t="shared" si="28"/>
        <v>-200</v>
      </c>
      <c r="AJ94" s="33">
        <f t="shared" si="28"/>
        <v>-200</v>
      </c>
      <c r="AK94" s="33">
        <f t="shared" si="28"/>
        <v>-200</v>
      </c>
      <c r="AL94" s="33">
        <f t="shared" si="28"/>
        <v>-200</v>
      </c>
      <c r="AM94" s="33">
        <f t="shared" si="28"/>
        <v>-200</v>
      </c>
      <c r="AN94" s="33">
        <f t="shared" si="28"/>
        <v>-200</v>
      </c>
      <c r="AO94" s="33">
        <f t="shared" si="28"/>
        <v>-200</v>
      </c>
      <c r="AP94" s="33">
        <f t="shared" si="28"/>
        <v>-200</v>
      </c>
      <c r="AQ94" s="33">
        <f t="shared" si="28"/>
        <v>-200</v>
      </c>
      <c r="AR94" s="33">
        <f t="shared" si="28"/>
        <v>-200</v>
      </c>
    </row>
    <row r="95" spans="1:44" ht="12.25" customHeight="1">
      <c r="A95" s="35" t="s">
        <v>110</v>
      </c>
      <c r="B95" s="35"/>
      <c r="C95" s="31"/>
      <c r="D95" s="31"/>
      <c r="E95" s="31"/>
      <c r="F95" s="31"/>
      <c r="G95" s="31"/>
      <c r="H95" s="31"/>
      <c r="I95" s="31"/>
      <c r="J95" s="33"/>
      <c r="K95" s="33"/>
      <c r="L95" s="33"/>
      <c r="M95" s="33"/>
      <c r="N95" s="33"/>
      <c r="O95" s="33"/>
      <c r="P95" s="33"/>
      <c r="Q95" s="33"/>
      <c r="R95" s="33"/>
      <c r="S95" s="33"/>
      <c r="T95" s="84">
        <v>0.06</v>
      </c>
      <c r="U95" s="10"/>
      <c r="V95" s="84"/>
      <c r="W95" s="84"/>
      <c r="X95" s="84"/>
      <c r="Y95" s="84"/>
      <c r="Z95" s="84"/>
      <c r="AA95" s="84"/>
      <c r="AB95" s="33"/>
      <c r="AC95" s="33"/>
      <c r="AD95" s="33"/>
      <c r="AE95" s="33"/>
      <c r="AF95" s="33"/>
      <c r="AG95" s="33"/>
      <c r="AH95" s="33"/>
      <c r="AI95" s="33"/>
      <c r="AJ95" s="33"/>
      <c r="AK95" s="33"/>
      <c r="AL95" s="33"/>
      <c r="AM95" s="33"/>
      <c r="AN95" s="33"/>
      <c r="AO95" s="33"/>
      <c r="AP95" s="33"/>
      <c r="AQ95" s="33"/>
      <c r="AR95" s="33"/>
    </row>
    <row r="96" spans="1:44" ht="12.25" customHeight="1">
      <c r="A96" s="35" t="s">
        <v>111</v>
      </c>
      <c r="B96" s="35"/>
      <c r="C96" s="31"/>
      <c r="D96" s="31"/>
      <c r="E96" s="31"/>
      <c r="F96" s="31"/>
      <c r="G96" s="31"/>
      <c r="H96" s="31"/>
      <c r="I96" s="31"/>
      <c r="J96" s="33"/>
      <c r="K96" s="33"/>
      <c r="L96" s="33"/>
      <c r="M96" s="33"/>
      <c r="N96" s="33"/>
      <c r="O96" s="33"/>
      <c r="P96" s="33"/>
      <c r="Q96" s="33"/>
      <c r="R96" s="33"/>
      <c r="S96" s="33"/>
      <c r="T96" s="84">
        <v>0.5</v>
      </c>
      <c r="U96" s="10"/>
      <c r="V96" s="84"/>
      <c r="W96" s="84"/>
      <c r="X96" s="84"/>
      <c r="Y96" s="84"/>
      <c r="Z96" s="84"/>
      <c r="AA96" s="84"/>
      <c r="AB96" s="33"/>
      <c r="AC96" s="33"/>
      <c r="AD96" s="33"/>
      <c r="AE96" s="33"/>
      <c r="AF96" s="33"/>
      <c r="AG96" s="33"/>
      <c r="AH96" s="33"/>
      <c r="AI96" s="33"/>
      <c r="AJ96" s="33"/>
      <c r="AK96" s="33"/>
      <c r="AL96" s="33"/>
      <c r="AM96" s="33"/>
      <c r="AN96" s="33"/>
      <c r="AO96" s="33"/>
      <c r="AP96" s="33"/>
      <c r="AQ96" s="33"/>
      <c r="AR96" s="33"/>
    </row>
    <row r="97" spans="1:44" ht="12.25" customHeight="1">
      <c r="A97" s="35" t="s">
        <v>112</v>
      </c>
      <c r="B97" s="35"/>
      <c r="C97" s="31"/>
      <c r="D97" s="31"/>
      <c r="E97" s="31"/>
      <c r="F97" s="31"/>
      <c r="G97" s="31"/>
      <c r="H97" s="31"/>
      <c r="I97" s="31"/>
      <c r="J97" s="33"/>
      <c r="K97" s="33"/>
      <c r="L97" s="33"/>
      <c r="M97" s="33"/>
      <c r="N97" s="33"/>
      <c r="O97" s="33"/>
      <c r="P97" s="33"/>
      <c r="Q97" s="33"/>
      <c r="R97" s="33"/>
      <c r="S97" s="33"/>
      <c r="T97" s="84">
        <v>0</v>
      </c>
      <c r="U97" s="10"/>
      <c r="V97" s="84"/>
      <c r="W97" s="84"/>
      <c r="X97" s="84"/>
      <c r="Y97" s="84"/>
      <c r="Z97" s="84"/>
      <c r="AA97" s="84"/>
      <c r="AB97" s="33"/>
      <c r="AC97" s="33"/>
      <c r="AD97" s="33"/>
      <c r="AE97" s="33"/>
      <c r="AF97" s="33"/>
      <c r="AG97" s="33"/>
      <c r="AH97" s="33"/>
      <c r="AI97" s="33"/>
      <c r="AJ97" s="33"/>
      <c r="AK97" s="33"/>
      <c r="AL97" s="33"/>
      <c r="AM97" s="33"/>
      <c r="AN97" s="33"/>
      <c r="AO97" s="33"/>
      <c r="AP97" s="33"/>
      <c r="AQ97" s="33"/>
      <c r="AR97" s="33"/>
    </row>
    <row r="98" spans="1:44" ht="12.25" customHeight="1">
      <c r="A98" s="35" t="s">
        <v>113</v>
      </c>
      <c r="B98" s="35"/>
      <c r="C98" s="31"/>
      <c r="D98" s="31"/>
      <c r="E98" s="31"/>
      <c r="F98" s="31"/>
      <c r="G98" s="31"/>
      <c r="H98" s="31"/>
      <c r="I98" s="31"/>
      <c r="J98" s="33"/>
      <c r="K98" s="33"/>
      <c r="L98" s="33"/>
      <c r="M98" s="33"/>
      <c r="N98" s="33"/>
      <c r="O98" s="33"/>
      <c r="P98" s="33"/>
      <c r="Q98" s="33"/>
      <c r="R98" s="33"/>
      <c r="S98" s="33"/>
      <c r="T98" s="84">
        <v>0.02</v>
      </c>
      <c r="U98" s="10"/>
      <c r="V98" s="84"/>
      <c r="W98" s="84"/>
      <c r="X98" s="84"/>
      <c r="Y98" s="84"/>
      <c r="Z98" s="84"/>
      <c r="AA98" s="84"/>
      <c r="AB98" s="33"/>
      <c r="AC98" s="33"/>
      <c r="AD98" s="33"/>
      <c r="AE98" s="33"/>
      <c r="AF98" s="33"/>
      <c r="AG98" s="33"/>
      <c r="AH98" s="33"/>
      <c r="AI98" s="33"/>
      <c r="AJ98" s="33"/>
      <c r="AK98" s="33"/>
      <c r="AL98" s="33"/>
      <c r="AM98" s="33"/>
      <c r="AN98" s="33"/>
      <c r="AO98" s="33"/>
      <c r="AP98" s="33"/>
      <c r="AQ98" s="33"/>
      <c r="AR98" s="33"/>
    </row>
    <row r="99" spans="1:44" ht="12.25" customHeight="1">
      <c r="A99" s="35" t="s">
        <v>127</v>
      </c>
      <c r="B99" s="31"/>
      <c r="C99" s="31"/>
      <c r="D99" s="31"/>
      <c r="E99" s="31"/>
      <c r="F99" s="31"/>
      <c r="G99" s="31"/>
      <c r="H99" s="31"/>
      <c r="I99" s="31"/>
      <c r="J99" s="33"/>
      <c r="K99" s="33"/>
      <c r="L99" s="33"/>
      <c r="M99" s="33"/>
      <c r="N99" s="33"/>
      <c r="O99" s="33"/>
      <c r="P99" s="33"/>
      <c r="Q99" s="33"/>
      <c r="R99" s="33"/>
      <c r="S99" s="33"/>
      <c r="T99" s="10">
        <v>0</v>
      </c>
      <c r="U99" s="10"/>
      <c r="V99" s="10"/>
      <c r="W99" s="10"/>
      <c r="X99" s="10"/>
      <c r="Y99" s="10"/>
      <c r="Z99" s="10"/>
      <c r="AA99" s="10"/>
      <c r="AB99" s="33"/>
      <c r="AC99" s="33"/>
      <c r="AD99" s="33"/>
      <c r="AE99" s="33"/>
      <c r="AF99" s="33"/>
      <c r="AG99" s="33"/>
      <c r="AH99" s="33"/>
      <c r="AI99" s="33"/>
      <c r="AJ99" s="33"/>
      <c r="AK99" s="33"/>
      <c r="AL99" s="33"/>
      <c r="AM99" s="33"/>
      <c r="AN99" s="33"/>
      <c r="AO99" s="33"/>
      <c r="AP99" s="33"/>
      <c r="AQ99" s="33"/>
      <c r="AR99" s="33"/>
    </row>
    <row r="100" spans="1:44" ht="12.25" customHeight="1">
      <c r="A100" s="35" t="s">
        <v>60</v>
      </c>
      <c r="B100" s="31"/>
      <c r="C100" s="31"/>
      <c r="D100" s="31"/>
      <c r="E100" s="31"/>
      <c r="F100" s="31"/>
      <c r="G100" s="31"/>
      <c r="H100" s="31"/>
      <c r="I100" s="31"/>
      <c r="J100" s="33"/>
      <c r="K100" s="33"/>
      <c r="L100" s="68"/>
      <c r="M100" s="69"/>
      <c r="N100" s="69"/>
      <c r="O100" s="69"/>
      <c r="P100" s="69"/>
      <c r="Q100" s="69"/>
      <c r="R100" s="69"/>
      <c r="S100" s="69"/>
      <c r="T100" s="81"/>
      <c r="U100" s="81">
        <v>0.19</v>
      </c>
      <c r="V100" s="81">
        <f>+U100</f>
        <v>0.19</v>
      </c>
      <c r="W100" s="81">
        <f t="shared" ref="W100:AR100" si="29">+V100</f>
        <v>0.19</v>
      </c>
      <c r="X100" s="81">
        <f t="shared" si="29"/>
        <v>0.19</v>
      </c>
      <c r="Y100" s="81">
        <f t="shared" si="29"/>
        <v>0.19</v>
      </c>
      <c r="Z100" s="81">
        <f t="shared" si="29"/>
        <v>0.19</v>
      </c>
      <c r="AA100" s="81">
        <f t="shared" si="29"/>
        <v>0.19</v>
      </c>
      <c r="AB100" s="81">
        <f t="shared" si="29"/>
        <v>0.19</v>
      </c>
      <c r="AC100" s="81">
        <f t="shared" si="29"/>
        <v>0.19</v>
      </c>
      <c r="AD100" s="81">
        <f t="shared" si="29"/>
        <v>0.19</v>
      </c>
      <c r="AE100" s="81">
        <f t="shared" si="29"/>
        <v>0.19</v>
      </c>
      <c r="AF100" s="81">
        <f t="shared" si="29"/>
        <v>0.19</v>
      </c>
      <c r="AG100" s="81">
        <f t="shared" si="29"/>
        <v>0.19</v>
      </c>
      <c r="AH100" s="81">
        <f t="shared" si="29"/>
        <v>0.19</v>
      </c>
      <c r="AI100" s="81">
        <f t="shared" si="29"/>
        <v>0.19</v>
      </c>
      <c r="AJ100" s="81">
        <f t="shared" si="29"/>
        <v>0.19</v>
      </c>
      <c r="AK100" s="81">
        <f t="shared" si="29"/>
        <v>0.19</v>
      </c>
      <c r="AL100" s="81">
        <f t="shared" si="29"/>
        <v>0.19</v>
      </c>
      <c r="AM100" s="81">
        <f t="shared" si="29"/>
        <v>0.19</v>
      </c>
      <c r="AN100" s="81">
        <f t="shared" si="29"/>
        <v>0.19</v>
      </c>
      <c r="AO100" s="81">
        <f t="shared" si="29"/>
        <v>0.19</v>
      </c>
      <c r="AP100" s="81">
        <f t="shared" si="29"/>
        <v>0.19</v>
      </c>
      <c r="AQ100" s="81">
        <f t="shared" si="29"/>
        <v>0.19</v>
      </c>
      <c r="AR100" s="81">
        <f t="shared" si="29"/>
        <v>0.19</v>
      </c>
    </row>
    <row r="101" spans="1:44" ht="12.25" customHeight="1">
      <c r="A101" s="35" t="s">
        <v>61</v>
      </c>
      <c r="B101" s="31"/>
      <c r="C101" s="31"/>
      <c r="D101" s="31"/>
      <c r="E101" s="31"/>
      <c r="F101" s="31"/>
      <c r="G101" s="31"/>
      <c r="H101" s="31"/>
      <c r="I101" s="31"/>
      <c r="J101" s="33"/>
      <c r="K101" s="33"/>
      <c r="L101" s="68"/>
      <c r="M101" s="69"/>
      <c r="N101" s="69"/>
      <c r="O101" s="69"/>
      <c r="P101" s="69"/>
      <c r="Q101" s="69"/>
      <c r="R101" s="69"/>
      <c r="S101" s="69"/>
      <c r="T101" s="81"/>
      <c r="U101" s="81"/>
      <c r="V101" s="81">
        <f t="shared" ref="V101:AB101" si="30">+U100*0.25+V100*0.75</f>
        <v>0.19</v>
      </c>
      <c r="W101" s="81">
        <f t="shared" si="30"/>
        <v>0.19</v>
      </c>
      <c r="X101" s="81">
        <f t="shared" si="30"/>
        <v>0.19</v>
      </c>
      <c r="Y101" s="81">
        <f t="shared" si="30"/>
        <v>0.19</v>
      </c>
      <c r="Z101" s="81">
        <f t="shared" si="30"/>
        <v>0.19</v>
      </c>
      <c r="AA101" s="81">
        <f t="shared" si="30"/>
        <v>0.19</v>
      </c>
      <c r="AB101" s="81">
        <f t="shared" si="30"/>
        <v>0.19</v>
      </c>
      <c r="AC101" s="81">
        <f t="shared" ref="AC101" si="31">+AB100*0.25+AC100*0.75</f>
        <v>0.19</v>
      </c>
      <c r="AD101" s="81">
        <f t="shared" ref="AD101" si="32">+AC100*0.25+AD100*0.75</f>
        <v>0.19</v>
      </c>
      <c r="AE101" s="81">
        <f t="shared" ref="AE101" si="33">+AD100*0.25+AE100*0.75</f>
        <v>0.19</v>
      </c>
      <c r="AF101" s="81">
        <f t="shared" ref="AF101" si="34">+AE100*0.25+AF100*0.75</f>
        <v>0.19</v>
      </c>
      <c r="AG101" s="81">
        <f t="shared" ref="AG101" si="35">+AF100*0.25+AG100*0.75</f>
        <v>0.19</v>
      </c>
      <c r="AH101" s="81">
        <f t="shared" ref="AH101" si="36">+AG100*0.25+AH100*0.75</f>
        <v>0.19</v>
      </c>
      <c r="AI101" s="81">
        <f t="shared" ref="AI101" si="37">+AH100*0.25+AI100*0.75</f>
        <v>0.19</v>
      </c>
      <c r="AJ101" s="81">
        <f t="shared" ref="AJ101" si="38">+AI100*0.25+AJ100*0.75</f>
        <v>0.19</v>
      </c>
      <c r="AK101" s="81">
        <f t="shared" ref="AK101" si="39">+AJ100*0.25+AK100*0.75</f>
        <v>0.19</v>
      </c>
      <c r="AL101" s="81">
        <f t="shared" ref="AL101" si="40">+AK100*0.25+AL100*0.75</f>
        <v>0.19</v>
      </c>
      <c r="AM101" s="81">
        <f t="shared" ref="AM101" si="41">+AL100*0.25+AM100*0.75</f>
        <v>0.19</v>
      </c>
      <c r="AN101" s="81">
        <f t="shared" ref="AN101" si="42">+AM100*0.25+AN100*0.75</f>
        <v>0.19</v>
      </c>
      <c r="AO101" s="81">
        <f t="shared" ref="AO101" si="43">+AN100*0.25+AO100*0.75</f>
        <v>0.19</v>
      </c>
      <c r="AP101" s="81">
        <f t="shared" ref="AP101" si="44">+AO100*0.25+AP100*0.75</f>
        <v>0.19</v>
      </c>
      <c r="AQ101" s="81">
        <f t="shared" ref="AQ101" si="45">+AP100*0.25+AQ100*0.75</f>
        <v>0.19</v>
      </c>
      <c r="AR101" s="81">
        <f t="shared" ref="AR101" si="46">+AQ100*0.25+AR100*0.75</f>
        <v>0.19</v>
      </c>
    </row>
    <row r="102" spans="1:44" ht="12.25" customHeight="1">
      <c r="A102" s="35" t="s">
        <v>185</v>
      </c>
      <c r="B102" s="31"/>
      <c r="C102" s="31"/>
      <c r="D102" s="31"/>
      <c r="E102" s="31"/>
      <c r="F102" s="31"/>
      <c r="G102" s="31"/>
      <c r="H102" s="31"/>
      <c r="I102" s="31"/>
      <c r="J102" s="33"/>
      <c r="K102" s="33"/>
      <c r="L102" s="33"/>
      <c r="M102" s="33"/>
      <c r="N102" s="33"/>
      <c r="O102" s="33"/>
      <c r="P102" s="33"/>
      <c r="Q102" s="33"/>
      <c r="R102" s="33"/>
      <c r="S102" s="33"/>
      <c r="T102" s="33"/>
      <c r="U102" s="33"/>
      <c r="V102" s="33">
        <v>5000</v>
      </c>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2.25" customHeight="1">
      <c r="A103" s="35"/>
      <c r="B103" s="31"/>
      <c r="C103" s="31"/>
      <c r="D103" s="31"/>
      <c r="E103" s="31"/>
      <c r="F103" s="31"/>
      <c r="G103" s="31"/>
      <c r="H103" s="31"/>
      <c r="I103" s="31"/>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2.25" customHeight="1">
      <c r="A104" s="35" t="s">
        <v>181</v>
      </c>
      <c r="B104" s="31"/>
      <c r="C104" s="31"/>
      <c r="D104" s="31"/>
      <c r="E104" s="31"/>
      <c r="F104" s="31"/>
      <c r="G104" s="31"/>
      <c r="H104" s="31"/>
      <c r="I104" s="31"/>
      <c r="J104" s="33"/>
      <c r="K104" s="33"/>
      <c r="L104" s="33"/>
      <c r="M104" s="33"/>
      <c r="N104" s="33"/>
      <c r="O104" s="33"/>
      <c r="P104" s="33"/>
      <c r="Q104" s="33"/>
      <c r="R104" s="33"/>
      <c r="S104" s="33"/>
      <c r="T104" s="33"/>
      <c r="U104" s="90">
        <v>0.5</v>
      </c>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2.25" customHeight="1">
      <c r="A105" s="35" t="s">
        <v>7</v>
      </c>
      <c r="B105" s="31"/>
      <c r="C105" s="31"/>
      <c r="D105" s="31"/>
      <c r="E105" s="31"/>
      <c r="F105" s="31"/>
      <c r="G105" s="31"/>
      <c r="H105" s="31"/>
      <c r="I105" s="31"/>
      <c r="J105" s="33"/>
      <c r="K105" s="33"/>
      <c r="L105" s="33"/>
      <c r="M105" s="33"/>
      <c r="N105" s="33"/>
      <c r="O105" s="33"/>
      <c r="P105" s="33"/>
      <c r="Q105" s="33"/>
      <c r="R105" s="33"/>
      <c r="S105" s="33"/>
      <c r="T105" s="33"/>
      <c r="U105" s="10">
        <v>1</v>
      </c>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2.25" customHeight="1">
      <c r="A106" s="35"/>
      <c r="B106" s="31"/>
      <c r="C106" s="31"/>
      <c r="D106" s="31"/>
      <c r="E106" s="31"/>
      <c r="F106" s="31"/>
      <c r="G106" s="31"/>
      <c r="H106" s="31"/>
      <c r="I106" s="31"/>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2.25" customHeight="1">
      <c r="A107" s="28" t="s">
        <v>253</v>
      </c>
      <c r="B107" s="31"/>
      <c r="C107" s="31"/>
      <c r="D107" s="31"/>
      <c r="E107" s="31"/>
      <c r="F107" s="31"/>
      <c r="G107" s="31"/>
      <c r="H107" s="31"/>
      <c r="I107" s="31"/>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2.25" customHeight="1">
      <c r="A108" s="15" t="s">
        <v>45</v>
      </c>
      <c r="B108" s="14"/>
      <c r="C108" s="14"/>
      <c r="D108" s="14"/>
      <c r="E108" s="14"/>
      <c r="F108" s="14"/>
      <c r="G108" s="14"/>
      <c r="H108" s="14"/>
      <c r="I108" s="14"/>
      <c r="J108" s="14"/>
      <c r="K108" s="14"/>
      <c r="L108" s="14"/>
      <c r="M108" s="14"/>
      <c r="N108" s="14"/>
      <c r="O108" s="14"/>
      <c r="P108" s="14"/>
      <c r="Q108" s="14"/>
      <c r="R108" s="14"/>
      <c r="S108" s="14"/>
      <c r="T108" s="33"/>
      <c r="U108" s="16" t="s">
        <v>254</v>
      </c>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2.25" customHeight="1">
      <c r="A109" s="15" t="s">
        <v>46</v>
      </c>
      <c r="B109" s="14"/>
      <c r="C109" s="14"/>
      <c r="D109" s="14"/>
      <c r="E109" s="14"/>
      <c r="F109" s="14"/>
      <c r="G109" s="14"/>
      <c r="H109" s="14"/>
      <c r="I109" s="14"/>
      <c r="J109" s="14"/>
      <c r="K109" s="14"/>
      <c r="L109" s="14"/>
      <c r="M109" s="14"/>
      <c r="N109" s="14"/>
      <c r="O109" s="14"/>
      <c r="P109" s="14"/>
      <c r="Q109" s="14"/>
      <c r="R109" s="14"/>
      <c r="S109" s="14"/>
      <c r="T109" s="13"/>
      <c r="U109" s="16">
        <v>0.70249326086221142</v>
      </c>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2.25" customHeight="1">
      <c r="A110" s="15" t="s">
        <v>47</v>
      </c>
      <c r="B110" s="14"/>
      <c r="C110" s="14"/>
      <c r="D110" s="14"/>
      <c r="E110" s="14"/>
      <c r="F110" s="14"/>
      <c r="G110" s="14"/>
      <c r="H110" s="14"/>
      <c r="I110" s="14"/>
      <c r="J110" s="14"/>
      <c r="K110" s="14"/>
      <c r="L110" s="14"/>
      <c r="M110" s="14"/>
      <c r="N110" s="14"/>
      <c r="O110" s="14"/>
      <c r="P110" s="14"/>
      <c r="Q110" s="14"/>
      <c r="R110" s="14"/>
      <c r="S110" s="14"/>
      <c r="T110" s="13"/>
      <c r="U110" s="16">
        <v>0.62966323886435094</v>
      </c>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2.25" customHeight="1">
      <c r="A111" s="15" t="s">
        <v>48</v>
      </c>
      <c r="B111" s="14"/>
      <c r="C111" s="14"/>
      <c r="D111" s="14"/>
      <c r="E111" s="14"/>
      <c r="F111" s="14"/>
      <c r="G111" s="14"/>
      <c r="H111" s="14"/>
      <c r="I111" s="14"/>
      <c r="J111" s="14"/>
      <c r="K111" s="14"/>
      <c r="L111" s="14"/>
      <c r="M111" s="14"/>
      <c r="N111" s="14"/>
      <c r="O111" s="14"/>
      <c r="P111" s="14"/>
      <c r="Q111" s="14"/>
      <c r="R111" s="14"/>
      <c r="S111" s="14"/>
      <c r="T111" s="13"/>
      <c r="U111" s="16">
        <v>0.5</v>
      </c>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2.25" customHeight="1">
      <c r="A112" s="15" t="s">
        <v>182</v>
      </c>
      <c r="B112" s="14"/>
      <c r="C112" s="14"/>
      <c r="D112" s="14"/>
      <c r="E112" s="14"/>
      <c r="F112" s="14"/>
      <c r="G112" s="14"/>
      <c r="H112" s="14"/>
      <c r="I112" s="14"/>
      <c r="J112" s="14"/>
      <c r="K112" s="14"/>
      <c r="L112" s="14"/>
      <c r="M112" s="14"/>
      <c r="N112" s="14"/>
      <c r="O112" s="14"/>
      <c r="P112" s="14"/>
      <c r="Q112" s="14"/>
      <c r="R112" s="14"/>
      <c r="S112" s="14"/>
      <c r="T112" s="13"/>
      <c r="U112" s="16">
        <v>0.59008170977553098</v>
      </c>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2.25" customHeight="1">
      <c r="A113" s="15" t="s">
        <v>183</v>
      </c>
      <c r="B113" s="14"/>
      <c r="C113" s="14"/>
      <c r="D113" s="14"/>
      <c r="E113" s="14"/>
      <c r="F113" s="14"/>
      <c r="G113" s="14"/>
      <c r="H113" s="14"/>
      <c r="I113" s="14"/>
      <c r="J113" s="14"/>
      <c r="K113" s="14"/>
      <c r="L113" s="14"/>
      <c r="M113" s="14"/>
      <c r="N113" s="14"/>
      <c r="O113" s="14"/>
      <c r="P113" s="14"/>
      <c r="Q113" s="14"/>
      <c r="R113" s="14"/>
      <c r="S113" s="14"/>
      <c r="T113" s="13"/>
      <c r="U113" s="16">
        <v>0.53600000000000003</v>
      </c>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row>
  </sheetData>
  <dataConsolidate/>
  <mergeCells count="1">
    <mergeCell ref="U34:AA34"/>
  </mergeCells>
  <pageMargins left="0.70866141732283472" right="0.70866141732283472" top="0.74803149606299213" bottom="0.74803149606299213" header="0.31496062992125984" footer="0.31496062992125984"/>
  <pageSetup paperSize="8" scale="3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pageSetUpPr fitToPage="1"/>
  </sheetPr>
  <dimension ref="A1:AL58"/>
  <sheetViews>
    <sheetView zoomScaleNormal="100" workbookViewId="0">
      <pane xSplit="9" ySplit="1" topLeftCell="J22" activePane="bottomRight" state="frozen"/>
      <selection pane="topRight" activeCell="D1" sqref="D1"/>
      <selection pane="bottomLeft" activeCell="A2" sqref="A2"/>
      <selection pane="bottomRight" activeCell="U54" sqref="U54"/>
    </sheetView>
  </sheetViews>
  <sheetFormatPr defaultColWidth="4" defaultRowHeight="12.25" customHeight="1"/>
  <cols>
    <col min="1" max="1" width="28.6328125" style="196" bestFit="1" customWidth="1"/>
    <col min="2" max="2" width="4.81640625" style="196" bestFit="1" customWidth="1"/>
    <col min="3" max="3" width="5.36328125" style="196" customWidth="1"/>
    <col min="4" max="9" width="5.36328125" style="196" hidden="1" customWidth="1"/>
    <col min="10" max="12" width="4.36328125" style="196" bestFit="1" customWidth="1"/>
    <col min="13" max="21" width="5.08984375" style="196" bestFit="1" customWidth="1"/>
    <col min="22" max="38" width="4.36328125" style="196" bestFit="1" customWidth="1"/>
    <col min="39" max="65" width="4" style="196" customWidth="1"/>
    <col min="66" max="16384" width="4" style="196"/>
  </cols>
  <sheetData>
    <row r="1" spans="1:38" ht="12.25" customHeight="1">
      <c r="A1" s="34" t="s">
        <v>53</v>
      </c>
      <c r="B1" s="38"/>
      <c r="C1" s="38"/>
      <c r="D1" s="38"/>
      <c r="E1" s="38"/>
      <c r="F1" s="38"/>
      <c r="G1" s="38"/>
      <c r="H1" s="38"/>
      <c r="I1" s="38"/>
      <c r="J1" s="38">
        <f>+Inputs!J1</f>
        <v>2011</v>
      </c>
      <c r="K1" s="38">
        <f>+Inputs!K1</f>
        <v>2012</v>
      </c>
      <c r="L1" s="38">
        <f>+Inputs!L1</f>
        <v>2013</v>
      </c>
      <c r="M1" s="38">
        <f>+Inputs!M1</f>
        <v>2014</v>
      </c>
      <c r="N1" s="38">
        <f>+Inputs!N1</f>
        <v>2015</v>
      </c>
      <c r="O1" s="38">
        <f>+Inputs!O1</f>
        <v>2016</v>
      </c>
      <c r="P1" s="38">
        <f>+Inputs!P1</f>
        <v>2017</v>
      </c>
      <c r="Q1" s="38">
        <f>+Inputs!Q1</f>
        <v>2018</v>
      </c>
      <c r="R1" s="38">
        <f>+Inputs!R1</f>
        <v>2019</v>
      </c>
      <c r="S1" s="38">
        <f>+Inputs!S1</f>
        <v>2020</v>
      </c>
      <c r="T1" s="38">
        <f>+Inputs!T1</f>
        <v>2021</v>
      </c>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row>
    <row r="2" spans="1:38" ht="12.25" customHeight="1">
      <c r="A2" s="30"/>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2.25" customHeight="1">
      <c r="A3" s="34" t="s">
        <v>268</v>
      </c>
      <c r="B3" s="90">
        <f>+Inputs!K28</f>
        <v>242.7</v>
      </c>
      <c r="C3" s="90"/>
      <c r="D3" s="90"/>
      <c r="E3" s="90"/>
      <c r="F3" s="90"/>
      <c r="G3" s="90"/>
      <c r="H3" s="90"/>
      <c r="I3" s="90"/>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2.25" customHeight="1">
      <c r="A4" s="29" t="s">
        <v>129</v>
      </c>
      <c r="B4" s="36"/>
      <c r="C4" s="36"/>
      <c r="D4" s="36"/>
      <c r="E4" s="36"/>
      <c r="F4" s="36"/>
      <c r="G4" s="36"/>
      <c r="H4" s="36"/>
      <c r="I4" s="36"/>
      <c r="J4" s="41"/>
      <c r="K4" s="41"/>
      <c r="L4" s="41"/>
      <c r="M4" s="41">
        <f>+Inputs!M54</f>
        <v>10405.388319749683</v>
      </c>
      <c r="N4" s="41">
        <f>+Inputs!N54</f>
        <v>8750.78155184364</v>
      </c>
      <c r="O4" s="41">
        <f>+Inputs!O54</f>
        <v>7928.9938559655548</v>
      </c>
      <c r="P4" s="41"/>
      <c r="Q4" s="41"/>
      <c r="R4" s="41"/>
      <c r="S4" s="41"/>
      <c r="T4" s="41"/>
      <c r="U4" s="41"/>
      <c r="V4" s="41"/>
      <c r="W4" s="41"/>
      <c r="X4" s="33"/>
      <c r="Y4" s="41"/>
      <c r="Z4" s="41"/>
      <c r="AA4" s="41"/>
      <c r="AB4" s="41"/>
      <c r="AC4" s="41"/>
      <c r="AD4" s="41"/>
      <c r="AE4" s="41"/>
      <c r="AF4" s="41"/>
      <c r="AG4" s="41"/>
      <c r="AH4" s="41"/>
      <c r="AI4" s="41"/>
      <c r="AJ4" s="41"/>
      <c r="AK4" s="41"/>
      <c r="AL4" s="41"/>
    </row>
    <row r="5" spans="1:38" ht="12.25" customHeight="1">
      <c r="A5" s="29" t="s">
        <v>130</v>
      </c>
      <c r="B5" s="36"/>
      <c r="C5" s="36"/>
      <c r="D5" s="36"/>
      <c r="E5" s="36"/>
      <c r="F5" s="36"/>
      <c r="G5" s="36"/>
      <c r="H5" s="36"/>
      <c r="I5" s="36"/>
      <c r="J5" s="41"/>
      <c r="K5" s="41"/>
      <c r="L5" s="41"/>
      <c r="M5" s="41">
        <f>+Inputs!M55</f>
        <v>1028.354</v>
      </c>
      <c r="N5" s="41">
        <f>+Inputs!N55</f>
        <v>978.99</v>
      </c>
      <c r="O5" s="41">
        <f>+Inputs!O55</f>
        <v>890.81899999999996</v>
      </c>
      <c r="P5" s="41"/>
      <c r="Q5" s="41"/>
      <c r="R5" s="41"/>
      <c r="S5" s="41"/>
      <c r="T5" s="41"/>
      <c r="U5" s="41"/>
      <c r="V5" s="41"/>
      <c r="W5" s="41"/>
      <c r="X5" s="33"/>
      <c r="Y5" s="41"/>
      <c r="Z5" s="41"/>
      <c r="AA5" s="41"/>
      <c r="AB5" s="41"/>
      <c r="AC5" s="41"/>
      <c r="AD5" s="41"/>
      <c r="AE5" s="41"/>
      <c r="AF5" s="41"/>
      <c r="AG5" s="41"/>
      <c r="AH5" s="41"/>
      <c r="AI5" s="41"/>
      <c r="AJ5" s="41"/>
      <c r="AK5" s="41"/>
      <c r="AL5" s="41"/>
    </row>
    <row r="6" spans="1:38" ht="12.25" customHeight="1">
      <c r="A6" s="29" t="s">
        <v>131</v>
      </c>
      <c r="B6" s="36"/>
      <c r="C6" s="36"/>
      <c r="D6" s="36"/>
      <c r="E6" s="36"/>
      <c r="F6" s="36"/>
      <c r="G6" s="36"/>
      <c r="H6" s="36"/>
      <c r="I6" s="36"/>
      <c r="J6" s="41"/>
      <c r="K6" s="41"/>
      <c r="L6" s="41"/>
      <c r="M6" s="41">
        <f>+Inputs!M56</f>
        <v>147.00000000000026</v>
      </c>
      <c r="N6" s="41">
        <f>+Inputs!N56</f>
        <v>46.999999999999993</v>
      </c>
      <c r="O6" s="41">
        <f>+Inputs!O56</f>
        <v>31</v>
      </c>
      <c r="P6" s="41"/>
      <c r="Q6" s="41"/>
      <c r="R6" s="41"/>
      <c r="S6" s="41"/>
      <c r="T6" s="41"/>
      <c r="U6" s="41"/>
      <c r="V6" s="41"/>
      <c r="W6" s="41"/>
      <c r="X6" s="33"/>
      <c r="Y6" s="41"/>
      <c r="Z6" s="41"/>
      <c r="AA6" s="41"/>
      <c r="AB6" s="41"/>
      <c r="AC6" s="41"/>
      <c r="AD6" s="41"/>
      <c r="AE6" s="41"/>
      <c r="AF6" s="41"/>
      <c r="AG6" s="41"/>
      <c r="AH6" s="41"/>
      <c r="AI6" s="41"/>
      <c r="AJ6" s="41"/>
      <c r="AK6" s="41"/>
      <c r="AL6" s="41"/>
    </row>
    <row r="7" spans="1:38" ht="12.25" customHeight="1">
      <c r="A7" s="27" t="s">
        <v>128</v>
      </c>
      <c r="B7" s="33"/>
      <c r="C7" s="33"/>
      <c r="D7" s="33"/>
      <c r="E7" s="33"/>
      <c r="F7" s="33"/>
      <c r="G7" s="33"/>
      <c r="H7" s="33"/>
      <c r="I7" s="33"/>
      <c r="J7" s="48"/>
      <c r="K7" s="48"/>
      <c r="L7" s="48"/>
      <c r="M7" s="48">
        <f>SUM(M4:M6)</f>
        <v>11580.742319749683</v>
      </c>
      <c r="N7" s="48">
        <f>SUM(N4:N6)</f>
        <v>9776.7715518436398</v>
      </c>
      <c r="O7" s="48">
        <f>SUM(O4:O6)</f>
        <v>8850.8128559655543</v>
      </c>
      <c r="P7" s="48"/>
      <c r="Q7" s="48"/>
      <c r="R7" s="48"/>
      <c r="S7" s="48"/>
      <c r="T7" s="48"/>
      <c r="U7" s="48"/>
      <c r="V7" s="44"/>
      <c r="W7" s="44"/>
      <c r="X7" s="33"/>
      <c r="Y7" s="44"/>
      <c r="Z7" s="44"/>
      <c r="AA7" s="44"/>
      <c r="AB7" s="44"/>
      <c r="AC7" s="44"/>
      <c r="AD7" s="44"/>
      <c r="AE7" s="44"/>
      <c r="AF7" s="44"/>
      <c r="AG7" s="44"/>
      <c r="AH7" s="44"/>
      <c r="AI7" s="44"/>
      <c r="AJ7" s="44"/>
      <c r="AK7" s="44"/>
      <c r="AL7" s="44"/>
    </row>
    <row r="8" spans="1:38" ht="12.25" customHeight="1">
      <c r="A8" s="27"/>
      <c r="B8" s="33"/>
      <c r="C8" s="33"/>
      <c r="D8" s="33"/>
      <c r="E8" s="33"/>
      <c r="F8" s="33"/>
      <c r="G8" s="33"/>
      <c r="H8" s="33"/>
      <c r="I8" s="33"/>
      <c r="J8" s="44"/>
      <c r="K8" s="44"/>
      <c r="L8" s="44"/>
      <c r="M8" s="44"/>
      <c r="N8" s="44"/>
      <c r="O8" s="44"/>
      <c r="P8" s="44"/>
      <c r="Q8" s="44"/>
      <c r="R8" s="44"/>
      <c r="S8" s="44"/>
      <c r="T8" s="44"/>
      <c r="U8" s="44"/>
      <c r="V8" s="44"/>
      <c r="W8" s="44"/>
      <c r="X8" s="33"/>
      <c r="Y8" s="44"/>
      <c r="Z8" s="44"/>
      <c r="AA8" s="44"/>
      <c r="AB8" s="44"/>
      <c r="AC8" s="44"/>
      <c r="AD8" s="44"/>
      <c r="AE8" s="44"/>
      <c r="AF8" s="44"/>
      <c r="AG8" s="44"/>
      <c r="AH8" s="44"/>
      <c r="AI8" s="44"/>
      <c r="AJ8" s="44"/>
      <c r="AK8" s="44"/>
      <c r="AL8" s="44"/>
    </row>
    <row r="9" spans="1:38" ht="12.25" customHeight="1">
      <c r="A9" s="34" t="s">
        <v>274</v>
      </c>
      <c r="B9" s="90"/>
      <c r="C9" s="90"/>
      <c r="D9" s="90"/>
      <c r="E9" s="90"/>
      <c r="F9" s="90"/>
      <c r="G9" s="90"/>
      <c r="H9" s="90"/>
      <c r="I9" s="90"/>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2.25" customHeight="1">
      <c r="A10" s="29" t="s">
        <v>129</v>
      </c>
      <c r="B10" s="36"/>
      <c r="C10" s="36"/>
      <c r="D10" s="36"/>
      <c r="E10" s="36"/>
      <c r="F10" s="36"/>
      <c r="G10" s="36"/>
      <c r="H10" s="36"/>
      <c r="I10" s="36"/>
      <c r="J10" s="41"/>
      <c r="K10" s="41"/>
      <c r="L10" s="41"/>
      <c r="M10" s="33">
        <f>+Inputs!M60</f>
        <v>-4417.295546409543</v>
      </c>
      <c r="N10" s="33">
        <f>+Inputs!N60</f>
        <v>183.84584407000344</v>
      </c>
      <c r="O10" s="33">
        <f>+Inputs!O60</f>
        <v>2683.7226307814099</v>
      </c>
      <c r="P10" s="41"/>
      <c r="Q10" s="41"/>
      <c r="R10" s="41"/>
      <c r="S10" s="41"/>
      <c r="T10" s="41"/>
      <c r="U10" s="41"/>
      <c r="V10" s="41"/>
      <c r="W10" s="41"/>
      <c r="X10" s="33"/>
      <c r="Y10" s="41"/>
      <c r="Z10" s="41"/>
      <c r="AA10" s="41"/>
      <c r="AB10" s="41"/>
      <c r="AC10" s="41"/>
      <c r="AD10" s="41"/>
      <c r="AE10" s="41"/>
      <c r="AF10" s="41"/>
      <c r="AG10" s="41"/>
      <c r="AH10" s="41"/>
      <c r="AI10" s="41"/>
      <c r="AJ10" s="41"/>
      <c r="AK10" s="41"/>
      <c r="AL10" s="41"/>
    </row>
    <row r="11" spans="1:38" ht="12.25" customHeight="1">
      <c r="A11" s="29" t="s">
        <v>130</v>
      </c>
      <c r="B11" s="36"/>
      <c r="C11" s="36"/>
      <c r="D11" s="36"/>
      <c r="E11" s="36"/>
      <c r="F11" s="36"/>
      <c r="G11" s="36"/>
      <c r="H11" s="36"/>
      <c r="I11" s="36"/>
      <c r="J11" s="41"/>
      <c r="K11" s="41"/>
      <c r="L11" s="41"/>
      <c r="M11" s="33">
        <f>+Inputs!M61</f>
        <v>-1.6072092447916788</v>
      </c>
      <c r="N11" s="33">
        <f>+Inputs!N61</f>
        <v>-26.555457291666649</v>
      </c>
      <c r="O11" s="33">
        <f>+Inputs!O61</f>
        <v>119.17451549479172</v>
      </c>
      <c r="P11" s="41"/>
      <c r="Q11" s="41"/>
      <c r="R11" s="41"/>
      <c r="S11" s="41"/>
      <c r="T11" s="41"/>
      <c r="U11" s="41"/>
      <c r="V11" s="41"/>
      <c r="W11" s="41"/>
      <c r="X11" s="33"/>
      <c r="Y11" s="41"/>
      <c r="Z11" s="41"/>
      <c r="AA11" s="41"/>
      <c r="AB11" s="41"/>
      <c r="AC11" s="41"/>
      <c r="AD11" s="41"/>
      <c r="AE11" s="41"/>
      <c r="AF11" s="41"/>
      <c r="AG11" s="41"/>
      <c r="AH11" s="41"/>
      <c r="AI11" s="41"/>
      <c r="AJ11" s="41"/>
      <c r="AK11" s="41"/>
      <c r="AL11" s="41"/>
    </row>
    <row r="12" spans="1:38" ht="12.25" customHeight="1">
      <c r="A12" s="29" t="s">
        <v>131</v>
      </c>
      <c r="B12" s="36"/>
      <c r="C12" s="36"/>
      <c r="D12" s="36"/>
      <c r="E12" s="36"/>
      <c r="F12" s="36"/>
      <c r="G12" s="36"/>
      <c r="H12" s="36"/>
      <c r="I12" s="36"/>
      <c r="J12" s="41"/>
      <c r="K12" s="41"/>
      <c r="L12" s="41"/>
      <c r="M12" s="33">
        <f>+Inputs!M62</f>
        <v>-3.853346817708319</v>
      </c>
      <c r="N12" s="33">
        <f>+Inputs!N62</f>
        <v>0</v>
      </c>
      <c r="O12" s="33">
        <f>+Inputs!O62</f>
        <v>0</v>
      </c>
      <c r="P12" s="41"/>
      <c r="Q12" s="41"/>
      <c r="R12" s="41"/>
      <c r="S12" s="41"/>
      <c r="T12" s="41"/>
      <c r="U12" s="41"/>
      <c r="V12" s="41"/>
      <c r="W12" s="41"/>
      <c r="X12" s="33"/>
      <c r="Y12" s="41"/>
      <c r="Z12" s="41"/>
      <c r="AA12" s="41"/>
      <c r="AB12" s="41"/>
      <c r="AC12" s="41"/>
      <c r="AD12" s="41"/>
      <c r="AE12" s="41"/>
      <c r="AF12" s="41"/>
      <c r="AG12" s="41"/>
      <c r="AH12" s="41"/>
      <c r="AI12" s="41"/>
      <c r="AJ12" s="41"/>
      <c r="AK12" s="41"/>
      <c r="AL12" s="41"/>
    </row>
    <row r="13" spans="1:38" ht="12.25" customHeight="1">
      <c r="A13" s="27" t="s">
        <v>128</v>
      </c>
      <c r="B13" s="33"/>
      <c r="C13" s="33"/>
      <c r="D13" s="33"/>
      <c r="E13" s="33"/>
      <c r="F13" s="33"/>
      <c r="G13" s="33"/>
      <c r="H13" s="33"/>
      <c r="I13" s="33"/>
      <c r="J13" s="48"/>
      <c r="K13" s="48"/>
      <c r="L13" s="48"/>
      <c r="M13" s="48">
        <f>SUM(M10:M12)</f>
        <v>-4422.7561024720435</v>
      </c>
      <c r="N13" s="48">
        <f t="shared" ref="N13:O13" si="0">SUM(N10:N12)</f>
        <v>157.2903867783368</v>
      </c>
      <c r="O13" s="48">
        <f t="shared" si="0"/>
        <v>2802.8971462762015</v>
      </c>
      <c r="P13" s="48"/>
      <c r="Q13" s="48"/>
      <c r="R13" s="48"/>
      <c r="S13" s="48"/>
      <c r="T13" s="48"/>
      <c r="U13" s="48"/>
      <c r="V13" s="44"/>
      <c r="W13" s="44"/>
      <c r="X13" s="33"/>
      <c r="Y13" s="44"/>
      <c r="Z13" s="44"/>
      <c r="AA13" s="44"/>
      <c r="AB13" s="44"/>
      <c r="AC13" s="44"/>
      <c r="AD13" s="44"/>
      <c r="AE13" s="44"/>
      <c r="AF13" s="44"/>
      <c r="AG13" s="44"/>
      <c r="AH13" s="44"/>
      <c r="AI13" s="44"/>
      <c r="AJ13" s="44"/>
      <c r="AK13" s="44"/>
      <c r="AL13" s="44"/>
    </row>
    <row r="14" spans="1:38" ht="12.25" customHeight="1">
      <c r="A14" s="27"/>
      <c r="B14" s="33"/>
      <c r="C14" s="33"/>
      <c r="D14" s="33"/>
      <c r="E14" s="33"/>
      <c r="F14" s="33"/>
      <c r="G14" s="33"/>
      <c r="H14" s="33"/>
      <c r="I14" s="33"/>
      <c r="J14" s="44"/>
      <c r="K14" s="44"/>
      <c r="L14" s="44"/>
      <c r="M14" s="44"/>
      <c r="N14" s="44"/>
      <c r="O14" s="44"/>
      <c r="P14" s="44"/>
      <c r="Q14" s="44"/>
      <c r="R14" s="44"/>
      <c r="S14" s="44"/>
      <c r="T14" s="44"/>
      <c r="U14" s="44"/>
      <c r="V14" s="44"/>
      <c r="W14" s="44"/>
      <c r="X14" s="33"/>
      <c r="Y14" s="44"/>
      <c r="Z14" s="44"/>
      <c r="AA14" s="44"/>
      <c r="AB14" s="44"/>
      <c r="AC14" s="44"/>
      <c r="AD14" s="44"/>
      <c r="AE14" s="44"/>
      <c r="AF14" s="44"/>
      <c r="AG14" s="44"/>
      <c r="AH14" s="44"/>
      <c r="AI14" s="44"/>
      <c r="AJ14" s="44"/>
      <c r="AK14" s="44"/>
      <c r="AL14" s="44"/>
    </row>
    <row r="15" spans="1:38" ht="12.25" customHeight="1">
      <c r="A15" s="34" t="s">
        <v>275</v>
      </c>
      <c r="B15" s="90"/>
      <c r="C15" s="90"/>
      <c r="D15" s="90"/>
      <c r="E15" s="90"/>
      <c r="F15" s="90"/>
      <c r="G15" s="90"/>
      <c r="H15" s="90"/>
      <c r="I15" s="90"/>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ht="12.25" customHeight="1">
      <c r="A16" s="29" t="s">
        <v>129</v>
      </c>
      <c r="B16" s="36"/>
      <c r="C16" s="36"/>
      <c r="D16" s="36"/>
      <c r="E16" s="36"/>
      <c r="F16" s="36"/>
      <c r="G16" s="36"/>
      <c r="H16" s="36"/>
      <c r="I16" s="36"/>
      <c r="J16" s="41"/>
      <c r="K16" s="41"/>
      <c r="L16" s="41"/>
      <c r="M16" s="41">
        <f>+M4+M10</f>
        <v>5988.0927733401404</v>
      </c>
      <c r="N16" s="41">
        <f t="shared" ref="N16:O16" si="1">+N4+N10</f>
        <v>8934.6273959136433</v>
      </c>
      <c r="O16" s="41">
        <f t="shared" si="1"/>
        <v>10612.716486746966</v>
      </c>
      <c r="P16" s="41"/>
      <c r="Q16" s="41"/>
      <c r="R16" s="41"/>
      <c r="S16" s="41"/>
      <c r="T16" s="41"/>
      <c r="U16" s="41"/>
      <c r="V16" s="41"/>
      <c r="W16" s="41"/>
      <c r="X16" s="33"/>
      <c r="Y16" s="41"/>
      <c r="Z16" s="41"/>
      <c r="AA16" s="41"/>
      <c r="AB16" s="41"/>
      <c r="AC16" s="41"/>
      <c r="AD16" s="41"/>
      <c r="AE16" s="41"/>
      <c r="AF16" s="41"/>
      <c r="AG16" s="41"/>
      <c r="AH16" s="41"/>
      <c r="AI16" s="41"/>
      <c r="AJ16" s="41"/>
      <c r="AK16" s="41"/>
      <c r="AL16" s="41"/>
    </row>
    <row r="17" spans="1:38" ht="12.25" customHeight="1">
      <c r="A17" s="29" t="s">
        <v>130</v>
      </c>
      <c r="B17" s="36"/>
      <c r="C17" s="36"/>
      <c r="D17" s="36"/>
      <c r="E17" s="36"/>
      <c r="F17" s="36"/>
      <c r="G17" s="36"/>
      <c r="H17" s="36"/>
      <c r="I17" s="36"/>
      <c r="J17" s="41"/>
      <c r="K17" s="41"/>
      <c r="L17" s="41"/>
      <c r="M17" s="41">
        <f t="shared" ref="M17:O18" si="2">+M5+M11</f>
        <v>1026.7467907552084</v>
      </c>
      <c r="N17" s="41">
        <f t="shared" si="2"/>
        <v>952.43454270833331</v>
      </c>
      <c r="O17" s="41">
        <f t="shared" si="2"/>
        <v>1009.9935154947917</v>
      </c>
      <c r="P17" s="41"/>
      <c r="Q17" s="41"/>
      <c r="R17" s="41"/>
      <c r="S17" s="41"/>
      <c r="T17" s="41"/>
      <c r="U17" s="41"/>
      <c r="V17" s="41"/>
      <c r="W17" s="41"/>
      <c r="X17" s="33"/>
      <c r="Y17" s="41"/>
      <c r="Z17" s="41"/>
      <c r="AA17" s="41"/>
      <c r="AB17" s="41"/>
      <c r="AC17" s="41"/>
      <c r="AD17" s="41"/>
      <c r="AE17" s="41"/>
      <c r="AF17" s="41"/>
      <c r="AG17" s="41"/>
      <c r="AH17" s="41"/>
      <c r="AI17" s="41"/>
      <c r="AJ17" s="41"/>
      <c r="AK17" s="41"/>
      <c r="AL17" s="41"/>
    </row>
    <row r="18" spans="1:38" ht="12.25" customHeight="1">
      <c r="A18" s="29" t="s">
        <v>131</v>
      </c>
      <c r="B18" s="36"/>
      <c r="C18" s="36"/>
      <c r="D18" s="36"/>
      <c r="E18" s="36"/>
      <c r="F18" s="36"/>
      <c r="G18" s="36"/>
      <c r="H18" s="36"/>
      <c r="I18" s="36"/>
      <c r="J18" s="41"/>
      <c r="K18" s="41"/>
      <c r="L18" s="41"/>
      <c r="M18" s="41">
        <f t="shared" si="2"/>
        <v>143.14665318229194</v>
      </c>
      <c r="N18" s="41">
        <f t="shared" si="2"/>
        <v>46.999999999999993</v>
      </c>
      <c r="O18" s="41">
        <f t="shared" si="2"/>
        <v>31</v>
      </c>
      <c r="P18" s="41"/>
      <c r="Q18" s="41"/>
      <c r="R18" s="41"/>
      <c r="S18" s="41"/>
      <c r="T18" s="41"/>
      <c r="U18" s="41"/>
      <c r="V18" s="41"/>
      <c r="W18" s="41"/>
      <c r="X18" s="33"/>
      <c r="Y18" s="41"/>
      <c r="Z18" s="41"/>
      <c r="AA18" s="41"/>
      <c r="AB18" s="41"/>
      <c r="AC18" s="41"/>
      <c r="AD18" s="41"/>
      <c r="AE18" s="41"/>
      <c r="AF18" s="41"/>
      <c r="AG18" s="41"/>
      <c r="AH18" s="41"/>
      <c r="AI18" s="41"/>
      <c r="AJ18" s="41"/>
      <c r="AK18" s="41"/>
      <c r="AL18" s="41"/>
    </row>
    <row r="19" spans="1:38" ht="12.25" customHeight="1">
      <c r="A19" s="27" t="s">
        <v>128</v>
      </c>
      <c r="B19" s="33"/>
      <c r="C19" s="33"/>
      <c r="D19" s="33"/>
      <c r="E19" s="33"/>
      <c r="F19" s="33"/>
      <c r="G19" s="33"/>
      <c r="H19" s="33"/>
      <c r="I19" s="33"/>
      <c r="J19" s="48"/>
      <c r="K19" s="48"/>
      <c r="L19" s="48"/>
      <c r="M19" s="48">
        <f>SUM(M16:M18)</f>
        <v>7157.9862172776402</v>
      </c>
      <c r="N19" s="48">
        <f>SUM(N16:N18)</f>
        <v>9934.0619386219769</v>
      </c>
      <c r="O19" s="48">
        <f>SUM(O16:O18)</f>
        <v>11653.710002241758</v>
      </c>
      <c r="P19" s="48"/>
      <c r="Q19" s="48"/>
      <c r="R19" s="48"/>
      <c r="S19" s="48"/>
      <c r="T19" s="48"/>
      <c r="U19" s="48"/>
      <c r="V19" s="44"/>
      <c r="W19" s="44"/>
      <c r="X19" s="33"/>
      <c r="Y19" s="44"/>
      <c r="Z19" s="44"/>
      <c r="AA19" s="44"/>
      <c r="AB19" s="44"/>
      <c r="AC19" s="44"/>
      <c r="AD19" s="44"/>
      <c r="AE19" s="44"/>
      <c r="AF19" s="44"/>
      <c r="AG19" s="44"/>
      <c r="AH19" s="44"/>
      <c r="AI19" s="44"/>
      <c r="AJ19" s="44"/>
      <c r="AK19" s="44"/>
      <c r="AL19" s="44"/>
    </row>
    <row r="20" spans="1:38" ht="12.25" customHeight="1">
      <c r="A20" s="30"/>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12.25" customHeight="1">
      <c r="A21" s="34" t="s">
        <v>276</v>
      </c>
      <c r="B21" s="90"/>
      <c r="C21" s="90"/>
      <c r="D21" s="90"/>
      <c r="E21" s="90"/>
      <c r="F21" s="90"/>
      <c r="G21" s="90"/>
      <c r="H21" s="90"/>
      <c r="I21" s="90"/>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25" customHeight="1">
      <c r="A22" s="29" t="s">
        <v>129</v>
      </c>
      <c r="B22" s="36"/>
      <c r="C22" s="36"/>
      <c r="D22" s="36"/>
      <c r="E22" s="36"/>
      <c r="F22" s="36"/>
      <c r="G22" s="36"/>
      <c r="H22" s="36"/>
      <c r="I22" s="36"/>
      <c r="J22" s="41"/>
      <c r="K22" s="41"/>
      <c r="L22" s="41"/>
      <c r="M22" s="41">
        <f>+M16/$B$3*$B$27</f>
        <v>6316.2412442318746</v>
      </c>
      <c r="N22" s="41">
        <f t="shared" ref="N22:O22" si="3">+N16/$B$3*$B$27</f>
        <v>9424.2464497482197</v>
      </c>
      <c r="O22" s="41">
        <f t="shared" si="3"/>
        <v>11194.295099329309</v>
      </c>
      <c r="P22" s="41"/>
      <c r="Q22" s="41"/>
      <c r="R22" s="41"/>
      <c r="S22" s="41"/>
      <c r="T22" s="41"/>
      <c r="U22" s="41"/>
      <c r="V22" s="33"/>
      <c r="W22" s="33"/>
      <c r="X22" s="33"/>
      <c r="Y22" s="33"/>
      <c r="Z22" s="33"/>
      <c r="AA22" s="33"/>
      <c r="AB22" s="33"/>
      <c r="AC22" s="33"/>
      <c r="AD22" s="33"/>
      <c r="AE22" s="33"/>
      <c r="AF22" s="33"/>
      <c r="AG22" s="33"/>
      <c r="AH22" s="33"/>
      <c r="AI22" s="33"/>
      <c r="AJ22" s="33"/>
      <c r="AK22" s="33"/>
      <c r="AL22" s="33"/>
    </row>
    <row r="23" spans="1:38" ht="12.25" customHeight="1">
      <c r="A23" s="29" t="s">
        <v>130</v>
      </c>
      <c r="B23" s="36"/>
      <c r="C23" s="36"/>
      <c r="D23" s="36"/>
      <c r="E23" s="36"/>
      <c r="F23" s="36"/>
      <c r="G23" s="36"/>
      <c r="H23" s="36"/>
      <c r="I23" s="36"/>
      <c r="J23" s="41"/>
      <c r="K23" s="41"/>
      <c r="L23" s="41"/>
      <c r="M23" s="41">
        <f t="shared" ref="M23:O24" si="4">+M17/$B$3*$B$27</f>
        <v>1083.0126841093258</v>
      </c>
      <c r="N23" s="41">
        <f t="shared" si="4"/>
        <v>1004.6281126218926</v>
      </c>
      <c r="O23" s="41">
        <f t="shared" si="4"/>
        <v>1065.3413266034886</v>
      </c>
      <c r="P23" s="41"/>
      <c r="Q23" s="41"/>
      <c r="R23" s="41"/>
      <c r="S23" s="41"/>
      <c r="T23" s="41"/>
      <c r="U23" s="41"/>
      <c r="V23" s="33"/>
      <c r="W23" s="33"/>
      <c r="X23" s="33"/>
      <c r="Y23" s="33"/>
      <c r="Z23" s="33"/>
      <c r="AA23" s="33"/>
      <c r="AB23" s="33"/>
      <c r="AC23" s="33"/>
      <c r="AD23" s="33"/>
      <c r="AE23" s="33"/>
      <c r="AF23" s="33"/>
      <c r="AG23" s="33"/>
      <c r="AH23" s="33"/>
      <c r="AI23" s="33"/>
      <c r="AJ23" s="33"/>
      <c r="AK23" s="33"/>
      <c r="AL23" s="33"/>
    </row>
    <row r="24" spans="1:38" ht="12.25" customHeight="1">
      <c r="A24" s="29" t="s">
        <v>131</v>
      </c>
      <c r="B24" s="36"/>
      <c r="C24" s="36"/>
      <c r="D24" s="36"/>
      <c r="E24" s="36"/>
      <c r="F24" s="36"/>
      <c r="G24" s="36"/>
      <c r="H24" s="36"/>
      <c r="I24" s="36"/>
      <c r="J24" s="41"/>
      <c r="K24" s="41"/>
      <c r="L24" s="41"/>
      <c r="M24" s="41">
        <f t="shared" si="4"/>
        <v>150.99111336904301</v>
      </c>
      <c r="N24" s="41">
        <f t="shared" si="4"/>
        <v>49.575607746188702</v>
      </c>
      <c r="O24" s="41">
        <f t="shared" si="4"/>
        <v>32.698805109188299</v>
      </c>
      <c r="P24" s="41"/>
      <c r="Q24" s="41"/>
      <c r="R24" s="41"/>
      <c r="S24" s="41"/>
      <c r="T24" s="41"/>
      <c r="U24" s="41"/>
      <c r="V24" s="33"/>
      <c r="W24" s="33"/>
      <c r="X24" s="33"/>
      <c r="Y24" s="33"/>
      <c r="Z24" s="33"/>
      <c r="AA24" s="33"/>
      <c r="AB24" s="33"/>
      <c r="AC24" s="33"/>
      <c r="AD24" s="33"/>
      <c r="AE24" s="33"/>
      <c r="AF24" s="33"/>
      <c r="AG24" s="33"/>
      <c r="AH24" s="33"/>
      <c r="AI24" s="33"/>
      <c r="AJ24" s="33"/>
      <c r="AK24" s="33"/>
      <c r="AL24" s="33"/>
    </row>
    <row r="25" spans="1:38" ht="12.25" customHeight="1">
      <c r="A25" s="27" t="s">
        <v>128</v>
      </c>
      <c r="B25" s="33"/>
      <c r="C25" s="33"/>
      <c r="D25" s="33"/>
      <c r="E25" s="33"/>
      <c r="F25" s="33"/>
      <c r="G25" s="33"/>
      <c r="H25" s="33"/>
      <c r="I25" s="33"/>
      <c r="J25" s="48"/>
      <c r="K25" s="48"/>
      <c r="L25" s="48"/>
      <c r="M25" s="48">
        <f>SUM(M22:M24)</f>
        <v>7550.2450417102436</v>
      </c>
      <c r="N25" s="48">
        <f>SUM(N22:N24)</f>
        <v>10478.450170116301</v>
      </c>
      <c r="O25" s="48">
        <f>SUM(O22:O24)</f>
        <v>12292.335231041985</v>
      </c>
      <c r="P25" s="48"/>
      <c r="Q25" s="48"/>
      <c r="R25" s="48"/>
      <c r="S25" s="48"/>
      <c r="T25" s="48"/>
      <c r="U25" s="48"/>
      <c r="V25" s="33"/>
      <c r="W25" s="33"/>
      <c r="X25" s="33"/>
      <c r="Y25" s="33"/>
      <c r="Z25" s="33"/>
      <c r="AA25" s="33"/>
      <c r="AB25" s="33"/>
      <c r="AC25" s="33"/>
      <c r="AD25" s="33"/>
      <c r="AE25" s="33"/>
      <c r="AF25" s="33"/>
      <c r="AG25" s="33"/>
      <c r="AH25" s="33"/>
      <c r="AI25" s="33"/>
      <c r="AJ25" s="33"/>
      <c r="AK25" s="33"/>
      <c r="AL25" s="33"/>
    </row>
    <row r="26" spans="1:38" ht="12.25" customHeight="1">
      <c r="A26" s="30"/>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1:38" ht="12.25" customHeight="1">
      <c r="A27" s="34" t="s">
        <v>191</v>
      </c>
      <c r="B27" s="90">
        <f>+Inputs!M28</f>
        <v>256</v>
      </c>
      <c r="C27" s="90"/>
      <c r="D27" s="90"/>
      <c r="E27" s="90"/>
      <c r="F27" s="90"/>
      <c r="G27" s="90"/>
      <c r="H27" s="90"/>
      <c r="I27" s="90"/>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2.25" customHeight="1">
      <c r="A28" s="29" t="s">
        <v>129</v>
      </c>
      <c r="B28" s="36"/>
      <c r="C28" s="36"/>
      <c r="D28" s="36"/>
      <c r="E28" s="36"/>
      <c r="F28" s="36"/>
      <c r="G28" s="36"/>
      <c r="H28" s="36"/>
      <c r="I28" s="36"/>
      <c r="J28" s="41"/>
      <c r="K28" s="41"/>
      <c r="L28" s="41"/>
      <c r="M28" s="41"/>
      <c r="N28" s="41"/>
      <c r="O28" s="41"/>
      <c r="P28" s="33">
        <f>+Inputs!P66</f>
        <v>15151.923223385147</v>
      </c>
      <c r="Q28" s="33">
        <f>+Inputs!Q66</f>
        <v>12704.52278355015</v>
      </c>
      <c r="R28" s="33">
        <f>+Inputs!R66</f>
        <v>12817.754097996376</v>
      </c>
      <c r="S28" s="33">
        <f>+Inputs!S66</f>
        <v>13005.416208427849</v>
      </c>
      <c r="T28" s="33">
        <f>+Inputs!T66</f>
        <v>13271.924538960326</v>
      </c>
      <c r="U28" s="33">
        <f>+Inputs!U66</f>
        <v>13512.460412379418</v>
      </c>
      <c r="V28" s="33"/>
      <c r="W28" s="33"/>
      <c r="X28" s="33"/>
      <c r="Y28" s="33"/>
      <c r="Z28" s="33"/>
      <c r="AA28" s="33"/>
      <c r="AB28" s="33"/>
      <c r="AC28" s="33"/>
      <c r="AD28" s="33"/>
      <c r="AE28" s="33"/>
      <c r="AF28" s="33"/>
      <c r="AG28" s="33"/>
      <c r="AH28" s="33"/>
      <c r="AI28" s="33"/>
      <c r="AJ28" s="33"/>
      <c r="AK28" s="33"/>
      <c r="AL28" s="33"/>
    </row>
    <row r="29" spans="1:38" ht="12.25" customHeight="1">
      <c r="A29" s="29" t="s">
        <v>130</v>
      </c>
      <c r="B29" s="36"/>
      <c r="C29" s="36"/>
      <c r="D29" s="36"/>
      <c r="E29" s="36"/>
      <c r="F29" s="36"/>
      <c r="G29" s="36"/>
      <c r="H29" s="36"/>
      <c r="I29" s="36"/>
      <c r="J29" s="41"/>
      <c r="K29" s="41"/>
      <c r="L29" s="41"/>
      <c r="M29" s="41"/>
      <c r="N29" s="41"/>
      <c r="O29" s="41"/>
      <c r="P29" s="33">
        <f>+Inputs!P67</f>
        <v>1139.5417736392174</v>
      </c>
      <c r="Q29" s="33">
        <f>+Inputs!Q67</f>
        <v>1223.7900889081002</v>
      </c>
      <c r="R29" s="33">
        <f>+Inputs!R67</f>
        <v>1282.4168869698681</v>
      </c>
      <c r="S29" s="33">
        <f>+Inputs!S67</f>
        <v>1339.7577679449953</v>
      </c>
      <c r="T29" s="33">
        <f>+Inputs!T67</f>
        <v>1382.7739367305071</v>
      </c>
      <c r="U29" s="33">
        <f>+Inputs!U67</f>
        <v>1454.923112892121</v>
      </c>
      <c r="V29" s="33"/>
      <c r="W29" s="33"/>
      <c r="X29" s="33"/>
      <c r="Y29" s="33"/>
      <c r="Z29" s="33"/>
      <c r="AA29" s="33"/>
      <c r="AB29" s="33"/>
      <c r="AC29" s="33"/>
      <c r="AD29" s="33"/>
      <c r="AE29" s="33"/>
      <c r="AF29" s="33"/>
      <c r="AG29" s="33"/>
      <c r="AH29" s="33"/>
      <c r="AI29" s="33"/>
      <c r="AJ29" s="33"/>
      <c r="AK29" s="33"/>
      <c r="AL29" s="33"/>
    </row>
    <row r="30" spans="1:38" ht="12.25" customHeight="1">
      <c r="A30" s="29" t="s">
        <v>131</v>
      </c>
      <c r="B30" s="36"/>
      <c r="C30" s="36"/>
      <c r="D30" s="36"/>
      <c r="E30" s="36"/>
      <c r="F30" s="36"/>
      <c r="G30" s="36"/>
      <c r="H30" s="36"/>
      <c r="I30" s="36"/>
      <c r="J30" s="41"/>
      <c r="K30" s="41"/>
      <c r="L30" s="41"/>
      <c r="M30" s="41"/>
      <c r="N30" s="41"/>
      <c r="O30" s="41"/>
      <c r="P30" s="33">
        <f>+Inputs!P68</f>
        <v>578.56743176510656</v>
      </c>
      <c r="Q30" s="33">
        <f>+Inputs!Q68</f>
        <v>126.78573621678636</v>
      </c>
      <c r="R30" s="33">
        <f>+Inputs!R68</f>
        <v>124.55790765920669</v>
      </c>
      <c r="S30" s="33">
        <f>+Inputs!S68</f>
        <v>123.74383730304753</v>
      </c>
      <c r="T30" s="33">
        <f>+Inputs!T68</f>
        <v>113.63678954164691</v>
      </c>
      <c r="U30" s="33">
        <f>+Inputs!U68</f>
        <v>112.89409609509308</v>
      </c>
      <c r="V30" s="33"/>
      <c r="W30" s="33"/>
      <c r="X30" s="33"/>
      <c r="Y30" s="33"/>
      <c r="Z30" s="33"/>
      <c r="AA30" s="33"/>
      <c r="AB30" s="33"/>
      <c r="AC30" s="33"/>
      <c r="AD30" s="33"/>
      <c r="AE30" s="33"/>
      <c r="AF30" s="33"/>
      <c r="AG30" s="33"/>
      <c r="AH30" s="33"/>
      <c r="AI30" s="33"/>
      <c r="AJ30" s="33"/>
      <c r="AK30" s="33"/>
      <c r="AL30" s="33"/>
    </row>
    <row r="31" spans="1:38" ht="12.25" customHeight="1">
      <c r="A31" s="27" t="s">
        <v>128</v>
      </c>
      <c r="B31" s="33"/>
      <c r="C31" s="33"/>
      <c r="D31" s="33"/>
      <c r="E31" s="33"/>
      <c r="F31" s="33"/>
      <c r="G31" s="33"/>
      <c r="H31" s="33"/>
      <c r="I31" s="33"/>
      <c r="J31" s="48"/>
      <c r="K31" s="48"/>
      <c r="L31" s="48"/>
      <c r="M31" s="48"/>
      <c r="N31" s="48"/>
      <c r="O31" s="48"/>
      <c r="P31" s="48">
        <f t="shared" ref="P31:T31" si="5">SUM(P28:P30)</f>
        <v>16870.032428789473</v>
      </c>
      <c r="Q31" s="48">
        <f t="shared" si="5"/>
        <v>14055.098608675036</v>
      </c>
      <c r="R31" s="48">
        <f t="shared" si="5"/>
        <v>14224.728892625451</v>
      </c>
      <c r="S31" s="48">
        <f t="shared" si="5"/>
        <v>14468.917813675891</v>
      </c>
      <c r="T31" s="48">
        <f t="shared" si="5"/>
        <v>14768.335265232479</v>
      </c>
      <c r="U31" s="48">
        <f>SUM(U28:U30)</f>
        <v>15080.277621366633</v>
      </c>
      <c r="V31" s="33"/>
      <c r="W31" s="33"/>
      <c r="X31" s="33"/>
      <c r="Y31" s="33"/>
      <c r="Z31" s="33"/>
      <c r="AA31" s="33"/>
      <c r="AB31" s="33"/>
      <c r="AC31" s="33"/>
      <c r="AD31" s="33"/>
      <c r="AE31" s="33"/>
      <c r="AF31" s="33"/>
      <c r="AG31" s="33"/>
      <c r="AH31" s="33"/>
      <c r="AI31" s="33"/>
      <c r="AJ31" s="33"/>
      <c r="AK31" s="33"/>
      <c r="AL31" s="33"/>
    </row>
    <row r="32" spans="1:38" ht="12.25" customHeight="1">
      <c r="A32" s="30"/>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2.25" customHeight="1">
      <c r="A33" s="34" t="s">
        <v>190</v>
      </c>
      <c r="B33" s="90"/>
      <c r="C33" s="90"/>
      <c r="D33" s="90"/>
      <c r="E33" s="90"/>
      <c r="F33" s="90"/>
      <c r="G33" s="90"/>
      <c r="H33" s="90"/>
      <c r="I33" s="90"/>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2.25" customHeight="1">
      <c r="A34" s="29" t="s">
        <v>129</v>
      </c>
      <c r="B34" s="36"/>
      <c r="C34" s="36"/>
      <c r="D34" s="36"/>
      <c r="E34" s="36"/>
      <c r="F34" s="36"/>
      <c r="G34" s="36"/>
      <c r="H34" s="36"/>
      <c r="I34" s="36"/>
      <c r="J34" s="41"/>
      <c r="K34" s="41"/>
      <c r="L34" s="41"/>
      <c r="M34" s="41"/>
      <c r="N34" s="41"/>
      <c r="O34" s="41"/>
      <c r="P34" s="33">
        <f>+Inputs!P72</f>
        <v>-1807.7200761879128</v>
      </c>
      <c r="Q34" s="33">
        <f>+Inputs!Q72</f>
        <v>2184.9667933615656</v>
      </c>
      <c r="R34" s="33">
        <f>+Inputs!R72</f>
        <v>2315.1847821352867</v>
      </c>
      <c r="S34" s="33">
        <f>+Inputs!S72</f>
        <v>3368.6062873210226</v>
      </c>
      <c r="T34" s="33">
        <f>+Inputs!T72</f>
        <v>4381.0956119438188</v>
      </c>
      <c r="U34" s="33">
        <f>+Inputs!U72</f>
        <v>3491.3586998381238</v>
      </c>
      <c r="V34" s="41"/>
      <c r="W34" s="41"/>
      <c r="X34" s="33"/>
      <c r="Y34" s="41"/>
      <c r="Z34" s="41"/>
      <c r="AA34" s="41"/>
      <c r="AB34" s="41"/>
      <c r="AC34" s="41"/>
      <c r="AD34" s="41"/>
      <c r="AE34" s="41"/>
      <c r="AF34" s="41"/>
      <c r="AG34" s="41"/>
      <c r="AH34" s="41"/>
      <c r="AI34" s="41"/>
      <c r="AJ34" s="41"/>
      <c r="AK34" s="41"/>
      <c r="AL34" s="41"/>
    </row>
    <row r="35" spans="1:38" ht="12.25" customHeight="1">
      <c r="A35" s="29" t="s">
        <v>130</v>
      </c>
      <c r="B35" s="36"/>
      <c r="C35" s="36"/>
      <c r="D35" s="36"/>
      <c r="E35" s="36"/>
      <c r="F35" s="36"/>
      <c r="G35" s="36"/>
      <c r="H35" s="36"/>
      <c r="I35" s="36"/>
      <c r="J35" s="41"/>
      <c r="K35" s="41"/>
      <c r="L35" s="41"/>
      <c r="M35" s="41"/>
      <c r="N35" s="41"/>
      <c r="O35" s="41"/>
      <c r="P35" s="33">
        <f>+Inputs!P73</f>
        <v>130.42666735059893</v>
      </c>
      <c r="Q35" s="33">
        <f>+Inputs!Q73</f>
        <v>93.703404492419381</v>
      </c>
      <c r="R35" s="33">
        <f>+Inputs!R73</f>
        <v>278.13241157549692</v>
      </c>
      <c r="S35" s="33">
        <f>+Inputs!S73</f>
        <v>183.82067457723653</v>
      </c>
      <c r="T35" s="33">
        <f>+Inputs!T73</f>
        <v>109.99895209458776</v>
      </c>
      <c r="U35" s="33">
        <f>+Inputs!U73</f>
        <v>27.947283399378126</v>
      </c>
      <c r="V35" s="41"/>
      <c r="W35" s="41"/>
      <c r="X35" s="33"/>
      <c r="Y35" s="41"/>
      <c r="Z35" s="41"/>
      <c r="AA35" s="41"/>
      <c r="AB35" s="41"/>
      <c r="AC35" s="41"/>
      <c r="AD35" s="41"/>
      <c r="AE35" s="41"/>
      <c r="AF35" s="41"/>
      <c r="AG35" s="41"/>
      <c r="AH35" s="41"/>
      <c r="AI35" s="41"/>
      <c r="AJ35" s="41"/>
      <c r="AK35" s="41"/>
      <c r="AL35" s="41"/>
    </row>
    <row r="36" spans="1:38" ht="12.25" customHeight="1">
      <c r="A36" s="29" t="s">
        <v>131</v>
      </c>
      <c r="B36" s="36"/>
      <c r="C36" s="36"/>
      <c r="D36" s="36"/>
      <c r="E36" s="36"/>
      <c r="F36" s="36"/>
      <c r="G36" s="36"/>
      <c r="H36" s="36"/>
      <c r="I36" s="36"/>
      <c r="J36" s="41"/>
      <c r="K36" s="41"/>
      <c r="L36" s="41"/>
      <c r="M36" s="41"/>
      <c r="N36" s="41"/>
      <c r="O36" s="41"/>
      <c r="P36" s="33">
        <f>+Inputs!P74</f>
        <v>0</v>
      </c>
      <c r="Q36" s="33">
        <f>+Inputs!Q74</f>
        <v>0</v>
      </c>
      <c r="R36" s="33">
        <f>+Inputs!R74</f>
        <v>0</v>
      </c>
      <c r="S36" s="33">
        <f>+Inputs!S74</f>
        <v>0</v>
      </c>
      <c r="T36" s="33">
        <f>+Inputs!T74</f>
        <v>0</v>
      </c>
      <c r="U36" s="33">
        <f>+Inputs!U74</f>
        <v>0</v>
      </c>
      <c r="V36" s="41"/>
      <c r="W36" s="41"/>
      <c r="X36" s="33"/>
      <c r="Y36" s="41"/>
      <c r="Z36" s="41"/>
      <c r="AA36" s="41"/>
      <c r="AB36" s="41"/>
      <c r="AC36" s="41"/>
      <c r="AD36" s="41"/>
      <c r="AE36" s="41"/>
      <c r="AF36" s="41"/>
      <c r="AG36" s="41"/>
      <c r="AH36" s="41"/>
      <c r="AI36" s="41"/>
      <c r="AJ36" s="41"/>
      <c r="AK36" s="41"/>
      <c r="AL36" s="41"/>
    </row>
    <row r="37" spans="1:38" ht="12.25" customHeight="1">
      <c r="A37" s="27" t="s">
        <v>128</v>
      </c>
      <c r="B37" s="33"/>
      <c r="C37" s="33"/>
      <c r="D37" s="33"/>
      <c r="E37" s="33"/>
      <c r="F37" s="33"/>
      <c r="G37" s="33"/>
      <c r="H37" s="33"/>
      <c r="I37" s="33"/>
      <c r="J37" s="48"/>
      <c r="K37" s="48"/>
      <c r="L37" s="48"/>
      <c r="M37" s="48"/>
      <c r="N37" s="48"/>
      <c r="O37" s="48"/>
      <c r="P37" s="48">
        <f t="shared" ref="P37:T37" si="6">SUM(P34:P36)</f>
        <v>-1677.2934088373138</v>
      </c>
      <c r="Q37" s="48">
        <f t="shared" si="6"/>
        <v>2278.670197853985</v>
      </c>
      <c r="R37" s="48">
        <f t="shared" si="6"/>
        <v>2593.3171937107836</v>
      </c>
      <c r="S37" s="48">
        <f t="shared" si="6"/>
        <v>3552.4269618982589</v>
      </c>
      <c r="T37" s="48">
        <f t="shared" si="6"/>
        <v>4491.0945640384061</v>
      </c>
      <c r="U37" s="48">
        <f>SUM(U34:U36)</f>
        <v>3519.305983237502</v>
      </c>
      <c r="V37" s="44"/>
      <c r="W37" s="44"/>
      <c r="X37" s="33"/>
      <c r="Y37" s="44"/>
      <c r="Z37" s="44"/>
      <c r="AA37" s="44"/>
      <c r="AB37" s="44"/>
      <c r="AC37" s="44"/>
      <c r="AD37" s="44"/>
      <c r="AE37" s="44"/>
      <c r="AF37" s="44"/>
      <c r="AG37" s="44"/>
      <c r="AH37" s="44"/>
      <c r="AI37" s="44"/>
      <c r="AJ37" s="44"/>
      <c r="AK37" s="44"/>
      <c r="AL37" s="44"/>
    </row>
    <row r="38" spans="1:38" ht="12.25" customHeight="1">
      <c r="A38" s="3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2.25" customHeight="1">
      <c r="A39" s="34" t="s">
        <v>192</v>
      </c>
      <c r="B39" s="90"/>
      <c r="C39" s="90"/>
      <c r="D39" s="90"/>
      <c r="E39" s="90"/>
      <c r="F39" s="90"/>
      <c r="G39" s="90"/>
      <c r="H39" s="90"/>
      <c r="I39" s="90"/>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2.25" customHeight="1">
      <c r="A40" s="29" t="s">
        <v>129</v>
      </c>
      <c r="B40" s="36"/>
      <c r="C40" s="36"/>
      <c r="D40" s="36"/>
      <c r="E40" s="36"/>
      <c r="F40" s="36"/>
      <c r="G40" s="36"/>
      <c r="H40" s="36"/>
      <c r="I40" s="36"/>
      <c r="J40" s="41"/>
      <c r="K40" s="41"/>
      <c r="L40" s="41"/>
      <c r="M40" s="41"/>
      <c r="N40" s="41"/>
      <c r="O40" s="41"/>
      <c r="P40" s="33">
        <f t="shared" ref="P40:U42" si="7">+P28+P34</f>
        <v>13344.203147197235</v>
      </c>
      <c r="Q40" s="33">
        <f t="shared" si="7"/>
        <v>14889.489576911716</v>
      </c>
      <c r="R40" s="33">
        <f t="shared" si="7"/>
        <v>15132.938880131664</v>
      </c>
      <c r="S40" s="33">
        <f t="shared" si="7"/>
        <v>16374.022495748872</v>
      </c>
      <c r="T40" s="33">
        <f t="shared" si="7"/>
        <v>17653.020150904144</v>
      </c>
      <c r="U40" s="33">
        <f t="shared" si="7"/>
        <v>17003.819112217541</v>
      </c>
      <c r="V40" s="33"/>
      <c r="W40" s="33"/>
      <c r="X40" s="33"/>
      <c r="Y40" s="33"/>
      <c r="Z40" s="33"/>
      <c r="AA40" s="33"/>
      <c r="AB40" s="33"/>
      <c r="AC40" s="33"/>
      <c r="AD40" s="33"/>
      <c r="AE40" s="33"/>
      <c r="AF40" s="33"/>
      <c r="AG40" s="33"/>
      <c r="AH40" s="33"/>
      <c r="AI40" s="33"/>
      <c r="AJ40" s="33"/>
      <c r="AK40" s="33"/>
      <c r="AL40" s="33"/>
    </row>
    <row r="41" spans="1:38" ht="12.25" customHeight="1">
      <c r="A41" s="29" t="s">
        <v>130</v>
      </c>
      <c r="B41" s="36"/>
      <c r="C41" s="36"/>
      <c r="D41" s="36"/>
      <c r="E41" s="36"/>
      <c r="F41" s="36"/>
      <c r="G41" s="36"/>
      <c r="H41" s="36"/>
      <c r="I41" s="36"/>
      <c r="J41" s="41"/>
      <c r="K41" s="41"/>
      <c r="L41" s="41"/>
      <c r="M41" s="41"/>
      <c r="N41" s="41"/>
      <c r="O41" s="41"/>
      <c r="P41" s="33">
        <f t="shared" si="7"/>
        <v>1269.9684409898164</v>
      </c>
      <c r="Q41" s="33">
        <f t="shared" si="7"/>
        <v>1317.4934934005196</v>
      </c>
      <c r="R41" s="33">
        <f t="shared" si="7"/>
        <v>1560.549298545365</v>
      </c>
      <c r="S41" s="33">
        <f t="shared" si="7"/>
        <v>1523.5784425222319</v>
      </c>
      <c r="T41" s="33">
        <f t="shared" si="7"/>
        <v>1492.7728888250949</v>
      </c>
      <c r="U41" s="33">
        <f t="shared" si="7"/>
        <v>1482.8703962914992</v>
      </c>
      <c r="V41" s="33"/>
      <c r="W41" s="33"/>
      <c r="X41" s="33"/>
      <c r="Y41" s="33"/>
      <c r="Z41" s="33"/>
      <c r="AA41" s="33"/>
      <c r="AB41" s="33"/>
      <c r="AC41" s="33"/>
      <c r="AD41" s="33"/>
      <c r="AE41" s="33"/>
      <c r="AF41" s="33"/>
      <c r="AG41" s="33"/>
      <c r="AH41" s="33"/>
      <c r="AI41" s="33"/>
      <c r="AJ41" s="33"/>
      <c r="AK41" s="33"/>
      <c r="AL41" s="33"/>
    </row>
    <row r="42" spans="1:38" ht="12.25" customHeight="1">
      <c r="A42" s="29" t="s">
        <v>131</v>
      </c>
      <c r="B42" s="36"/>
      <c r="C42" s="36"/>
      <c r="D42" s="36"/>
      <c r="E42" s="36"/>
      <c r="F42" s="36"/>
      <c r="G42" s="36"/>
      <c r="H42" s="36"/>
      <c r="I42" s="36"/>
      <c r="J42" s="41"/>
      <c r="K42" s="41"/>
      <c r="L42" s="41"/>
      <c r="M42" s="41"/>
      <c r="N42" s="41"/>
      <c r="O42" s="41"/>
      <c r="P42" s="33">
        <f t="shared" si="7"/>
        <v>578.56743176510656</v>
      </c>
      <c r="Q42" s="33">
        <f t="shared" si="7"/>
        <v>126.78573621678636</v>
      </c>
      <c r="R42" s="33">
        <f t="shared" si="7"/>
        <v>124.55790765920669</v>
      </c>
      <c r="S42" s="33">
        <f t="shared" si="7"/>
        <v>123.74383730304753</v>
      </c>
      <c r="T42" s="33">
        <f t="shared" si="7"/>
        <v>113.63678954164691</v>
      </c>
      <c r="U42" s="33">
        <f t="shared" si="7"/>
        <v>112.89409609509308</v>
      </c>
      <c r="V42" s="33"/>
      <c r="W42" s="33"/>
      <c r="X42" s="33"/>
      <c r="Y42" s="33"/>
      <c r="Z42" s="33"/>
      <c r="AA42" s="33"/>
      <c r="AB42" s="33"/>
      <c r="AC42" s="33"/>
      <c r="AD42" s="33"/>
      <c r="AE42" s="33"/>
      <c r="AF42" s="33"/>
      <c r="AG42" s="33"/>
      <c r="AH42" s="33"/>
      <c r="AI42" s="33"/>
      <c r="AJ42" s="33"/>
      <c r="AK42" s="33"/>
      <c r="AL42" s="33"/>
    </row>
    <row r="43" spans="1:38" ht="12.25" customHeight="1">
      <c r="A43" s="27" t="s">
        <v>128</v>
      </c>
      <c r="B43" s="33"/>
      <c r="C43" s="33"/>
      <c r="D43" s="33"/>
      <c r="E43" s="33"/>
      <c r="F43" s="33"/>
      <c r="G43" s="33"/>
      <c r="H43" s="33"/>
      <c r="I43" s="33"/>
      <c r="J43" s="48"/>
      <c r="K43" s="48"/>
      <c r="L43" s="48"/>
      <c r="M43" s="48"/>
      <c r="N43" s="48"/>
      <c r="O43" s="48"/>
      <c r="P43" s="48">
        <f t="shared" ref="P43:U43" si="8">SUM(P40:P42)</f>
        <v>15192.739019952158</v>
      </c>
      <c r="Q43" s="48">
        <f t="shared" si="8"/>
        <v>16333.768806529022</v>
      </c>
      <c r="R43" s="48">
        <f t="shared" si="8"/>
        <v>16818.046086336235</v>
      </c>
      <c r="S43" s="48">
        <f t="shared" si="8"/>
        <v>18021.344775574154</v>
      </c>
      <c r="T43" s="48">
        <f t="shared" si="8"/>
        <v>19259.429829270885</v>
      </c>
      <c r="U43" s="48">
        <f t="shared" si="8"/>
        <v>18599.583604604133</v>
      </c>
      <c r="V43" s="33"/>
      <c r="W43" s="33"/>
      <c r="X43" s="33"/>
      <c r="Y43" s="33"/>
      <c r="Z43" s="33"/>
      <c r="AA43" s="33"/>
      <c r="AB43" s="33"/>
      <c r="AC43" s="33"/>
      <c r="AD43" s="33"/>
      <c r="AE43" s="33"/>
      <c r="AF43" s="33"/>
      <c r="AG43" s="33"/>
      <c r="AH43" s="33"/>
      <c r="AI43" s="33"/>
      <c r="AJ43" s="33"/>
      <c r="AK43" s="33"/>
      <c r="AL43" s="33"/>
    </row>
    <row r="44" spans="1:38" ht="12.25" customHeight="1">
      <c r="A44" s="30"/>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2.25" customHeight="1">
      <c r="A45" s="34" t="s">
        <v>272</v>
      </c>
      <c r="B45" s="90">
        <f>+Inputs!S28</f>
        <v>293.10000000000002</v>
      </c>
      <c r="C45" s="90"/>
      <c r="D45" s="90"/>
      <c r="E45" s="90"/>
      <c r="F45" s="90"/>
      <c r="G45" s="90"/>
      <c r="H45" s="90"/>
      <c r="I45" s="90"/>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8" ht="12.25" customHeight="1">
      <c r="A46" s="29" t="s">
        <v>129</v>
      </c>
      <c r="B46" s="36"/>
      <c r="C46" s="36"/>
      <c r="D46" s="36"/>
      <c r="E46" s="36"/>
      <c r="F46" s="36"/>
      <c r="G46" s="36"/>
      <c r="H46" s="36"/>
      <c r="I46" s="36"/>
      <c r="J46" s="41"/>
      <c r="K46" s="41"/>
      <c r="L46" s="41"/>
      <c r="M46" s="41">
        <f>+M16*$B$45/$B$3</f>
        <v>7231.6027682982922</v>
      </c>
      <c r="N46" s="41">
        <f t="shared" ref="N46" si="9">+N16*$B$45/$B$3</f>
        <v>10790.025915707825</v>
      </c>
      <c r="O46" s="41">
        <f>+O16*$B$45/$B$3</f>
        <v>12816.593334427425</v>
      </c>
      <c r="P46" s="41">
        <f t="shared" ref="P46:U48" si="10">P40*$B$45/$B$27</f>
        <v>15278.070087669961</v>
      </c>
      <c r="Q46" s="41">
        <f t="shared" si="10"/>
        <v>17047.302324190721</v>
      </c>
      <c r="R46" s="41">
        <f t="shared" si="10"/>
        <v>17326.032756900746</v>
      </c>
      <c r="S46" s="41">
        <f t="shared" si="10"/>
        <v>18746.976537124978</v>
      </c>
      <c r="T46" s="41">
        <f t="shared" si="10"/>
        <v>20211.328930585958</v>
      </c>
      <c r="U46" s="41">
        <f t="shared" si="10"/>
        <v>19468.044460120946</v>
      </c>
      <c r="V46" s="41"/>
      <c r="W46" s="41"/>
      <c r="X46" s="33"/>
      <c r="Y46" s="41"/>
      <c r="Z46" s="41"/>
      <c r="AA46" s="41"/>
      <c r="AB46" s="41"/>
      <c r="AC46" s="41"/>
      <c r="AD46" s="41"/>
      <c r="AE46" s="41"/>
      <c r="AF46" s="41"/>
      <c r="AG46" s="41"/>
      <c r="AH46" s="41"/>
      <c r="AI46" s="41"/>
      <c r="AJ46" s="41"/>
      <c r="AK46" s="41"/>
      <c r="AL46" s="41"/>
    </row>
    <row r="47" spans="1:38" ht="12.25" customHeight="1">
      <c r="A47" s="29" t="s">
        <v>130</v>
      </c>
      <c r="B47" s="36"/>
      <c r="C47" s="36"/>
      <c r="D47" s="36"/>
      <c r="E47" s="36"/>
      <c r="F47" s="36"/>
      <c r="G47" s="36"/>
      <c r="H47" s="36"/>
      <c r="I47" s="36"/>
      <c r="J47" s="41"/>
      <c r="K47" s="41"/>
      <c r="L47" s="41"/>
      <c r="M47" s="41">
        <f t="shared" ref="M47:O48" si="11">+M17*$B$45/$B$3</f>
        <v>1239.9649129392319</v>
      </c>
      <c r="N47" s="41">
        <f t="shared" si="11"/>
        <v>1150.2207023807687</v>
      </c>
      <c r="O47" s="41">
        <f t="shared" si="11"/>
        <v>1219.7325891698536</v>
      </c>
      <c r="P47" s="41">
        <f t="shared" si="10"/>
        <v>1454.0146486488875</v>
      </c>
      <c r="Q47" s="41">
        <f t="shared" si="10"/>
        <v>1508.4271207644231</v>
      </c>
      <c r="R47" s="41">
        <f t="shared" si="10"/>
        <v>1786.7070289204942</v>
      </c>
      <c r="S47" s="41">
        <f t="shared" si="10"/>
        <v>1744.3782871221335</v>
      </c>
      <c r="T47" s="41">
        <f t="shared" si="10"/>
        <v>1709.1083348227944</v>
      </c>
      <c r="U47" s="41">
        <f t="shared" si="10"/>
        <v>1697.7707545040564</v>
      </c>
      <c r="V47" s="41"/>
      <c r="W47" s="41"/>
      <c r="X47" s="33"/>
      <c r="Y47" s="41"/>
      <c r="Z47" s="41"/>
      <c r="AA47" s="41"/>
      <c r="AB47" s="41"/>
      <c r="AC47" s="41"/>
      <c r="AD47" s="41"/>
      <c r="AE47" s="41"/>
      <c r="AF47" s="41"/>
      <c r="AG47" s="41"/>
      <c r="AH47" s="41"/>
      <c r="AI47" s="41"/>
      <c r="AJ47" s="41"/>
      <c r="AK47" s="41"/>
      <c r="AL47" s="41"/>
    </row>
    <row r="48" spans="1:38" ht="12.25" customHeight="1">
      <c r="A48" s="29" t="s">
        <v>131</v>
      </c>
      <c r="B48" s="36"/>
      <c r="C48" s="36"/>
      <c r="D48" s="36"/>
      <c r="E48" s="36"/>
      <c r="F48" s="36"/>
      <c r="G48" s="36"/>
      <c r="H48" s="36"/>
      <c r="I48" s="36"/>
      <c r="J48" s="41"/>
      <c r="K48" s="41"/>
      <c r="L48" s="41"/>
      <c r="M48" s="41">
        <f t="shared" si="11"/>
        <v>172.8730286268223</v>
      </c>
      <c r="N48" s="41">
        <f t="shared" si="11"/>
        <v>56.760197775030903</v>
      </c>
      <c r="O48" s="41">
        <f t="shared" si="11"/>
        <v>37.437577255871453</v>
      </c>
      <c r="P48" s="41">
        <f t="shared" si="10"/>
        <v>662.41450879044044</v>
      </c>
      <c r="Q48" s="41">
        <f t="shared" si="10"/>
        <v>145.15976283257845</v>
      </c>
      <c r="R48" s="41">
        <f t="shared" si="10"/>
        <v>142.60907318325579</v>
      </c>
      <c r="S48" s="41">
        <f t="shared" si="10"/>
        <v>141.67702622470014</v>
      </c>
      <c r="T48" s="41">
        <f t="shared" si="10"/>
        <v>130.10524615100277</v>
      </c>
      <c r="U48" s="41">
        <f t="shared" si="10"/>
        <v>129.25492017762414</v>
      </c>
      <c r="V48" s="41"/>
      <c r="W48" s="41"/>
      <c r="X48" s="33"/>
      <c r="Y48" s="41"/>
      <c r="Z48" s="41"/>
      <c r="AA48" s="41"/>
      <c r="AB48" s="41"/>
      <c r="AC48" s="41"/>
      <c r="AD48" s="41"/>
      <c r="AE48" s="41"/>
      <c r="AF48" s="41"/>
      <c r="AG48" s="41"/>
      <c r="AH48" s="41"/>
      <c r="AI48" s="41"/>
      <c r="AJ48" s="41"/>
      <c r="AK48" s="41"/>
      <c r="AL48" s="41"/>
    </row>
    <row r="49" spans="1:38" ht="12.25" customHeight="1">
      <c r="A49" s="27" t="s">
        <v>128</v>
      </c>
      <c r="B49" s="33"/>
      <c r="C49" s="33"/>
      <c r="D49" s="33"/>
      <c r="E49" s="33"/>
      <c r="F49" s="33"/>
      <c r="G49" s="33"/>
      <c r="H49" s="33"/>
      <c r="I49" s="33"/>
      <c r="J49" s="48"/>
      <c r="K49" s="48"/>
      <c r="L49" s="48"/>
      <c r="M49" s="48">
        <f t="shared" ref="M49:O49" si="12">SUM(M46:M48)</f>
        <v>8644.440709864346</v>
      </c>
      <c r="N49" s="48">
        <f t="shared" si="12"/>
        <v>11997.006815863624</v>
      </c>
      <c r="O49" s="48">
        <f t="shared" si="12"/>
        <v>14073.763500853149</v>
      </c>
      <c r="P49" s="48">
        <f t="shared" ref="P49:U49" si="13">SUM(P46:P48)</f>
        <v>17394.499245109288</v>
      </c>
      <c r="Q49" s="48">
        <f t="shared" si="13"/>
        <v>18700.889207787724</v>
      </c>
      <c r="R49" s="48">
        <f t="shared" si="13"/>
        <v>19255.348859004494</v>
      </c>
      <c r="S49" s="48">
        <f t="shared" si="13"/>
        <v>20633.031850471813</v>
      </c>
      <c r="T49" s="48">
        <f t="shared" si="13"/>
        <v>22050.542511559757</v>
      </c>
      <c r="U49" s="48">
        <f t="shared" si="13"/>
        <v>21295.070134802627</v>
      </c>
      <c r="V49" s="44"/>
      <c r="W49" s="44"/>
      <c r="X49" s="33"/>
      <c r="Y49" s="44"/>
      <c r="Z49" s="44"/>
      <c r="AA49" s="44"/>
      <c r="AB49" s="44"/>
      <c r="AC49" s="44"/>
      <c r="AD49" s="44"/>
      <c r="AE49" s="44"/>
      <c r="AF49" s="44"/>
      <c r="AG49" s="44"/>
      <c r="AH49" s="44"/>
      <c r="AI49" s="44"/>
      <c r="AJ49" s="44"/>
      <c r="AK49" s="44"/>
      <c r="AL49" s="44"/>
    </row>
    <row r="50" spans="1:38" ht="12.25" customHeight="1">
      <c r="A50" s="3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1:38" ht="12.25" customHeight="1">
      <c r="A51" s="34" t="s">
        <v>193</v>
      </c>
      <c r="B51" s="33"/>
      <c r="C51" s="33"/>
      <c r="D51" s="33"/>
      <c r="E51" s="33"/>
      <c r="F51" s="33"/>
      <c r="G51" s="33"/>
      <c r="H51" s="33"/>
      <c r="I51" s="33"/>
      <c r="J51" s="33"/>
      <c r="K51" s="33"/>
      <c r="L51" s="33"/>
      <c r="M51" s="33">
        <f>+Inputs!M79</f>
        <v>10917.523716125379</v>
      </c>
      <c r="N51" s="33">
        <f>+Inputs!N79</f>
        <v>11709.4592430024</v>
      </c>
      <c r="O51" s="33">
        <f>+Inputs!O79</f>
        <v>11734.827055427017</v>
      </c>
      <c r="P51" s="33">
        <f>+Inputs!P79</f>
        <v>12250.460939743103</v>
      </c>
      <c r="Q51" s="33">
        <f>+Inputs!Q79</f>
        <v>14797.29578691918</v>
      </c>
      <c r="R51" s="33">
        <f>+Inputs!R79</f>
        <v>14839.940155368362</v>
      </c>
      <c r="S51" s="33">
        <f>+Inputs!S79</f>
        <v>15726.61977482088</v>
      </c>
      <c r="T51" s="33">
        <f>+Inputs!T79</f>
        <v>19356.859095632848</v>
      </c>
      <c r="U51" s="33">
        <f>+Inputs!U79</f>
        <v>21909.235922645854</v>
      </c>
      <c r="V51" s="33"/>
      <c r="W51" s="33"/>
      <c r="X51" s="33"/>
      <c r="Y51" s="33"/>
      <c r="Z51" s="33"/>
      <c r="AA51" s="33"/>
      <c r="AB51" s="33"/>
      <c r="AC51" s="33"/>
      <c r="AD51" s="33"/>
      <c r="AE51" s="33"/>
      <c r="AF51" s="33"/>
      <c r="AG51" s="33"/>
      <c r="AH51" s="33"/>
      <c r="AI51" s="33"/>
      <c r="AJ51" s="33"/>
      <c r="AK51" s="33"/>
      <c r="AL51" s="33"/>
    </row>
    <row r="52" spans="1:38" ht="12.25" customHeight="1">
      <c r="A52" s="30" t="s">
        <v>141</v>
      </c>
      <c r="B52" s="33"/>
      <c r="C52" s="33"/>
      <c r="D52" s="33"/>
      <c r="E52" s="33"/>
      <c r="F52" s="33"/>
      <c r="G52" s="33"/>
      <c r="H52" s="33"/>
      <c r="I52" s="33"/>
      <c r="J52" s="33"/>
      <c r="K52" s="33"/>
      <c r="L52" s="33"/>
      <c r="M52" s="33">
        <f t="shared" ref="M52:N52" si="14">+M51-M25</f>
        <v>3367.2786744151354</v>
      </c>
      <c r="N52" s="33">
        <f t="shared" si="14"/>
        <v>1231.0090728860996</v>
      </c>
      <c r="O52" s="33">
        <f>+O51-O25</f>
        <v>-557.50817561496842</v>
      </c>
      <c r="P52" s="33">
        <f t="shared" ref="P52:U52" si="15">+P51-P43</f>
        <v>-2942.2780802090547</v>
      </c>
      <c r="Q52" s="33">
        <f t="shared" si="15"/>
        <v>-1536.4730196098426</v>
      </c>
      <c r="R52" s="33">
        <f t="shared" si="15"/>
        <v>-1978.1059309678731</v>
      </c>
      <c r="S52" s="33">
        <f t="shared" si="15"/>
        <v>-2294.7250007532748</v>
      </c>
      <c r="T52" s="33">
        <f t="shared" si="15"/>
        <v>97.429266361963528</v>
      </c>
      <c r="U52" s="33">
        <f t="shared" si="15"/>
        <v>3309.6523180417207</v>
      </c>
      <c r="V52" s="33"/>
      <c r="W52" s="33"/>
      <c r="X52" s="33"/>
      <c r="Y52" s="33"/>
      <c r="Z52" s="33"/>
      <c r="AA52" s="33"/>
      <c r="AB52" s="33"/>
      <c r="AC52" s="33"/>
      <c r="AD52" s="33"/>
      <c r="AE52" s="33"/>
      <c r="AF52" s="33"/>
      <c r="AG52" s="33"/>
      <c r="AH52" s="33"/>
      <c r="AI52" s="33"/>
      <c r="AJ52" s="33"/>
      <c r="AK52" s="33"/>
      <c r="AL52" s="33"/>
    </row>
    <row r="53" spans="1:38" ht="12.25" customHeight="1">
      <c r="A53" s="34" t="s">
        <v>140</v>
      </c>
      <c r="B53" s="33"/>
      <c r="C53" s="33"/>
      <c r="D53" s="33"/>
      <c r="E53" s="33"/>
      <c r="F53" s="33"/>
      <c r="G53" s="33"/>
      <c r="H53" s="33"/>
      <c r="I53" s="33"/>
      <c r="J53" s="33"/>
      <c r="K53" s="33"/>
      <c r="L53" s="33"/>
      <c r="M53" s="33">
        <f t="shared" ref="M53:O53" si="16">+M51*$B$45/$B$27</f>
        <v>12499.711723423237</v>
      </c>
      <c r="N53" s="33">
        <f t="shared" si="16"/>
        <v>13406.41603173439</v>
      </c>
      <c r="O53" s="33">
        <f t="shared" si="16"/>
        <v>13435.46019510023</v>
      </c>
      <c r="P53" s="33">
        <f t="shared" ref="P53:U53" si="17">+P51*$B$45/$B$27</f>
        <v>14025.820708744937</v>
      </c>
      <c r="Q53" s="33">
        <f t="shared" si="17"/>
        <v>16941.747637289111</v>
      </c>
      <c r="R53" s="33">
        <f t="shared" si="17"/>
        <v>16990.572107572138</v>
      </c>
      <c r="S53" s="33">
        <f t="shared" si="17"/>
        <v>18005.751</v>
      </c>
      <c r="T53" s="33">
        <f t="shared" si="17"/>
        <v>22162.091409882767</v>
      </c>
      <c r="U53" s="33">
        <f t="shared" si="17"/>
        <v>25084.363472373047</v>
      </c>
      <c r="V53" s="33"/>
      <c r="W53" s="33"/>
      <c r="X53" s="33"/>
      <c r="Y53" s="33"/>
      <c r="Z53" s="33"/>
      <c r="AA53" s="33"/>
      <c r="AB53" s="33"/>
      <c r="AC53" s="33"/>
      <c r="AD53" s="33"/>
      <c r="AE53" s="33"/>
      <c r="AF53" s="33"/>
      <c r="AG53" s="33"/>
      <c r="AH53" s="33"/>
      <c r="AI53" s="33"/>
      <c r="AJ53" s="33"/>
      <c r="AK53" s="33"/>
      <c r="AL53" s="33"/>
    </row>
    <row r="54" spans="1:38" ht="12.25" customHeight="1">
      <c r="A54" s="30" t="s">
        <v>141</v>
      </c>
      <c r="B54" s="33"/>
      <c r="C54" s="33"/>
      <c r="D54" s="33"/>
      <c r="E54" s="33"/>
      <c r="F54" s="33"/>
      <c r="G54" s="33"/>
      <c r="H54" s="33"/>
      <c r="I54" s="33"/>
      <c r="J54" s="33"/>
      <c r="K54" s="33"/>
      <c r="L54" s="33"/>
      <c r="M54" s="33">
        <f t="shared" ref="M54:O54" si="18">+M53-M49</f>
        <v>3855.2710135588914</v>
      </c>
      <c r="N54" s="33">
        <f t="shared" si="18"/>
        <v>1409.4092158707663</v>
      </c>
      <c r="O54" s="33">
        <f t="shared" si="18"/>
        <v>-638.30330575291919</v>
      </c>
      <c r="P54" s="33">
        <f t="shared" ref="P54:U54" si="19">+P53-P49</f>
        <v>-3368.6785363643503</v>
      </c>
      <c r="Q54" s="33">
        <f t="shared" si="19"/>
        <v>-1759.1415704986139</v>
      </c>
      <c r="R54" s="33">
        <f t="shared" si="19"/>
        <v>-2264.7767514323568</v>
      </c>
      <c r="S54" s="33">
        <f t="shared" si="19"/>
        <v>-2627.2808504718123</v>
      </c>
      <c r="T54" s="33">
        <f t="shared" si="19"/>
        <v>111.54889832300978</v>
      </c>
      <c r="U54" s="33">
        <f t="shared" si="19"/>
        <v>3789.2933375704197</v>
      </c>
      <c r="V54" s="33"/>
      <c r="W54" s="33"/>
      <c r="X54" s="33"/>
      <c r="Y54" s="33"/>
      <c r="Z54" s="33"/>
      <c r="AA54" s="33"/>
      <c r="AB54" s="33"/>
      <c r="AC54" s="33"/>
      <c r="AD54" s="33"/>
      <c r="AE54" s="33"/>
      <c r="AF54" s="33"/>
      <c r="AG54" s="33"/>
      <c r="AH54" s="33"/>
      <c r="AI54" s="33"/>
      <c r="AJ54" s="33"/>
      <c r="AK54" s="33"/>
      <c r="AL54" s="33"/>
    </row>
    <row r="55" spans="1:38" ht="12.25" customHeight="1">
      <c r="A55" s="3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2.25" customHeight="1">
      <c r="A56" s="3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2.25" customHeight="1">
      <c r="A57" s="3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2.25" customHeight="1">
      <c r="A58" s="3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sheetData>
  <dataConsolidate/>
  <pageMargins left="0.70866141732283472" right="0.70866141732283472" top="0.74803149606299213" bottom="0.74803149606299213" header="0.31496062992125984" footer="0.31496062992125984"/>
  <pageSetup paperSize="8" scale="3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54"/>
  <sheetViews>
    <sheetView showGridLines="0" topLeftCell="A16" workbookViewId="0">
      <selection activeCell="D31" sqref="D31"/>
    </sheetView>
  </sheetViews>
  <sheetFormatPr defaultColWidth="9.08984375" defaultRowHeight="13.4" customHeight="1"/>
  <cols>
    <col min="1" max="1" width="2.81640625" bestFit="1" customWidth="1"/>
    <col min="2" max="2" width="77.08984375" bestFit="1" customWidth="1"/>
    <col min="3" max="3" width="13.36328125" bestFit="1" customWidth="1"/>
    <col min="4" max="5" width="7.08984375" bestFit="1" customWidth="1"/>
    <col min="6" max="6" width="8.08984375" bestFit="1" customWidth="1"/>
    <col min="7" max="7" width="6.81640625" bestFit="1" customWidth="1"/>
  </cols>
  <sheetData>
    <row r="1" spans="1:18" ht="20">
      <c r="A1" s="144"/>
      <c r="B1" s="144" t="s">
        <v>269</v>
      </c>
      <c r="C1" s="144"/>
      <c r="D1" s="144"/>
      <c r="E1" s="144"/>
      <c r="F1" s="144"/>
      <c r="G1" s="144"/>
      <c r="H1" s="144"/>
      <c r="I1" s="144"/>
      <c r="J1" s="144"/>
      <c r="K1" s="144"/>
      <c r="L1" s="144"/>
      <c r="M1" s="144"/>
      <c r="N1" s="144"/>
      <c r="O1" s="144"/>
      <c r="P1" s="144"/>
      <c r="Q1" s="144"/>
      <c r="R1" s="144"/>
    </row>
    <row r="2" spans="1:18" ht="13" thickBot="1">
      <c r="A2" s="145"/>
      <c r="B2" s="145"/>
      <c r="C2" s="145"/>
      <c r="D2" s="145"/>
      <c r="E2" s="145"/>
      <c r="F2" s="145"/>
      <c r="G2" s="145"/>
      <c r="H2" s="145"/>
      <c r="I2" s="145"/>
      <c r="J2" s="145"/>
      <c r="K2" s="145"/>
      <c r="L2" s="145"/>
      <c r="M2" s="145"/>
      <c r="N2" s="145"/>
      <c r="O2" s="145"/>
      <c r="P2" s="145"/>
      <c r="Q2" s="145"/>
      <c r="R2" s="145"/>
    </row>
    <row r="3" spans="1:18" ht="13">
      <c r="A3" s="145"/>
      <c r="B3" s="146" t="s">
        <v>143</v>
      </c>
      <c r="C3" s="147"/>
      <c r="D3" s="148">
        <v>2</v>
      </c>
      <c r="E3" s="149">
        <v>2016</v>
      </c>
      <c r="F3" s="145"/>
      <c r="G3" s="145"/>
      <c r="H3" s="145"/>
      <c r="I3" s="145"/>
      <c r="J3" s="145"/>
      <c r="K3" s="145"/>
      <c r="L3" s="145"/>
      <c r="M3" s="145"/>
      <c r="N3" s="145"/>
      <c r="O3" s="145"/>
      <c r="P3" s="145"/>
      <c r="Q3" s="145"/>
      <c r="R3" s="145"/>
    </row>
    <row r="4" spans="1:18" ht="13">
      <c r="A4" s="145"/>
      <c r="B4" s="150" t="s">
        <v>195</v>
      </c>
      <c r="C4" s="151"/>
      <c r="D4" s="152">
        <v>5</v>
      </c>
      <c r="E4" s="145"/>
      <c r="F4" s="145"/>
      <c r="G4" s="145"/>
      <c r="H4" s="145"/>
      <c r="I4" s="145"/>
      <c r="J4" s="145"/>
      <c r="K4" s="145"/>
      <c r="L4" s="145"/>
      <c r="M4" s="145"/>
      <c r="N4" s="145"/>
      <c r="O4" s="145"/>
      <c r="P4" s="145"/>
      <c r="Q4" s="145"/>
      <c r="R4" s="145"/>
    </row>
    <row r="5" spans="1:18" ht="13">
      <c r="A5" s="145"/>
      <c r="B5" s="150" t="s">
        <v>197</v>
      </c>
      <c r="C5" s="151"/>
      <c r="D5" s="152">
        <v>33</v>
      </c>
      <c r="E5" s="145"/>
      <c r="F5" s="145"/>
      <c r="G5" s="145"/>
      <c r="H5" s="145"/>
      <c r="I5" s="145"/>
      <c r="J5" s="145"/>
      <c r="K5" s="145"/>
      <c r="L5" s="145"/>
      <c r="M5" s="145"/>
      <c r="N5" s="145"/>
      <c r="O5" s="145"/>
      <c r="P5" s="145"/>
      <c r="Q5" s="145"/>
      <c r="R5" s="145"/>
    </row>
    <row r="6" spans="1:18" ht="13">
      <c r="A6" s="145"/>
      <c r="B6" s="150" t="s">
        <v>199</v>
      </c>
      <c r="C6" s="151"/>
      <c r="D6" s="152">
        <v>7.4999999999999997E-2</v>
      </c>
      <c r="E6" s="145"/>
      <c r="F6" s="145"/>
      <c r="G6" s="145"/>
      <c r="H6" s="145"/>
      <c r="I6" s="145"/>
      <c r="J6" s="145"/>
      <c r="K6" s="145"/>
      <c r="L6" s="145"/>
      <c r="M6" s="145"/>
      <c r="N6" s="145"/>
      <c r="O6" s="145"/>
      <c r="P6" s="145"/>
      <c r="Q6" s="145"/>
      <c r="R6" s="145"/>
    </row>
    <row r="7" spans="1:18" ht="13">
      <c r="A7" s="145"/>
      <c r="B7" s="150" t="s">
        <v>201</v>
      </c>
      <c r="C7" s="151"/>
      <c r="D7" s="152">
        <v>7.4999999999999997E-2</v>
      </c>
      <c r="E7" s="145"/>
      <c r="F7" s="145"/>
      <c r="G7" s="145"/>
      <c r="H7" s="145"/>
      <c r="I7" s="145"/>
      <c r="J7" s="145"/>
      <c r="K7" s="145"/>
      <c r="L7" s="145"/>
      <c r="M7" s="145"/>
      <c r="N7" s="145"/>
      <c r="O7" s="145"/>
      <c r="P7" s="145"/>
      <c r="Q7" s="145"/>
      <c r="R7" s="145"/>
    </row>
    <row r="8" spans="1:18" ht="13">
      <c r="A8" s="145"/>
      <c r="B8" s="150" t="s">
        <v>203</v>
      </c>
      <c r="C8" s="151"/>
      <c r="D8" s="152">
        <v>0.5</v>
      </c>
      <c r="E8" s="145"/>
      <c r="F8" s="145"/>
      <c r="G8" s="145"/>
      <c r="H8" s="145"/>
      <c r="I8" s="145"/>
      <c r="J8" s="145"/>
      <c r="K8" s="145"/>
      <c r="L8" s="145"/>
      <c r="M8" s="145"/>
      <c r="N8" s="145"/>
      <c r="O8" s="145"/>
      <c r="P8" s="145"/>
      <c r="Q8" s="145"/>
      <c r="R8" s="145"/>
    </row>
    <row r="9" spans="1:18" ht="13.5" thickBot="1">
      <c r="A9" s="145"/>
      <c r="B9" s="153" t="s">
        <v>205</v>
      </c>
      <c r="C9" s="154"/>
      <c r="D9" s="155">
        <v>0.5</v>
      </c>
      <c r="E9" s="145"/>
      <c r="F9" s="145"/>
      <c r="G9" s="145"/>
      <c r="H9" s="145"/>
      <c r="I9" s="145"/>
      <c r="J9" s="145"/>
      <c r="K9" s="145"/>
      <c r="L9" s="145"/>
      <c r="M9" s="145"/>
      <c r="N9" s="145"/>
      <c r="O9" s="145"/>
      <c r="P9" s="145"/>
      <c r="Q9" s="145"/>
      <c r="R9" s="145"/>
    </row>
    <row r="10" spans="1:18" ht="13.5" thickBot="1">
      <c r="A10" s="145"/>
      <c r="B10" s="156"/>
      <c r="C10" s="156"/>
      <c r="D10" s="145"/>
      <c r="E10" s="145"/>
      <c r="F10" s="145"/>
      <c r="G10" s="145"/>
      <c r="H10" s="145"/>
      <c r="I10" s="145"/>
      <c r="J10" s="145"/>
      <c r="K10" s="145"/>
      <c r="L10" s="145"/>
      <c r="M10" s="145"/>
      <c r="N10" s="145"/>
      <c r="O10" s="145"/>
      <c r="P10" s="145"/>
      <c r="Q10" s="145"/>
      <c r="R10" s="145"/>
    </row>
    <row r="11" spans="1:18" ht="13">
      <c r="A11" s="145"/>
      <c r="B11" s="146" t="s">
        <v>207</v>
      </c>
      <c r="C11" s="147"/>
      <c r="D11" s="148">
        <v>1</v>
      </c>
      <c r="E11" s="145"/>
      <c r="F11" s="145"/>
      <c r="G11" s="145"/>
      <c r="H11" s="145"/>
      <c r="I11" s="145"/>
      <c r="J11" s="145"/>
      <c r="K11" s="145"/>
      <c r="L11" s="145"/>
      <c r="M11" s="145"/>
      <c r="N11" s="145"/>
      <c r="O11" s="145"/>
      <c r="P11" s="145"/>
      <c r="Q11" s="145"/>
      <c r="R11" s="145"/>
    </row>
    <row r="12" spans="1:18" ht="13.5" thickBot="1">
      <c r="A12" s="145"/>
      <c r="B12" s="153" t="s">
        <v>209</v>
      </c>
      <c r="C12" s="154"/>
      <c r="D12" s="155">
        <v>1</v>
      </c>
      <c r="E12" s="145"/>
      <c r="F12" s="145"/>
      <c r="G12" s="145"/>
      <c r="H12" s="145"/>
      <c r="I12" s="145"/>
      <c r="J12" s="145"/>
      <c r="K12" s="145"/>
      <c r="L12" s="145"/>
      <c r="M12" s="145"/>
      <c r="N12" s="145"/>
      <c r="O12" s="145"/>
      <c r="P12" s="145"/>
      <c r="Q12" s="145"/>
      <c r="R12" s="145"/>
    </row>
    <row r="13" spans="1:18" ht="13">
      <c r="A13" s="145"/>
      <c r="B13" s="156"/>
      <c r="C13" s="156"/>
      <c r="D13" s="145"/>
      <c r="E13" s="145"/>
      <c r="F13" s="145"/>
      <c r="G13" s="145"/>
      <c r="H13" s="145"/>
      <c r="I13" s="145"/>
      <c r="J13" s="145"/>
      <c r="K13" s="145"/>
      <c r="L13" s="145"/>
      <c r="M13" s="145"/>
      <c r="N13" s="145"/>
      <c r="O13" s="145"/>
      <c r="P13" s="145"/>
      <c r="Q13" s="145"/>
      <c r="R13" s="145"/>
    </row>
    <row r="14" spans="1:18" ht="13">
      <c r="A14" s="145"/>
      <c r="B14" s="156"/>
      <c r="C14" s="156"/>
      <c r="D14" s="145"/>
      <c r="E14" s="145"/>
      <c r="F14" s="145"/>
      <c r="G14" s="145"/>
      <c r="H14" s="145"/>
      <c r="I14" s="145"/>
      <c r="J14" s="145"/>
      <c r="K14" s="145"/>
      <c r="L14" s="145"/>
      <c r="M14" s="145"/>
      <c r="N14" s="145"/>
      <c r="O14" s="145"/>
      <c r="P14" s="145"/>
      <c r="Q14" s="145"/>
      <c r="R14" s="145"/>
    </row>
    <row r="15" spans="1:18" ht="13">
      <c r="A15" s="145"/>
      <c r="B15" s="156"/>
      <c r="C15" s="156"/>
      <c r="D15" s="145"/>
      <c r="E15" s="145"/>
      <c r="F15" s="145"/>
      <c r="G15" s="145"/>
      <c r="H15" s="145"/>
      <c r="I15" s="145"/>
      <c r="J15" s="145"/>
      <c r="K15" s="145"/>
      <c r="L15" s="145"/>
      <c r="M15" s="145"/>
      <c r="N15" s="145"/>
      <c r="O15" s="145"/>
      <c r="P15" s="145"/>
      <c r="Q15" s="145"/>
      <c r="R15" s="145"/>
    </row>
    <row r="16" spans="1:18" ht="13">
      <c r="A16" s="145"/>
      <c r="B16" s="156"/>
      <c r="C16" s="156"/>
      <c r="D16" s="145"/>
      <c r="E16" s="145"/>
      <c r="F16" s="145"/>
      <c r="G16" s="145"/>
      <c r="H16" s="145"/>
      <c r="I16" s="145"/>
      <c r="J16" s="145"/>
      <c r="K16" s="145"/>
      <c r="L16" s="145"/>
      <c r="M16" s="145"/>
      <c r="N16" s="145"/>
      <c r="O16" s="145"/>
      <c r="P16" s="145"/>
      <c r="Q16" s="145"/>
      <c r="R16" s="145"/>
    </row>
    <row r="17" spans="1:18" ht="13">
      <c r="A17" s="145"/>
      <c r="B17" s="156"/>
      <c r="C17" s="156"/>
      <c r="D17" s="145"/>
      <c r="E17" s="145"/>
      <c r="F17" s="145"/>
      <c r="G17" s="145"/>
      <c r="H17" s="145"/>
      <c r="I17" s="145"/>
      <c r="J17" s="145"/>
      <c r="K17" s="145"/>
      <c r="L17" s="145"/>
      <c r="M17" s="145"/>
      <c r="N17" s="145"/>
      <c r="O17" s="145"/>
      <c r="P17" s="145"/>
      <c r="Q17" s="145"/>
      <c r="R17" s="145"/>
    </row>
    <row r="18" spans="1:18" ht="13">
      <c r="A18" s="145"/>
      <c r="B18" s="156"/>
      <c r="C18" s="156"/>
      <c r="D18" s="145"/>
      <c r="E18" s="145"/>
      <c r="F18" s="145"/>
      <c r="G18" s="145"/>
      <c r="H18" s="145"/>
      <c r="I18" s="145"/>
      <c r="J18" s="145"/>
      <c r="K18" s="145"/>
      <c r="L18" s="145"/>
      <c r="M18" s="145"/>
      <c r="N18" s="145"/>
      <c r="O18" s="145"/>
      <c r="P18" s="145"/>
      <c r="Q18" s="145"/>
      <c r="R18" s="145"/>
    </row>
    <row r="19" spans="1:18" ht="13">
      <c r="A19" s="145"/>
      <c r="B19" s="156"/>
      <c r="C19" s="156"/>
      <c r="D19" s="145"/>
      <c r="E19" s="145"/>
      <c r="F19" s="145"/>
      <c r="G19" s="145"/>
      <c r="H19" s="145"/>
      <c r="I19" s="145"/>
      <c r="J19" s="145"/>
      <c r="K19" s="145"/>
      <c r="L19" s="145"/>
      <c r="M19" s="145"/>
      <c r="N19" s="145"/>
      <c r="O19" s="145"/>
      <c r="P19" s="145"/>
      <c r="Q19" s="145"/>
      <c r="R19" s="145"/>
    </row>
    <row r="20" spans="1:18" ht="13">
      <c r="A20" s="145"/>
      <c r="B20" s="156"/>
      <c r="C20" s="156"/>
      <c r="D20" s="145"/>
      <c r="E20" s="145"/>
      <c r="F20" s="145"/>
      <c r="G20" s="145"/>
      <c r="H20" s="145"/>
      <c r="I20" s="145"/>
      <c r="J20" s="145"/>
      <c r="K20" s="145"/>
      <c r="L20" s="145"/>
      <c r="M20" s="145"/>
      <c r="N20" s="145"/>
      <c r="O20" s="145"/>
      <c r="P20" s="145"/>
      <c r="Q20" s="145"/>
      <c r="R20" s="145"/>
    </row>
    <row r="21" spans="1:18" ht="18">
      <c r="A21" s="158"/>
      <c r="B21" s="157" t="s">
        <v>211</v>
      </c>
      <c r="C21" s="157"/>
      <c r="D21" s="158"/>
      <c r="E21" s="158"/>
      <c r="F21" s="158"/>
      <c r="G21" s="158"/>
      <c r="H21" s="158"/>
      <c r="I21" s="158"/>
      <c r="J21" s="158"/>
      <c r="K21" s="158"/>
      <c r="L21" s="158"/>
      <c r="M21" s="158"/>
      <c r="N21" s="158"/>
      <c r="O21" s="158"/>
      <c r="P21" s="158"/>
      <c r="Q21" s="158"/>
      <c r="R21" s="158"/>
    </row>
    <row r="22" spans="1:18" ht="13">
      <c r="A22" s="145"/>
      <c r="B22" s="156"/>
      <c r="C22" s="156"/>
      <c r="D22" s="145"/>
      <c r="E22" s="145"/>
      <c r="F22" s="145"/>
      <c r="G22" s="145"/>
      <c r="H22" s="145"/>
      <c r="I22" s="145"/>
      <c r="J22" s="145"/>
      <c r="K22" s="145"/>
      <c r="L22" s="145"/>
      <c r="M22" s="145"/>
      <c r="N22" s="145"/>
      <c r="O22" s="145"/>
      <c r="P22" s="145"/>
      <c r="Q22" s="145"/>
      <c r="R22" s="145"/>
    </row>
    <row r="23" spans="1:18" ht="13">
      <c r="A23" s="145"/>
      <c r="B23" s="145"/>
      <c r="C23" s="145"/>
      <c r="D23" s="159">
        <v>2014</v>
      </c>
      <c r="E23" s="159">
        <v>2015</v>
      </c>
      <c r="F23" s="159">
        <v>2016</v>
      </c>
      <c r="G23" s="160"/>
      <c r="H23" s="160"/>
      <c r="I23" s="160"/>
      <c r="J23" s="145"/>
      <c r="K23" s="145"/>
      <c r="L23" s="145"/>
      <c r="M23" s="145"/>
      <c r="N23" s="145"/>
      <c r="O23" s="145"/>
      <c r="P23" s="145"/>
      <c r="Q23" s="145"/>
      <c r="R23" s="145"/>
    </row>
    <row r="24" spans="1:18" ht="13">
      <c r="A24" s="145"/>
      <c r="B24" s="156" t="s">
        <v>212</v>
      </c>
      <c r="C24" s="156"/>
      <c r="D24" s="145">
        <v>0</v>
      </c>
      <c r="E24" s="145">
        <v>1</v>
      </c>
      <c r="F24" s="145">
        <v>2</v>
      </c>
      <c r="G24" s="145"/>
      <c r="H24" s="145"/>
      <c r="I24" s="145"/>
      <c r="J24" s="161"/>
      <c r="K24" s="161"/>
      <c r="L24" s="161"/>
      <c r="M24" s="161"/>
      <c r="N24" s="161"/>
      <c r="O24" s="161"/>
      <c r="P24" s="161"/>
      <c r="Q24" s="161"/>
      <c r="R24" s="161"/>
    </row>
    <row r="25" spans="1:18" ht="13">
      <c r="A25" s="145"/>
      <c r="B25" s="162"/>
      <c r="C25" s="162"/>
      <c r="D25" s="161"/>
      <c r="E25" s="161"/>
      <c r="F25" s="161"/>
      <c r="G25" s="161"/>
      <c r="H25" s="161"/>
      <c r="I25" s="161"/>
      <c r="J25" s="161"/>
      <c r="K25" s="161"/>
      <c r="L25" s="161"/>
      <c r="M25" s="161"/>
      <c r="N25" s="161"/>
      <c r="O25" s="161"/>
      <c r="P25" s="161"/>
      <c r="Q25" s="161"/>
      <c r="R25" s="161"/>
    </row>
    <row r="26" spans="1:18" ht="13">
      <c r="A26" s="145"/>
      <c r="B26" s="162"/>
      <c r="C26" s="162"/>
      <c r="D26" s="161"/>
      <c r="E26" s="161"/>
      <c r="F26" s="161"/>
      <c r="G26" s="161"/>
      <c r="H26" s="161"/>
      <c r="I26" s="161"/>
      <c r="J26" s="161"/>
      <c r="K26" s="161"/>
      <c r="L26" s="161"/>
      <c r="M26" s="161"/>
      <c r="N26" s="161"/>
      <c r="O26" s="161"/>
      <c r="P26" s="161"/>
      <c r="Q26" s="161"/>
      <c r="R26" s="161"/>
    </row>
    <row r="27" spans="1:18" ht="13">
      <c r="A27" s="145"/>
      <c r="B27" s="162" t="s">
        <v>213</v>
      </c>
      <c r="C27" s="163" t="s">
        <v>270</v>
      </c>
      <c r="D27" s="164">
        <f>+'DAV Inputs'!M19</f>
        <v>7157.9862172776402</v>
      </c>
      <c r="E27" s="164">
        <f>+'DAV Inputs'!N19</f>
        <v>9934.0619386219769</v>
      </c>
      <c r="F27" s="164">
        <f>+'DAV Inputs'!O19</f>
        <v>11653.710002241758</v>
      </c>
      <c r="G27" s="161"/>
      <c r="H27" s="161"/>
      <c r="I27" s="161"/>
      <c r="J27" s="161"/>
      <c r="K27" s="161"/>
      <c r="L27" s="161"/>
      <c r="M27" s="161"/>
      <c r="N27" s="161"/>
      <c r="O27" s="161"/>
      <c r="P27" s="161"/>
      <c r="Q27" s="161"/>
      <c r="R27" s="161"/>
    </row>
    <row r="28" spans="1:18" ht="13">
      <c r="A28" s="145"/>
      <c r="B28" s="162" t="s">
        <v>215</v>
      </c>
      <c r="C28" s="163" t="s">
        <v>271</v>
      </c>
      <c r="D28" s="165">
        <f>+'DAV Inputs'!B27/'DAV Inputs'!B3</f>
        <v>1.0548001648125258</v>
      </c>
      <c r="E28" s="165">
        <f>+D28</f>
        <v>1.0548001648125258</v>
      </c>
      <c r="F28" s="165">
        <f>+E28</f>
        <v>1.0548001648125258</v>
      </c>
      <c r="G28" s="145"/>
      <c r="H28" s="145"/>
      <c r="I28" s="145"/>
      <c r="J28" s="145"/>
      <c r="K28" s="145"/>
      <c r="L28" s="145"/>
      <c r="M28" s="145"/>
      <c r="N28" s="145"/>
      <c r="O28" s="145"/>
      <c r="P28" s="145"/>
      <c r="Q28" s="145"/>
      <c r="R28" s="145"/>
    </row>
    <row r="29" spans="1:18" ht="13">
      <c r="A29" s="145"/>
      <c r="B29" s="162" t="s">
        <v>216</v>
      </c>
      <c r="C29" s="163" t="s">
        <v>214</v>
      </c>
      <c r="D29" s="166">
        <f>D27*D28</f>
        <v>7550.2450417102427</v>
      </c>
      <c r="E29" s="166">
        <f t="shared" ref="E29:F29" si="0">E27*E28</f>
        <v>10478.450170116301</v>
      </c>
      <c r="F29" s="166">
        <f t="shared" si="0"/>
        <v>12292.335231041987</v>
      </c>
      <c r="G29" s="145"/>
      <c r="H29" s="145"/>
      <c r="I29" s="145"/>
      <c r="J29" s="145"/>
      <c r="K29" s="145"/>
      <c r="L29" s="145"/>
      <c r="M29" s="145"/>
      <c r="N29" s="145"/>
      <c r="O29" s="145"/>
      <c r="P29" s="145"/>
      <c r="Q29" s="145"/>
      <c r="R29" s="145"/>
    </row>
    <row r="30" spans="1:18" ht="13">
      <c r="A30" s="145"/>
      <c r="B30" s="162" t="s">
        <v>217</v>
      </c>
      <c r="C30" s="163" t="s">
        <v>214</v>
      </c>
      <c r="D30" s="167">
        <f>+'DAV Inputs'!M51</f>
        <v>10917.523716125379</v>
      </c>
      <c r="E30" s="167">
        <f>+'DAV Inputs'!N51</f>
        <v>11709.4592430024</v>
      </c>
      <c r="F30" s="167">
        <f>+'DAV Inputs'!O51</f>
        <v>11734.827055427017</v>
      </c>
      <c r="G30" s="145"/>
      <c r="H30" s="145"/>
      <c r="I30" s="145"/>
      <c r="J30" s="145"/>
      <c r="K30" s="145"/>
      <c r="L30" s="145"/>
      <c r="M30" s="145"/>
      <c r="N30" s="145"/>
      <c r="O30" s="145"/>
      <c r="P30" s="145"/>
      <c r="Q30" s="145"/>
      <c r="R30" s="145"/>
    </row>
    <row r="31" spans="1:18" ht="13">
      <c r="A31" s="145"/>
      <c r="B31" s="156" t="s">
        <v>218</v>
      </c>
      <c r="C31" s="163" t="s">
        <v>214</v>
      </c>
      <c r="D31" s="168">
        <f t="shared" ref="D31:E31" si="1">D29-D30</f>
        <v>-3367.2786744151363</v>
      </c>
      <c r="E31" s="168">
        <f t="shared" si="1"/>
        <v>-1231.0090728860996</v>
      </c>
      <c r="F31" s="168">
        <f>F29-F30</f>
        <v>557.50817561497024</v>
      </c>
      <c r="G31" s="145"/>
      <c r="H31" s="145"/>
      <c r="I31" s="145"/>
      <c r="J31" s="145"/>
      <c r="K31" s="145"/>
      <c r="L31" s="145"/>
      <c r="M31" s="145"/>
      <c r="N31" s="145"/>
      <c r="O31" s="145"/>
      <c r="P31" s="145"/>
      <c r="Q31" s="145"/>
      <c r="R31" s="145"/>
    </row>
    <row r="32" spans="1:18" ht="12.5">
      <c r="A32" s="145"/>
      <c r="B32" s="145"/>
      <c r="C32" s="145"/>
      <c r="D32" s="145"/>
      <c r="E32" s="145"/>
      <c r="F32" s="145"/>
      <c r="G32" s="145"/>
      <c r="H32" s="145"/>
      <c r="I32" s="145"/>
      <c r="J32" s="145"/>
      <c r="K32" s="145"/>
      <c r="L32" s="145"/>
      <c r="M32" s="145"/>
      <c r="N32" s="145"/>
      <c r="O32" s="145"/>
      <c r="P32" s="145"/>
      <c r="Q32" s="145"/>
      <c r="R32" s="145"/>
    </row>
    <row r="33" spans="1:18" ht="12.5">
      <c r="A33" s="145"/>
      <c r="B33" s="145"/>
      <c r="C33" s="145"/>
      <c r="D33" s="145"/>
      <c r="E33" s="145"/>
      <c r="F33" s="145"/>
      <c r="G33" s="145"/>
      <c r="H33" s="145"/>
      <c r="I33" s="145"/>
      <c r="J33" s="145"/>
      <c r="K33" s="145"/>
      <c r="L33" s="145"/>
      <c r="M33" s="145"/>
      <c r="N33" s="145"/>
      <c r="O33" s="145"/>
      <c r="P33" s="145"/>
      <c r="Q33" s="145"/>
      <c r="R33" s="145"/>
    </row>
    <row r="34" spans="1:18" ht="12.5">
      <c r="A34" s="145"/>
      <c r="B34" s="145"/>
      <c r="C34" s="145"/>
      <c r="D34" s="145"/>
      <c r="E34" s="145"/>
      <c r="F34" s="145"/>
      <c r="G34" s="145"/>
      <c r="H34" s="145"/>
      <c r="I34" s="145"/>
      <c r="J34" s="145"/>
      <c r="K34" s="145"/>
      <c r="L34" s="145"/>
      <c r="M34" s="145"/>
      <c r="N34" s="145"/>
      <c r="O34" s="145"/>
      <c r="P34" s="145"/>
      <c r="Q34" s="145"/>
      <c r="R34" s="145"/>
    </row>
    <row r="35" spans="1:18" ht="18">
      <c r="A35" s="158"/>
      <c r="B35" s="157" t="s">
        <v>219</v>
      </c>
      <c r="C35" s="157"/>
      <c r="D35" s="158"/>
      <c r="E35" s="158"/>
      <c r="F35" s="158"/>
      <c r="G35" s="158"/>
      <c r="H35" s="158"/>
      <c r="I35" s="158"/>
      <c r="J35" s="158"/>
      <c r="K35" s="158"/>
      <c r="L35" s="158"/>
      <c r="M35" s="158"/>
      <c r="N35" s="158"/>
      <c r="O35" s="158"/>
      <c r="P35" s="158"/>
      <c r="Q35" s="158"/>
      <c r="R35" s="158"/>
    </row>
    <row r="36" spans="1:18" ht="12.5">
      <c r="A36" s="145"/>
      <c r="B36" s="145"/>
      <c r="C36" s="145"/>
      <c r="D36" s="145"/>
      <c r="E36" s="145"/>
      <c r="F36" s="145"/>
      <c r="G36" s="145"/>
      <c r="H36" s="145"/>
      <c r="I36" s="145"/>
      <c r="J36" s="145"/>
      <c r="K36" s="145"/>
      <c r="L36" s="145"/>
      <c r="M36" s="145"/>
      <c r="N36" s="145"/>
      <c r="O36" s="145"/>
      <c r="P36" s="145"/>
      <c r="Q36" s="145"/>
      <c r="R36" s="145"/>
    </row>
    <row r="37" spans="1:18" ht="13">
      <c r="A37" s="145"/>
      <c r="B37" s="162" t="s">
        <v>220</v>
      </c>
      <c r="C37" s="162"/>
      <c r="D37" s="169">
        <f>D81</f>
        <v>-453.4626230012812</v>
      </c>
      <c r="E37" s="169">
        <f t="shared" ref="E37" si="2">E81</f>
        <v>-240.09530850421658</v>
      </c>
      <c r="F37" s="169">
        <f>F81</f>
        <v>140.04575835982033</v>
      </c>
      <c r="G37" s="169"/>
      <c r="H37" s="169"/>
      <c r="I37" s="169"/>
      <c r="J37" s="145"/>
      <c r="K37" s="145"/>
      <c r="L37" s="145"/>
      <c r="M37" s="145"/>
      <c r="N37" s="145"/>
      <c r="O37" s="145"/>
      <c r="P37" s="145"/>
      <c r="Q37" s="145"/>
      <c r="R37" s="145"/>
    </row>
    <row r="38" spans="1:18" ht="13">
      <c r="A38" s="145"/>
      <c r="B38" s="162" t="s">
        <v>221</v>
      </c>
      <c r="C38" s="162"/>
      <c r="D38" s="169">
        <f>D110</f>
        <v>0</v>
      </c>
      <c r="E38" s="169">
        <f t="shared" ref="E38:F38" si="3">E110</f>
        <v>0</v>
      </c>
      <c r="F38" s="169">
        <f t="shared" si="3"/>
        <v>0</v>
      </c>
      <c r="G38" s="169"/>
      <c r="H38" s="169"/>
      <c r="I38" s="169"/>
      <c r="J38" s="145"/>
      <c r="K38" s="145"/>
      <c r="L38" s="145"/>
      <c r="M38" s="145"/>
      <c r="N38" s="145"/>
      <c r="O38" s="145"/>
      <c r="P38" s="145"/>
      <c r="Q38" s="145"/>
      <c r="R38" s="145"/>
    </row>
    <row r="39" spans="1:18" ht="13">
      <c r="A39" s="145"/>
      <c r="B39" s="162" t="s">
        <v>222</v>
      </c>
      <c r="C39" s="162"/>
      <c r="D39" s="145"/>
      <c r="E39" s="145"/>
      <c r="F39" s="169">
        <f>$D$161</f>
        <v>-121.64886273978796</v>
      </c>
      <c r="G39" s="145"/>
      <c r="H39" s="145"/>
      <c r="I39" s="169"/>
      <c r="J39" s="145"/>
      <c r="K39" s="145"/>
      <c r="L39" s="145"/>
      <c r="M39" s="145"/>
      <c r="N39" s="145"/>
      <c r="O39" s="145"/>
      <c r="P39" s="145"/>
      <c r="Q39" s="145"/>
      <c r="R39" s="145"/>
    </row>
    <row r="40" spans="1:18" ht="13">
      <c r="A40" s="145"/>
      <c r="B40" s="162" t="s">
        <v>223</v>
      </c>
      <c r="C40" s="162"/>
      <c r="D40" s="145"/>
      <c r="E40" s="145"/>
      <c r="F40" s="169">
        <f>$D$203</f>
        <v>0</v>
      </c>
      <c r="G40" s="145"/>
      <c r="H40" s="145"/>
      <c r="I40" s="169"/>
      <c r="J40" s="145"/>
      <c r="K40" s="145"/>
      <c r="L40" s="145"/>
      <c r="M40" s="145"/>
      <c r="N40" s="145"/>
      <c r="O40" s="145"/>
      <c r="P40" s="145"/>
      <c r="Q40" s="145"/>
      <c r="R40" s="145"/>
    </row>
    <row r="41" spans="1:18" ht="13">
      <c r="A41" s="145"/>
      <c r="B41" s="162" t="s">
        <v>224</v>
      </c>
      <c r="C41" s="162"/>
      <c r="D41" s="145"/>
      <c r="E41" s="145"/>
      <c r="F41" s="169">
        <f>$D$236</f>
        <v>0</v>
      </c>
      <c r="G41" s="145"/>
      <c r="H41" s="145"/>
      <c r="I41" s="169"/>
      <c r="J41" s="145"/>
      <c r="K41" s="145"/>
      <c r="L41" s="145"/>
      <c r="M41" s="145"/>
      <c r="N41" s="145"/>
      <c r="O41" s="145"/>
      <c r="P41" s="145"/>
      <c r="Q41" s="145"/>
      <c r="R41" s="145"/>
    </row>
    <row r="42" spans="1:18" ht="13">
      <c r="A42" s="145"/>
      <c r="B42" s="162" t="s">
        <v>225</v>
      </c>
      <c r="C42" s="162"/>
      <c r="D42" s="145"/>
      <c r="E42" s="145"/>
      <c r="F42" s="169">
        <f>$D$254</f>
        <v>-509.9422023940607</v>
      </c>
      <c r="G42" s="145"/>
      <c r="H42" s="145"/>
      <c r="I42" s="169"/>
      <c r="J42" s="145"/>
      <c r="K42" s="145"/>
      <c r="L42" s="145"/>
      <c r="M42" s="145"/>
      <c r="N42" s="145"/>
      <c r="O42" s="145"/>
      <c r="P42" s="145"/>
      <c r="Q42" s="145"/>
      <c r="R42" s="145"/>
    </row>
    <row r="43" spans="1:18" ht="13">
      <c r="A43" s="145"/>
      <c r="B43" s="162"/>
      <c r="C43" s="162"/>
      <c r="D43" s="145"/>
      <c r="E43" s="145"/>
      <c r="F43" s="145"/>
      <c r="G43" s="145"/>
      <c r="H43" s="145"/>
      <c r="I43" s="145"/>
      <c r="J43" s="145"/>
      <c r="K43" s="145"/>
      <c r="L43" s="145"/>
      <c r="M43" s="145"/>
      <c r="N43" s="145"/>
      <c r="O43" s="145"/>
      <c r="P43" s="145"/>
      <c r="Q43" s="145"/>
      <c r="R43" s="145"/>
    </row>
    <row r="44" spans="1:18" ht="13">
      <c r="A44" s="145"/>
      <c r="B44" s="170" t="s">
        <v>226</v>
      </c>
      <c r="C44" s="170"/>
      <c r="D44" s="170"/>
      <c r="E44" s="170"/>
      <c r="F44" s="171">
        <f>$D$11*(SUM($D$37:$F$37)-SUM($D$38:$F$38)+F39+F40+($D$12*(F41+F42)))</f>
        <v>-1185.1032382795261</v>
      </c>
      <c r="G44" s="111">
        <f>F44</f>
        <v>-1185.1032382795261</v>
      </c>
      <c r="H44" s="172"/>
      <c r="I44" s="173"/>
      <c r="J44" s="145"/>
      <c r="K44" s="145"/>
      <c r="L44" s="145"/>
      <c r="M44" s="145"/>
      <c r="N44" s="145"/>
      <c r="O44" s="145"/>
      <c r="P44" s="145"/>
      <c r="Q44" s="145"/>
      <c r="R44" s="145"/>
    </row>
    <row r="45" spans="1:18" ht="13">
      <c r="A45" s="145"/>
      <c r="B45" s="156"/>
      <c r="C45" s="156"/>
      <c r="D45" s="145"/>
      <c r="E45" s="145"/>
      <c r="F45" s="145"/>
      <c r="G45" s="145"/>
      <c r="H45" s="145"/>
      <c r="I45" s="145"/>
      <c r="J45" s="145"/>
      <c r="K45" s="145"/>
      <c r="L45" s="145"/>
      <c r="M45" s="145"/>
      <c r="N45" s="145"/>
      <c r="O45" s="145"/>
      <c r="P45" s="145"/>
      <c r="Q45" s="145"/>
      <c r="R45" s="145"/>
    </row>
    <row r="46" spans="1:18" ht="18">
      <c r="A46" s="158"/>
      <c r="B46" s="157" t="s">
        <v>227</v>
      </c>
      <c r="C46" s="157"/>
      <c r="D46" s="158"/>
      <c r="E46" s="158"/>
      <c r="F46" s="158"/>
      <c r="G46" s="158"/>
      <c r="H46" s="158"/>
      <c r="I46" s="158"/>
      <c r="J46" s="158"/>
      <c r="K46" s="158"/>
      <c r="L46" s="158"/>
      <c r="M46" s="158"/>
      <c r="N46" s="158"/>
      <c r="O46" s="158"/>
      <c r="P46" s="158"/>
      <c r="Q46" s="158"/>
      <c r="R46" s="158"/>
    </row>
    <row r="47" spans="1:18" ht="12.5">
      <c r="A47" s="145"/>
      <c r="B47" s="145"/>
      <c r="C47" s="145"/>
      <c r="D47" s="145"/>
      <c r="E47" s="145"/>
      <c r="F47" s="145"/>
      <c r="G47" s="145"/>
      <c r="H47" s="145"/>
      <c r="I47" s="145"/>
      <c r="J47" s="145"/>
      <c r="K47" s="145"/>
      <c r="L47" s="145"/>
      <c r="M47" s="145"/>
      <c r="N47" s="145"/>
      <c r="O47" s="145"/>
      <c r="P47" s="145"/>
      <c r="Q47" s="145"/>
      <c r="R47" s="145"/>
    </row>
    <row r="48" spans="1:18" ht="12.5">
      <c r="A48" s="145"/>
      <c r="B48" s="145"/>
      <c r="C48" s="145"/>
      <c r="D48" s="145"/>
      <c r="E48" s="145"/>
      <c r="F48" s="145"/>
      <c r="G48" s="145"/>
      <c r="H48" s="145"/>
      <c r="I48" s="145"/>
      <c r="J48" s="145"/>
      <c r="K48" s="145"/>
      <c r="L48" s="145"/>
      <c r="M48" s="145"/>
      <c r="N48" s="145"/>
      <c r="O48" s="145"/>
      <c r="P48" s="145"/>
      <c r="Q48" s="145"/>
      <c r="R48" s="145"/>
    </row>
    <row r="49" spans="1:18" ht="12.5">
      <c r="A49" s="145"/>
      <c r="B49" s="145"/>
      <c r="C49" s="145"/>
      <c r="D49" s="145"/>
      <c r="E49" s="145"/>
      <c r="F49" s="145"/>
      <c r="G49" s="145"/>
      <c r="H49" s="145"/>
      <c r="I49" s="145"/>
      <c r="J49" s="145"/>
      <c r="K49" s="145"/>
      <c r="L49" s="145"/>
      <c r="M49" s="145"/>
      <c r="N49" s="145"/>
      <c r="O49" s="145"/>
      <c r="P49" s="145"/>
      <c r="Q49" s="145"/>
      <c r="R49" s="145"/>
    </row>
    <row r="50" spans="1:18" ht="12.5">
      <c r="A50" s="145"/>
      <c r="B50" s="145"/>
      <c r="C50" s="145"/>
      <c r="D50" s="145"/>
      <c r="E50" s="145"/>
      <c r="F50" s="145"/>
      <c r="G50" s="145"/>
      <c r="H50" s="145"/>
      <c r="I50" s="145"/>
      <c r="J50" s="145"/>
      <c r="K50" s="145"/>
      <c r="L50" s="145"/>
      <c r="M50" s="145"/>
      <c r="N50" s="145"/>
      <c r="O50" s="145"/>
      <c r="P50" s="145"/>
      <c r="Q50" s="145"/>
      <c r="R50" s="145"/>
    </row>
    <row r="51" spans="1:18" ht="12.5">
      <c r="A51" s="145"/>
      <c r="B51" s="145"/>
      <c r="C51" s="145"/>
      <c r="D51" s="145"/>
      <c r="E51" s="145"/>
      <c r="F51" s="145"/>
      <c r="G51" s="145"/>
      <c r="H51" s="145"/>
      <c r="I51" s="145"/>
      <c r="J51" s="145"/>
      <c r="K51" s="145"/>
      <c r="L51" s="145"/>
      <c r="M51" s="145"/>
      <c r="N51" s="145"/>
      <c r="O51" s="145"/>
      <c r="P51" s="145"/>
      <c r="Q51" s="145"/>
      <c r="R51" s="145"/>
    </row>
    <row r="52" spans="1:18" ht="12.5">
      <c r="A52" s="145"/>
      <c r="B52" s="145"/>
      <c r="C52" s="145"/>
      <c r="D52" s="145"/>
      <c r="E52" s="145"/>
      <c r="F52" s="145"/>
      <c r="G52" s="145"/>
      <c r="H52" s="145"/>
      <c r="I52" s="145"/>
      <c r="J52" s="145"/>
      <c r="K52" s="145"/>
      <c r="L52" s="145"/>
      <c r="M52" s="145"/>
      <c r="N52" s="145"/>
      <c r="O52" s="145"/>
      <c r="P52" s="145"/>
      <c r="Q52" s="145"/>
      <c r="R52" s="145"/>
    </row>
    <row r="53" spans="1:18" ht="12.5">
      <c r="A53" s="145"/>
      <c r="B53" s="145"/>
      <c r="C53" s="145"/>
      <c r="D53" s="145"/>
      <c r="E53" s="145"/>
      <c r="F53" s="145"/>
      <c r="G53" s="145"/>
      <c r="H53" s="145"/>
      <c r="I53" s="145"/>
      <c r="J53" s="145"/>
      <c r="K53" s="145"/>
      <c r="L53" s="145"/>
      <c r="M53" s="145"/>
      <c r="N53" s="145"/>
      <c r="O53" s="145"/>
      <c r="P53" s="145"/>
      <c r="Q53" s="145"/>
      <c r="R53" s="145"/>
    </row>
    <row r="54" spans="1:18" ht="12.5">
      <c r="A54" s="145"/>
      <c r="B54" s="145"/>
      <c r="C54" s="145"/>
      <c r="D54" s="145"/>
      <c r="E54" s="145"/>
      <c r="F54" s="145"/>
      <c r="G54" s="145"/>
      <c r="H54" s="145"/>
      <c r="I54" s="145"/>
      <c r="J54" s="145"/>
      <c r="K54" s="145"/>
      <c r="L54" s="145"/>
      <c r="M54" s="145"/>
      <c r="N54" s="145"/>
      <c r="O54" s="145"/>
      <c r="P54" s="145"/>
      <c r="Q54" s="145"/>
      <c r="R54" s="145"/>
    </row>
    <row r="55" spans="1:18" ht="12.5">
      <c r="A55" s="145"/>
      <c r="B55" s="145"/>
      <c r="C55" s="145"/>
      <c r="D55" s="145"/>
      <c r="E55" s="145"/>
      <c r="F55" s="145"/>
      <c r="G55" s="145"/>
      <c r="H55" s="145"/>
      <c r="I55" s="145"/>
      <c r="J55" s="145"/>
      <c r="K55" s="145"/>
      <c r="L55" s="145"/>
      <c r="M55" s="145"/>
      <c r="N55" s="145"/>
      <c r="O55" s="145"/>
      <c r="P55" s="145"/>
      <c r="Q55" s="145"/>
      <c r="R55" s="145"/>
    </row>
    <row r="56" spans="1:18" ht="12.5">
      <c r="A56" s="174"/>
      <c r="B56" s="174"/>
      <c r="C56" s="174"/>
      <c r="D56" s="174"/>
      <c r="E56" s="174"/>
      <c r="F56" s="174"/>
      <c r="G56" s="174"/>
      <c r="H56" s="174"/>
      <c r="I56" s="174"/>
      <c r="J56" s="174"/>
      <c r="K56" s="174"/>
      <c r="L56" s="174"/>
      <c r="M56" s="174"/>
      <c r="N56" s="174"/>
      <c r="O56" s="174"/>
      <c r="P56" s="174"/>
      <c r="Q56" s="174"/>
      <c r="R56" s="174"/>
    </row>
    <row r="57" spans="1:18" ht="12.5">
      <c r="A57" s="145"/>
      <c r="B57" s="145"/>
      <c r="C57" s="145"/>
      <c r="D57" s="145"/>
      <c r="E57" s="145"/>
      <c r="F57" s="145"/>
      <c r="G57" s="145"/>
      <c r="H57" s="145"/>
      <c r="I57" s="145"/>
      <c r="J57" s="145"/>
      <c r="K57" s="145"/>
      <c r="L57" s="145"/>
      <c r="M57" s="145"/>
      <c r="N57" s="145"/>
      <c r="O57" s="145"/>
      <c r="P57" s="145"/>
      <c r="Q57" s="145"/>
      <c r="R57" s="145"/>
    </row>
    <row r="58" spans="1:18" ht="12.5">
      <c r="A58" s="145"/>
      <c r="B58" s="145"/>
      <c r="C58" s="145"/>
      <c r="D58" s="145"/>
      <c r="E58" s="145"/>
      <c r="F58" s="145"/>
      <c r="G58" s="145"/>
      <c r="H58" s="145"/>
      <c r="I58" s="145"/>
      <c r="J58" s="145"/>
      <c r="K58" s="145"/>
      <c r="L58" s="145"/>
      <c r="M58" s="145"/>
      <c r="N58" s="145"/>
      <c r="O58" s="145"/>
      <c r="P58" s="145"/>
      <c r="Q58" s="145"/>
      <c r="R58" s="145"/>
    </row>
    <row r="59" spans="1:18" ht="12.5">
      <c r="A59" s="145"/>
      <c r="B59" s="145"/>
      <c r="C59" s="145"/>
      <c r="D59" s="145"/>
      <c r="E59" s="145"/>
      <c r="F59" s="145"/>
      <c r="G59" s="145"/>
      <c r="H59" s="145"/>
      <c r="I59" s="145"/>
      <c r="J59" s="145"/>
      <c r="K59" s="145"/>
      <c r="L59" s="145"/>
      <c r="M59" s="145"/>
      <c r="N59" s="145"/>
      <c r="O59" s="145"/>
      <c r="P59" s="145"/>
      <c r="Q59" s="145"/>
      <c r="R59" s="145"/>
    </row>
    <row r="60" spans="1:18" ht="12.5">
      <c r="A60" s="145"/>
      <c r="B60" s="145"/>
      <c r="C60" s="145"/>
      <c r="D60" s="145"/>
      <c r="E60" s="145"/>
      <c r="F60" s="145"/>
      <c r="G60" s="145"/>
      <c r="H60" s="145"/>
      <c r="I60" s="145"/>
      <c r="J60" s="145"/>
      <c r="K60" s="145"/>
      <c r="L60" s="145"/>
      <c r="M60" s="145"/>
      <c r="N60" s="145"/>
      <c r="O60" s="145"/>
      <c r="P60" s="145"/>
      <c r="Q60" s="145"/>
      <c r="R60" s="145"/>
    </row>
    <row r="61" spans="1:18" ht="12.5">
      <c r="A61" s="145"/>
      <c r="B61" s="145"/>
      <c r="C61" s="145"/>
      <c r="D61" s="145"/>
      <c r="E61" s="145"/>
      <c r="F61" s="145"/>
      <c r="G61" s="145"/>
      <c r="H61" s="145"/>
      <c r="I61" s="145"/>
      <c r="J61" s="145"/>
      <c r="K61" s="145"/>
      <c r="L61" s="145"/>
      <c r="M61" s="145"/>
      <c r="N61" s="145"/>
      <c r="O61" s="145"/>
      <c r="P61" s="145"/>
      <c r="Q61" s="145"/>
      <c r="R61" s="145"/>
    </row>
    <row r="62" spans="1:18" ht="12.5">
      <c r="A62" s="145"/>
      <c r="B62" s="145"/>
      <c r="C62" s="145"/>
      <c r="D62" s="145"/>
      <c r="E62" s="145"/>
      <c r="F62" s="145"/>
      <c r="G62" s="145"/>
      <c r="H62" s="145"/>
      <c r="I62" s="145"/>
      <c r="J62" s="145"/>
      <c r="K62" s="145"/>
      <c r="L62" s="145"/>
      <c r="M62" s="145"/>
      <c r="N62" s="145"/>
      <c r="O62" s="145"/>
      <c r="P62" s="145"/>
      <c r="Q62" s="145"/>
      <c r="R62" s="145"/>
    </row>
    <row r="63" spans="1:18" ht="13">
      <c r="A63" s="145"/>
      <c r="B63" s="175" t="s">
        <v>228</v>
      </c>
      <c r="C63" s="175"/>
      <c r="D63" s="145"/>
      <c r="E63" s="145"/>
      <c r="F63" s="145"/>
      <c r="G63" s="145"/>
      <c r="H63" s="145"/>
      <c r="I63" s="145"/>
      <c r="J63" s="145"/>
      <c r="K63" s="145"/>
      <c r="L63" s="145"/>
      <c r="M63" s="145"/>
      <c r="N63" s="145"/>
      <c r="O63" s="145"/>
      <c r="P63" s="145"/>
      <c r="Q63" s="145"/>
      <c r="R63" s="145"/>
    </row>
    <row r="64" spans="1:18" ht="13">
      <c r="A64" s="145"/>
      <c r="B64" s="156" t="s">
        <v>229</v>
      </c>
      <c r="C64" s="156"/>
      <c r="D64" s="145">
        <f>$D$3+1</f>
        <v>3</v>
      </c>
      <c r="E64" s="145">
        <f t="shared" ref="E64:F64" si="4">$D$3+1</f>
        <v>3</v>
      </c>
      <c r="F64" s="145">
        <f t="shared" si="4"/>
        <v>3</v>
      </c>
      <c r="G64" s="145"/>
      <c r="H64" s="145"/>
      <c r="I64" s="145"/>
      <c r="J64" s="145"/>
      <c r="K64" s="145"/>
      <c r="L64" s="145"/>
      <c r="M64" s="145"/>
      <c r="N64" s="145"/>
      <c r="O64" s="145"/>
      <c r="P64" s="145"/>
      <c r="Q64" s="145"/>
      <c r="R64" s="145"/>
    </row>
    <row r="65" spans="1:18" ht="13">
      <c r="A65" s="176" t="s">
        <v>230</v>
      </c>
      <c r="B65" s="156" t="s">
        <v>231</v>
      </c>
      <c r="C65" s="156"/>
      <c r="D65" s="145">
        <f>D24+$D$4-1</f>
        <v>4</v>
      </c>
      <c r="E65" s="145">
        <f t="shared" ref="E65:F65" si="5">E24+$D$4-1</f>
        <v>5</v>
      </c>
      <c r="F65" s="145">
        <f t="shared" si="5"/>
        <v>6</v>
      </c>
      <c r="G65" s="145"/>
      <c r="H65" s="145"/>
      <c r="I65" s="145"/>
      <c r="J65" s="145"/>
      <c r="K65" s="145"/>
      <c r="L65" s="145"/>
      <c r="M65" s="145"/>
      <c r="N65" s="145"/>
      <c r="O65" s="145"/>
      <c r="P65" s="145"/>
      <c r="Q65" s="145"/>
      <c r="R65" s="145"/>
    </row>
    <row r="66" spans="1:18" ht="13">
      <c r="A66" s="176"/>
      <c r="B66" s="156"/>
      <c r="C66" s="156"/>
      <c r="D66" s="177">
        <f>D65-D64</f>
        <v>1</v>
      </c>
      <c r="E66" s="177">
        <f t="shared" ref="E66:F66" si="6">E65-E64</f>
        <v>2</v>
      </c>
      <c r="F66" s="177">
        <f t="shared" si="6"/>
        <v>3</v>
      </c>
      <c r="G66" s="177"/>
      <c r="H66" s="177"/>
      <c r="I66" s="177"/>
      <c r="J66" s="145"/>
      <c r="K66" s="145"/>
      <c r="L66" s="145"/>
      <c r="M66" s="145"/>
      <c r="N66" s="145"/>
      <c r="O66" s="145"/>
      <c r="P66" s="145"/>
      <c r="Q66" s="145"/>
      <c r="R66" s="145"/>
    </row>
    <row r="67" spans="1:18" ht="13">
      <c r="A67" s="145"/>
      <c r="B67" s="175" t="s">
        <v>232</v>
      </c>
      <c r="C67" s="175"/>
      <c r="D67" s="145"/>
      <c r="E67" s="145"/>
      <c r="F67" s="145"/>
      <c r="G67" s="145"/>
      <c r="H67" s="145"/>
      <c r="I67" s="145"/>
      <c r="J67" s="145"/>
      <c r="K67" s="145"/>
      <c r="L67" s="145"/>
      <c r="M67" s="145"/>
      <c r="N67" s="145"/>
      <c r="O67" s="145"/>
      <c r="P67" s="145"/>
      <c r="Q67" s="145"/>
      <c r="R67" s="145"/>
    </row>
    <row r="68" spans="1:18" ht="13">
      <c r="A68" s="145"/>
      <c r="B68" s="156" t="s">
        <v>233</v>
      </c>
      <c r="C68" s="156"/>
      <c r="D68" s="145">
        <f>IF(D66&lt;0, 0, D64-$D$3)</f>
        <v>1</v>
      </c>
      <c r="E68" s="145">
        <f t="shared" ref="E68" si="7">IF(E66&lt;0, 0, E64-$D$3)</f>
        <v>1</v>
      </c>
      <c r="F68" s="145">
        <f>IF(F66&lt;0, 0, F64-$D$3)</f>
        <v>1</v>
      </c>
      <c r="G68" s="145"/>
      <c r="H68" s="145"/>
      <c r="I68" s="145"/>
      <c r="J68" s="145"/>
      <c r="K68" s="145"/>
      <c r="L68" s="145"/>
      <c r="M68" s="145"/>
      <c r="N68" s="145"/>
      <c r="O68" s="145"/>
      <c r="P68" s="145"/>
      <c r="Q68" s="145"/>
      <c r="R68" s="145"/>
    </row>
    <row r="69" spans="1:18" ht="13">
      <c r="A69" s="145"/>
      <c r="B69" s="177"/>
      <c r="C69" s="177"/>
      <c r="D69" s="145">
        <f>IF(OR(D68=0, D$66&lt;D68), 0, D68+1)</f>
        <v>2</v>
      </c>
      <c r="E69" s="145">
        <f t="shared" ref="E69:F72" si="8">IF(OR(E68=0, E$66&lt;E68), 0, E68+1)</f>
        <v>2</v>
      </c>
      <c r="F69" s="145">
        <f t="shared" si="8"/>
        <v>2</v>
      </c>
      <c r="G69" s="145"/>
      <c r="H69" s="145"/>
      <c r="I69" s="145"/>
      <c r="J69" s="145"/>
      <c r="K69" s="145"/>
      <c r="L69" s="145"/>
      <c r="M69" s="145"/>
      <c r="N69" s="145"/>
      <c r="O69" s="145"/>
      <c r="P69" s="145"/>
      <c r="Q69" s="145"/>
      <c r="R69" s="145"/>
    </row>
    <row r="70" spans="1:18" ht="13">
      <c r="A70" s="145"/>
      <c r="B70" s="177"/>
      <c r="C70" s="177"/>
      <c r="D70" s="145">
        <f t="shared" ref="D70:D72" si="9">IF(OR(D69=0, D$66&lt;D69), 0, D69+1)</f>
        <v>0</v>
      </c>
      <c r="E70" s="145">
        <f t="shared" si="8"/>
        <v>3</v>
      </c>
      <c r="F70" s="145">
        <f t="shared" si="8"/>
        <v>3</v>
      </c>
      <c r="G70" s="145"/>
      <c r="H70" s="145"/>
      <c r="I70" s="145"/>
      <c r="J70" s="145"/>
      <c r="K70" s="145"/>
      <c r="L70" s="145"/>
      <c r="M70" s="145"/>
      <c r="N70" s="145"/>
      <c r="O70" s="145"/>
      <c r="P70" s="145"/>
      <c r="Q70" s="145"/>
      <c r="R70" s="145"/>
    </row>
    <row r="71" spans="1:18" ht="13">
      <c r="A71" s="145"/>
      <c r="B71" s="177"/>
      <c r="C71" s="177"/>
      <c r="D71" s="145">
        <f t="shared" si="9"/>
        <v>0</v>
      </c>
      <c r="E71" s="145">
        <f t="shared" si="8"/>
        <v>0</v>
      </c>
      <c r="F71" s="145">
        <f t="shared" si="8"/>
        <v>4</v>
      </c>
      <c r="G71" s="145"/>
      <c r="H71" s="145"/>
      <c r="I71" s="145"/>
      <c r="J71" s="145"/>
      <c r="K71" s="145"/>
      <c r="L71" s="145"/>
      <c r="M71" s="145"/>
      <c r="N71" s="145"/>
      <c r="O71" s="145"/>
      <c r="P71" s="145"/>
      <c r="Q71" s="145"/>
      <c r="R71" s="145"/>
    </row>
    <row r="72" spans="1:18" ht="13">
      <c r="A72" s="145"/>
      <c r="B72" s="177"/>
      <c r="C72" s="177"/>
      <c r="D72" s="145">
        <f t="shared" si="9"/>
        <v>0</v>
      </c>
      <c r="E72" s="145">
        <f t="shared" si="8"/>
        <v>0</v>
      </c>
      <c r="F72" s="145">
        <f t="shared" si="8"/>
        <v>0</v>
      </c>
      <c r="G72" s="145"/>
      <c r="H72" s="145"/>
      <c r="I72" s="145"/>
      <c r="J72" s="145"/>
      <c r="K72" s="145"/>
      <c r="L72" s="145"/>
      <c r="M72" s="145"/>
      <c r="N72" s="145"/>
      <c r="O72" s="145"/>
      <c r="P72" s="145"/>
      <c r="Q72" s="145"/>
      <c r="R72" s="145"/>
    </row>
    <row r="73" spans="1:18" ht="12.5">
      <c r="A73" s="145"/>
      <c r="B73" s="145"/>
      <c r="C73" s="145"/>
      <c r="D73" s="145"/>
      <c r="E73" s="145"/>
      <c r="F73" s="145"/>
      <c r="G73" s="145"/>
      <c r="H73" s="145"/>
      <c r="I73" s="145"/>
      <c r="J73" s="145"/>
      <c r="K73" s="145"/>
      <c r="L73" s="145"/>
      <c r="M73" s="145"/>
      <c r="N73" s="145"/>
      <c r="O73" s="145"/>
      <c r="P73" s="145"/>
      <c r="Q73" s="145"/>
      <c r="R73" s="145"/>
    </row>
    <row r="74" spans="1:18" ht="13">
      <c r="A74" s="145"/>
      <c r="B74" s="175" t="s">
        <v>234</v>
      </c>
      <c r="C74" s="175"/>
      <c r="D74" s="145"/>
      <c r="E74" s="145"/>
      <c r="F74" s="145"/>
      <c r="G74" s="145"/>
      <c r="H74" s="145"/>
      <c r="I74" s="145"/>
      <c r="J74" s="145"/>
      <c r="K74" s="145"/>
      <c r="L74" s="145"/>
      <c r="M74" s="145"/>
      <c r="N74" s="145"/>
      <c r="O74" s="145"/>
      <c r="P74" s="145"/>
      <c r="Q74" s="145"/>
      <c r="R74" s="145"/>
    </row>
    <row r="75" spans="1:18" ht="12.5">
      <c r="A75" s="145"/>
      <c r="B75" s="145"/>
      <c r="C75" s="145"/>
      <c r="D75" s="178">
        <f>IF(D68&gt;0, $D$6/((1+$D$6)^D68), 0)</f>
        <v>6.9767441860465115E-2</v>
      </c>
      <c r="E75" s="178">
        <f t="shared" ref="D75:F79" si="10">IF(E68&gt;0, $D$6/((1+$D$6)^E68), 0)</f>
        <v>6.9767441860465115E-2</v>
      </c>
      <c r="F75" s="178">
        <f t="shared" si="10"/>
        <v>6.9767441860465115E-2</v>
      </c>
      <c r="G75" s="178"/>
      <c r="H75" s="178"/>
      <c r="I75" s="178"/>
      <c r="J75" s="145"/>
      <c r="K75" s="145"/>
      <c r="L75" s="145"/>
      <c r="M75" s="145"/>
      <c r="N75" s="145"/>
      <c r="O75" s="145"/>
      <c r="P75" s="145"/>
      <c r="Q75" s="145"/>
      <c r="R75" s="145"/>
    </row>
    <row r="76" spans="1:18" ht="13">
      <c r="A76" s="145"/>
      <c r="B76" s="177"/>
      <c r="C76" s="177"/>
      <c r="D76" s="178">
        <f t="shared" si="10"/>
        <v>6.4899945916711735E-2</v>
      </c>
      <c r="E76" s="178">
        <f t="shared" si="10"/>
        <v>6.4899945916711735E-2</v>
      </c>
      <c r="F76" s="178">
        <f t="shared" si="10"/>
        <v>6.4899945916711735E-2</v>
      </c>
      <c r="G76" s="178"/>
      <c r="H76" s="178"/>
      <c r="I76" s="178"/>
      <c r="J76" s="145"/>
      <c r="K76" s="145"/>
      <c r="L76" s="145"/>
      <c r="M76" s="145"/>
      <c r="N76" s="145"/>
      <c r="O76" s="145"/>
      <c r="P76" s="145"/>
      <c r="Q76" s="145"/>
      <c r="R76" s="145"/>
    </row>
    <row r="77" spans="1:18" ht="13">
      <c r="A77" s="145"/>
      <c r="B77" s="177"/>
      <c r="C77" s="177"/>
      <c r="D77" s="178">
        <f t="shared" si="10"/>
        <v>0</v>
      </c>
      <c r="E77" s="178">
        <f t="shared" si="10"/>
        <v>6.0372042713220227E-2</v>
      </c>
      <c r="F77" s="178">
        <f t="shared" si="10"/>
        <v>6.0372042713220227E-2</v>
      </c>
      <c r="G77" s="178"/>
      <c r="H77" s="178"/>
      <c r="I77" s="178"/>
      <c r="J77" s="145"/>
      <c r="K77" s="145"/>
      <c r="L77" s="145"/>
      <c r="M77" s="145"/>
      <c r="N77" s="145"/>
      <c r="O77" s="145"/>
      <c r="P77" s="145"/>
      <c r="Q77" s="145"/>
      <c r="R77" s="145"/>
    </row>
    <row r="78" spans="1:18" ht="13">
      <c r="A78" s="145"/>
      <c r="B78" s="177"/>
      <c r="C78" s="177"/>
      <c r="D78" s="178">
        <f t="shared" si="10"/>
        <v>0</v>
      </c>
      <c r="E78" s="178">
        <f t="shared" si="10"/>
        <v>0</v>
      </c>
      <c r="F78" s="178">
        <f t="shared" si="10"/>
        <v>5.6160039733228112E-2</v>
      </c>
      <c r="G78" s="178"/>
      <c r="H78" s="178"/>
      <c r="I78" s="178"/>
      <c r="J78" s="145"/>
      <c r="K78" s="145"/>
      <c r="L78" s="145"/>
      <c r="M78" s="145"/>
      <c r="N78" s="145"/>
      <c r="O78" s="145"/>
      <c r="P78" s="145"/>
      <c r="Q78" s="145"/>
      <c r="R78" s="145"/>
    </row>
    <row r="79" spans="1:18" ht="13">
      <c r="A79" s="145"/>
      <c r="B79" s="177"/>
      <c r="C79" s="177"/>
      <c r="D79" s="178">
        <f t="shared" si="10"/>
        <v>0</v>
      </c>
      <c r="E79" s="178">
        <f t="shared" si="10"/>
        <v>0</v>
      </c>
      <c r="F79" s="178">
        <f t="shared" si="10"/>
        <v>0</v>
      </c>
      <c r="G79" s="178"/>
      <c r="H79" s="178"/>
      <c r="I79" s="178"/>
      <c r="J79" s="145"/>
      <c r="K79" s="145"/>
      <c r="L79" s="145"/>
      <c r="M79" s="169"/>
      <c r="N79" s="169"/>
      <c r="O79" s="169"/>
      <c r="P79" s="169"/>
      <c r="Q79" s="169"/>
      <c r="R79" s="169"/>
    </row>
    <row r="80" spans="1:18" ht="12.5">
      <c r="A80" s="145"/>
      <c r="B80" s="145"/>
      <c r="C80" s="145"/>
      <c r="D80" s="145"/>
      <c r="E80" s="145"/>
      <c r="F80" s="145"/>
      <c r="G80" s="145"/>
      <c r="H80" s="145"/>
      <c r="I80" s="145"/>
      <c r="J80" s="145"/>
      <c r="K80" s="145"/>
      <c r="L80" s="145"/>
      <c r="M80" s="145"/>
      <c r="N80" s="145"/>
      <c r="O80" s="145"/>
      <c r="P80" s="145"/>
      <c r="Q80" s="145"/>
      <c r="R80" s="145"/>
    </row>
    <row r="81" spans="1:18" ht="13">
      <c r="A81" s="145"/>
      <c r="B81" s="175" t="s">
        <v>220</v>
      </c>
      <c r="C81" s="175"/>
      <c r="D81" s="169">
        <f t="shared" ref="D81:E81" si="11">D$31*SUM(D$75:D$79)</f>
        <v>-453.4626230012812</v>
      </c>
      <c r="E81" s="169">
        <f t="shared" si="11"/>
        <v>-240.09530850421658</v>
      </c>
      <c r="F81" s="169">
        <f>F$31*SUM(F$75:F$79)</f>
        <v>140.04575835982033</v>
      </c>
      <c r="G81" s="169"/>
      <c r="H81" s="169"/>
      <c r="I81" s="169"/>
      <c r="J81" s="145"/>
      <c r="K81" s="145"/>
      <c r="L81" s="145"/>
      <c r="M81" s="145"/>
      <c r="N81" s="145"/>
      <c r="O81" s="145"/>
      <c r="P81" s="145"/>
      <c r="Q81" s="145"/>
      <c r="R81" s="145"/>
    </row>
    <row r="82" spans="1:18" ht="12.5">
      <c r="A82" s="145"/>
      <c r="B82" s="145"/>
      <c r="C82" s="145"/>
      <c r="D82" s="145"/>
      <c r="E82" s="145"/>
      <c r="F82" s="145"/>
      <c r="G82" s="145"/>
      <c r="H82" s="145"/>
      <c r="I82" s="145"/>
      <c r="J82" s="145"/>
      <c r="K82" s="145"/>
      <c r="L82" s="145"/>
      <c r="M82" s="145"/>
      <c r="N82" s="145"/>
      <c r="O82" s="145"/>
      <c r="P82" s="145"/>
      <c r="Q82" s="145"/>
      <c r="R82" s="145"/>
    </row>
    <row r="83" spans="1:18" ht="12.5">
      <c r="A83" s="174"/>
      <c r="B83" s="174"/>
      <c r="C83" s="174"/>
      <c r="D83" s="174"/>
      <c r="E83" s="174"/>
      <c r="F83" s="174"/>
      <c r="G83" s="174"/>
      <c r="H83" s="174"/>
      <c r="I83" s="174"/>
      <c r="J83" s="174"/>
      <c r="K83" s="174"/>
      <c r="L83" s="174"/>
      <c r="M83" s="174"/>
      <c r="N83" s="174"/>
      <c r="O83" s="174"/>
      <c r="P83" s="174"/>
      <c r="Q83" s="174"/>
      <c r="R83" s="174"/>
    </row>
    <row r="84" spans="1:18" ht="12.5">
      <c r="A84" s="145"/>
      <c r="B84" s="145"/>
      <c r="C84" s="145"/>
      <c r="D84" s="145"/>
      <c r="E84" s="145"/>
      <c r="F84" s="145"/>
      <c r="G84" s="145"/>
      <c r="H84" s="145"/>
      <c r="I84" s="145"/>
      <c r="J84" s="145"/>
      <c r="K84" s="145"/>
      <c r="L84" s="145"/>
      <c r="M84" s="145"/>
      <c r="N84" s="145"/>
      <c r="O84" s="145"/>
      <c r="P84" s="145"/>
      <c r="Q84" s="145"/>
      <c r="R84" s="145"/>
    </row>
    <row r="85" spans="1:18" ht="12.5">
      <c r="A85" s="145"/>
      <c r="B85" s="145"/>
      <c r="C85" s="145"/>
      <c r="D85" s="145"/>
      <c r="E85" s="145"/>
      <c r="F85" s="145"/>
      <c r="G85" s="145"/>
      <c r="H85" s="145"/>
      <c r="I85" s="145"/>
      <c r="J85" s="145"/>
      <c r="K85" s="145"/>
      <c r="L85" s="145"/>
      <c r="M85" s="145"/>
      <c r="N85" s="145"/>
      <c r="O85" s="145"/>
      <c r="P85" s="145"/>
      <c r="Q85" s="145"/>
      <c r="R85" s="145"/>
    </row>
    <row r="86" spans="1:18" ht="12.5">
      <c r="A86" s="145"/>
      <c r="B86" s="145"/>
      <c r="C86" s="145"/>
      <c r="D86" s="145"/>
      <c r="E86" s="145"/>
      <c r="F86" s="145"/>
      <c r="G86" s="145"/>
      <c r="H86" s="145"/>
      <c r="I86" s="145"/>
      <c r="J86" s="145"/>
      <c r="K86" s="145"/>
      <c r="L86" s="145"/>
      <c r="M86" s="145"/>
      <c r="N86" s="145"/>
      <c r="O86" s="145"/>
      <c r="P86" s="145"/>
      <c r="Q86" s="145"/>
      <c r="R86" s="145"/>
    </row>
    <row r="87" spans="1:18" ht="12.5">
      <c r="A87" s="145"/>
      <c r="B87" s="145"/>
      <c r="C87" s="145"/>
      <c r="D87" s="145"/>
      <c r="E87" s="145"/>
      <c r="F87" s="145"/>
      <c r="G87" s="145"/>
      <c r="H87" s="145"/>
      <c r="I87" s="145"/>
      <c r="J87" s="145"/>
      <c r="K87" s="145"/>
      <c r="L87" s="145"/>
      <c r="M87" s="145"/>
      <c r="N87" s="145"/>
      <c r="O87" s="145"/>
      <c r="P87" s="145"/>
      <c r="Q87" s="145"/>
      <c r="R87" s="145"/>
    </row>
    <row r="88" spans="1:18" ht="12.5">
      <c r="A88" s="145"/>
      <c r="B88" s="145"/>
      <c r="C88" s="145"/>
      <c r="D88" s="145"/>
      <c r="E88" s="145"/>
      <c r="F88" s="145"/>
      <c r="G88" s="145"/>
      <c r="H88" s="145"/>
      <c r="I88" s="145"/>
      <c r="J88" s="145"/>
      <c r="K88" s="145"/>
      <c r="L88" s="145"/>
      <c r="M88" s="145"/>
      <c r="N88" s="145"/>
      <c r="O88" s="145"/>
      <c r="P88" s="145"/>
      <c r="Q88" s="145"/>
      <c r="R88" s="145"/>
    </row>
    <row r="89" spans="1:18" ht="12.5">
      <c r="A89" s="145"/>
      <c r="B89" s="145"/>
      <c r="C89" s="145"/>
      <c r="D89" s="145"/>
      <c r="E89" s="145"/>
      <c r="F89" s="145"/>
      <c r="G89" s="145"/>
      <c r="H89" s="145"/>
      <c r="I89" s="145"/>
      <c r="J89" s="145"/>
      <c r="K89" s="145"/>
      <c r="L89" s="145"/>
      <c r="M89" s="145"/>
      <c r="N89" s="145"/>
      <c r="O89" s="145"/>
      <c r="P89" s="145"/>
      <c r="Q89" s="145"/>
      <c r="R89" s="145"/>
    </row>
    <row r="90" spans="1:18" ht="13">
      <c r="A90" s="145"/>
      <c r="B90" s="175" t="s">
        <v>228</v>
      </c>
      <c r="C90" s="175"/>
      <c r="D90" s="145"/>
      <c r="E90" s="145"/>
      <c r="F90" s="145"/>
      <c r="G90" s="145"/>
      <c r="H90" s="145"/>
      <c r="I90" s="145"/>
      <c r="J90" s="145"/>
      <c r="K90" s="145"/>
      <c r="L90" s="145"/>
      <c r="M90" s="145"/>
      <c r="N90" s="145"/>
      <c r="O90" s="145"/>
      <c r="P90" s="145"/>
      <c r="Q90" s="145"/>
      <c r="R90" s="145"/>
    </row>
    <row r="91" spans="1:18" ht="13">
      <c r="A91" s="161"/>
      <c r="B91" s="156" t="s">
        <v>235</v>
      </c>
      <c r="C91" s="156"/>
      <c r="D91" s="145">
        <f t="shared" ref="D91:F91" si="12">D24+$D$4+1</f>
        <v>6</v>
      </c>
      <c r="E91" s="145">
        <f t="shared" si="12"/>
        <v>7</v>
      </c>
      <c r="F91" s="145">
        <f t="shared" si="12"/>
        <v>8</v>
      </c>
      <c r="G91" s="145"/>
      <c r="H91" s="145"/>
      <c r="I91" s="145"/>
      <c r="J91" s="145"/>
      <c r="K91" s="145"/>
      <c r="L91" s="145"/>
      <c r="M91" s="145"/>
      <c r="N91" s="145"/>
      <c r="O91" s="145"/>
      <c r="P91" s="145"/>
      <c r="Q91" s="145"/>
      <c r="R91" s="145"/>
    </row>
    <row r="92" spans="1:18" ht="13">
      <c r="A92" s="176" t="s">
        <v>230</v>
      </c>
      <c r="B92" s="156" t="s">
        <v>236</v>
      </c>
      <c r="C92" s="156"/>
      <c r="D92" s="145">
        <f>$D$3</f>
        <v>2</v>
      </c>
      <c r="E92" s="145">
        <f t="shared" ref="E92:F92" si="13">$D$3</f>
        <v>2</v>
      </c>
      <c r="F92" s="145">
        <f t="shared" si="13"/>
        <v>2</v>
      </c>
      <c r="G92" s="145"/>
      <c r="H92" s="145"/>
      <c r="I92" s="145"/>
      <c r="J92" s="145"/>
      <c r="K92" s="145"/>
      <c r="L92" s="145"/>
      <c r="M92" s="145"/>
      <c r="N92" s="145"/>
      <c r="O92" s="145"/>
      <c r="P92" s="145"/>
      <c r="Q92" s="145"/>
      <c r="R92" s="145"/>
    </row>
    <row r="93" spans="1:18" ht="13">
      <c r="A93" s="145"/>
      <c r="B93" s="145"/>
      <c r="C93" s="145"/>
      <c r="D93" s="177">
        <f>D92-D91</f>
        <v>-4</v>
      </c>
      <c r="E93" s="177">
        <f t="shared" ref="E93:F93" si="14">E92-E91</f>
        <v>-5</v>
      </c>
      <c r="F93" s="177">
        <f t="shared" si="14"/>
        <v>-6</v>
      </c>
      <c r="G93" s="177"/>
      <c r="H93" s="177"/>
      <c r="I93" s="177"/>
      <c r="J93" s="145"/>
      <c r="K93" s="145"/>
      <c r="L93" s="145"/>
      <c r="M93" s="145"/>
      <c r="N93" s="145"/>
      <c r="O93" s="145"/>
      <c r="P93" s="145"/>
      <c r="Q93" s="145"/>
      <c r="R93" s="145"/>
    </row>
    <row r="94" spans="1:18" ht="13">
      <c r="A94" s="145"/>
      <c r="B94" s="175" t="s">
        <v>232</v>
      </c>
      <c r="C94" s="175"/>
      <c r="D94" s="145"/>
      <c r="E94" s="145"/>
      <c r="F94" s="145"/>
      <c r="G94" s="145"/>
      <c r="H94" s="145"/>
      <c r="I94" s="145"/>
      <c r="J94" s="145"/>
      <c r="K94" s="145"/>
      <c r="L94" s="145"/>
      <c r="M94" s="145"/>
      <c r="N94" s="145"/>
      <c r="O94" s="145"/>
      <c r="P94" s="145"/>
      <c r="Q94" s="145"/>
      <c r="R94" s="145"/>
    </row>
    <row r="95" spans="1:18" ht="13">
      <c r="A95" s="145"/>
      <c r="B95" s="156" t="s">
        <v>237</v>
      </c>
      <c r="C95" s="156"/>
      <c r="D95" s="179" t="str">
        <f>IF(D93&lt;0, "", $D$3-D91)</f>
        <v/>
      </c>
      <c r="E95" s="179" t="str">
        <f t="shared" ref="E95:F95" si="15">IF(E93&lt;0, "", $D$3-E91)</f>
        <v/>
      </c>
      <c r="F95" s="179" t="str">
        <f t="shared" si="15"/>
        <v/>
      </c>
      <c r="G95" s="179"/>
      <c r="H95" s="179"/>
      <c r="I95" s="179"/>
      <c r="J95" s="145"/>
      <c r="K95" s="145"/>
      <c r="L95" s="145"/>
      <c r="M95" s="145"/>
      <c r="N95" s="145"/>
      <c r="O95" s="145"/>
      <c r="P95" s="145"/>
      <c r="Q95" s="145"/>
      <c r="R95" s="145"/>
    </row>
    <row r="96" spans="1:18" ht="13">
      <c r="A96" s="145"/>
      <c r="B96" s="177"/>
      <c r="C96" s="177"/>
      <c r="D96" s="179" t="str">
        <f t="shared" ref="D96:F100" si="16">IF(OR(D$93&lt;0,D95=0, D95=""), "", D95-1)</f>
        <v/>
      </c>
      <c r="E96" s="179" t="str">
        <f t="shared" si="16"/>
        <v/>
      </c>
      <c r="F96" s="179" t="str">
        <f t="shared" si="16"/>
        <v/>
      </c>
      <c r="G96" s="179"/>
      <c r="H96" s="179"/>
      <c r="I96" s="179"/>
      <c r="J96" s="145"/>
      <c r="K96" s="145"/>
      <c r="L96" s="145"/>
      <c r="M96" s="145"/>
      <c r="N96" s="145"/>
      <c r="O96" s="145"/>
      <c r="P96" s="145"/>
      <c r="Q96" s="145"/>
      <c r="R96" s="145"/>
    </row>
    <row r="97" spans="1:18" ht="13">
      <c r="A97" s="145"/>
      <c r="B97" s="177"/>
      <c r="C97" s="177"/>
      <c r="D97" s="179" t="str">
        <f t="shared" si="16"/>
        <v/>
      </c>
      <c r="E97" s="179" t="str">
        <f t="shared" si="16"/>
        <v/>
      </c>
      <c r="F97" s="179" t="str">
        <f t="shared" si="16"/>
        <v/>
      </c>
      <c r="G97" s="179"/>
      <c r="H97" s="179"/>
      <c r="I97" s="179"/>
      <c r="J97" s="145"/>
      <c r="K97" s="145"/>
      <c r="L97" s="145"/>
      <c r="M97" s="145"/>
      <c r="N97" s="145"/>
      <c r="O97" s="145"/>
      <c r="P97" s="145"/>
      <c r="Q97" s="145"/>
      <c r="R97" s="145"/>
    </row>
    <row r="98" spans="1:18" ht="13">
      <c r="A98" s="145"/>
      <c r="B98" s="177"/>
      <c r="C98" s="177"/>
      <c r="D98" s="179" t="str">
        <f t="shared" si="16"/>
        <v/>
      </c>
      <c r="E98" s="179" t="str">
        <f t="shared" si="16"/>
        <v/>
      </c>
      <c r="F98" s="179" t="str">
        <f t="shared" si="16"/>
        <v/>
      </c>
      <c r="G98" s="179"/>
      <c r="H98" s="179"/>
      <c r="I98" s="179"/>
      <c r="J98" s="145"/>
      <c r="K98" s="145"/>
      <c r="L98" s="145"/>
      <c r="M98" s="145"/>
      <c r="N98" s="145"/>
      <c r="O98" s="145"/>
      <c r="P98" s="145"/>
      <c r="Q98" s="145"/>
      <c r="R98" s="145"/>
    </row>
    <row r="99" spans="1:18" ht="13">
      <c r="A99" s="145"/>
      <c r="B99" s="177"/>
      <c r="C99" s="177"/>
      <c r="D99" s="179" t="str">
        <f>IF(OR(D$93&lt;0,D98=0, D98=""), "", D98-1)</f>
        <v/>
      </c>
      <c r="E99" s="179" t="str">
        <f t="shared" si="16"/>
        <v/>
      </c>
      <c r="F99" s="179" t="str">
        <f t="shared" si="16"/>
        <v/>
      </c>
      <c r="G99" s="179"/>
      <c r="H99" s="179"/>
      <c r="I99" s="179"/>
      <c r="J99" s="145"/>
      <c r="K99" s="145"/>
      <c r="L99" s="145"/>
      <c r="M99" s="145"/>
      <c r="N99" s="145"/>
      <c r="O99" s="145"/>
      <c r="P99" s="145"/>
      <c r="Q99" s="145"/>
      <c r="R99" s="145"/>
    </row>
    <row r="100" spans="1:18" ht="13">
      <c r="A100" s="145"/>
      <c r="B100" s="177"/>
      <c r="C100" s="177"/>
      <c r="D100" s="179" t="str">
        <f>IF(OR(D$93&lt;0,D99=0, D99=""), "", D99-1)</f>
        <v/>
      </c>
      <c r="E100" s="179" t="str">
        <f t="shared" si="16"/>
        <v/>
      </c>
      <c r="F100" s="179" t="str">
        <f t="shared" si="16"/>
        <v/>
      </c>
      <c r="G100" s="179"/>
      <c r="H100" s="179"/>
      <c r="I100" s="179"/>
      <c r="J100" s="145"/>
      <c r="K100" s="145"/>
      <c r="L100" s="145"/>
      <c r="M100" s="145"/>
      <c r="N100" s="145"/>
      <c r="O100" s="145"/>
      <c r="P100" s="145"/>
      <c r="Q100" s="145"/>
      <c r="R100" s="145"/>
    </row>
    <row r="101" spans="1:18" ht="13">
      <c r="A101" s="145"/>
      <c r="B101" s="177"/>
      <c r="C101" s="177"/>
      <c r="D101" s="145"/>
      <c r="E101" s="145"/>
      <c r="F101" s="145"/>
      <c r="G101" s="145"/>
      <c r="H101" s="145"/>
      <c r="I101" s="145"/>
      <c r="J101" s="145"/>
      <c r="K101" s="145"/>
      <c r="L101" s="145"/>
      <c r="M101" s="145"/>
      <c r="N101" s="145"/>
      <c r="O101" s="145"/>
      <c r="P101" s="145"/>
      <c r="Q101" s="145"/>
      <c r="R101" s="145"/>
    </row>
    <row r="102" spans="1:18" ht="13">
      <c r="A102" s="145"/>
      <c r="B102" s="175" t="s">
        <v>234</v>
      </c>
      <c r="C102" s="175"/>
      <c r="D102" s="145"/>
      <c r="E102" s="145"/>
      <c r="F102" s="145"/>
      <c r="G102" s="145"/>
      <c r="H102" s="145"/>
      <c r="I102" s="145"/>
      <c r="J102" s="145"/>
      <c r="K102" s="145"/>
      <c r="L102" s="145"/>
      <c r="M102" s="145"/>
      <c r="N102" s="145"/>
      <c r="O102" s="145"/>
      <c r="P102" s="145"/>
      <c r="Q102" s="145"/>
      <c r="R102" s="145"/>
    </row>
    <row r="103" spans="1:18" ht="12.5">
      <c r="A103" s="145"/>
      <c r="B103" s="145"/>
      <c r="C103" s="145"/>
      <c r="D103" s="178">
        <f>IFERROR($D$6*((1+$D$6)^D95), 0)</f>
        <v>0</v>
      </c>
      <c r="E103" s="178">
        <f t="shared" ref="E103:F103" si="17">IFERROR($D$6*((1+$D$6)^E95), 0)</f>
        <v>0</v>
      </c>
      <c r="F103" s="178">
        <f t="shared" si="17"/>
        <v>0</v>
      </c>
      <c r="G103" s="178"/>
      <c r="H103" s="178"/>
      <c r="I103" s="178"/>
      <c r="J103" s="145"/>
      <c r="K103" s="145"/>
      <c r="L103" s="145"/>
      <c r="M103" s="145"/>
      <c r="N103" s="145"/>
      <c r="O103" s="145"/>
      <c r="P103" s="145"/>
      <c r="Q103" s="145"/>
      <c r="R103" s="145"/>
    </row>
    <row r="104" spans="1:18" ht="13">
      <c r="A104" s="145"/>
      <c r="B104" s="177"/>
      <c r="C104" s="177"/>
      <c r="D104" s="178">
        <f t="shared" ref="D104:F108" si="18">IFERROR($D$6*((1+$D$6)^D96), 0)</f>
        <v>0</v>
      </c>
      <c r="E104" s="178">
        <f t="shared" si="18"/>
        <v>0</v>
      </c>
      <c r="F104" s="178">
        <f t="shared" si="18"/>
        <v>0</v>
      </c>
      <c r="G104" s="178"/>
      <c r="H104" s="178"/>
      <c r="I104" s="178"/>
      <c r="J104" s="145"/>
      <c r="K104" s="145"/>
      <c r="L104" s="145"/>
      <c r="M104" s="145"/>
      <c r="N104" s="145"/>
      <c r="O104" s="145"/>
      <c r="P104" s="145"/>
      <c r="Q104" s="145"/>
      <c r="R104" s="145"/>
    </row>
    <row r="105" spans="1:18" ht="13">
      <c r="A105" s="145"/>
      <c r="B105" s="177"/>
      <c r="C105" s="177"/>
      <c r="D105" s="178">
        <f t="shared" si="18"/>
        <v>0</v>
      </c>
      <c r="E105" s="178">
        <f t="shared" si="18"/>
        <v>0</v>
      </c>
      <c r="F105" s="178">
        <f t="shared" si="18"/>
        <v>0</v>
      </c>
      <c r="G105" s="178"/>
      <c r="H105" s="178"/>
      <c r="I105" s="178"/>
      <c r="J105" s="145"/>
      <c r="K105" s="145"/>
      <c r="L105" s="145"/>
      <c r="M105" s="145"/>
      <c r="N105" s="145"/>
      <c r="O105" s="145"/>
      <c r="P105" s="145"/>
      <c r="Q105" s="145"/>
      <c r="R105" s="145"/>
    </row>
    <row r="106" spans="1:18" ht="13">
      <c r="A106" s="145"/>
      <c r="B106" s="177"/>
      <c r="C106" s="177"/>
      <c r="D106" s="178">
        <f t="shared" si="18"/>
        <v>0</v>
      </c>
      <c r="E106" s="178">
        <f t="shared" si="18"/>
        <v>0</v>
      </c>
      <c r="F106" s="178">
        <f t="shared" si="18"/>
        <v>0</v>
      </c>
      <c r="G106" s="178"/>
      <c r="H106" s="178"/>
      <c r="I106" s="178"/>
      <c r="J106" s="145"/>
      <c r="K106" s="145"/>
      <c r="L106" s="145"/>
      <c r="M106" s="145"/>
      <c r="N106" s="145"/>
      <c r="O106" s="145"/>
      <c r="P106" s="145"/>
      <c r="Q106" s="145"/>
      <c r="R106" s="145"/>
    </row>
    <row r="107" spans="1:18" ht="13">
      <c r="A107" s="145"/>
      <c r="B107" s="177"/>
      <c r="C107" s="177"/>
      <c r="D107" s="178">
        <f t="shared" si="18"/>
        <v>0</v>
      </c>
      <c r="E107" s="178">
        <f t="shared" si="18"/>
        <v>0</v>
      </c>
      <c r="F107" s="178">
        <f t="shared" si="18"/>
        <v>0</v>
      </c>
      <c r="G107" s="178"/>
      <c r="H107" s="178"/>
      <c r="I107" s="178"/>
      <c r="J107" s="145"/>
      <c r="K107" s="145"/>
      <c r="L107" s="145"/>
      <c r="M107" s="145"/>
      <c r="N107" s="145"/>
      <c r="O107" s="145"/>
      <c r="P107" s="145"/>
      <c r="Q107" s="145"/>
      <c r="R107" s="145"/>
    </row>
    <row r="108" spans="1:18" ht="13">
      <c r="A108" s="145"/>
      <c r="B108" s="177"/>
      <c r="C108" s="177"/>
      <c r="D108" s="178">
        <f t="shared" si="18"/>
        <v>0</v>
      </c>
      <c r="E108" s="178">
        <f t="shared" si="18"/>
        <v>0</v>
      </c>
      <c r="F108" s="178">
        <f t="shared" si="18"/>
        <v>0</v>
      </c>
      <c r="G108" s="178"/>
      <c r="H108" s="178"/>
      <c r="I108" s="178"/>
      <c r="J108" s="145"/>
      <c r="K108" s="145"/>
      <c r="L108" s="145"/>
      <c r="M108" s="145"/>
      <c r="N108" s="145"/>
      <c r="O108" s="145"/>
      <c r="P108" s="145"/>
      <c r="Q108" s="145"/>
      <c r="R108" s="145"/>
    </row>
    <row r="109" spans="1:18" ht="12.5">
      <c r="A109" s="145"/>
      <c r="B109" s="145"/>
      <c r="C109" s="145"/>
      <c r="D109" s="145"/>
      <c r="E109" s="145"/>
      <c r="F109" s="145"/>
      <c r="G109" s="145"/>
      <c r="H109" s="145"/>
      <c r="I109" s="145"/>
      <c r="J109" s="145"/>
      <c r="K109" s="145"/>
      <c r="L109" s="145"/>
      <c r="M109" s="145"/>
      <c r="N109" s="145"/>
      <c r="O109" s="145"/>
      <c r="P109" s="145"/>
      <c r="Q109" s="145"/>
      <c r="R109" s="145"/>
    </row>
    <row r="110" spans="1:18" ht="13">
      <c r="A110" s="145"/>
      <c r="B110" s="175" t="s">
        <v>221</v>
      </c>
      <c r="C110" s="175"/>
      <c r="D110" s="145">
        <f t="shared" ref="D110:F110" si="19">D$31*SUM(D$103:D$108)</f>
        <v>0</v>
      </c>
      <c r="E110" s="180">
        <f t="shared" si="19"/>
        <v>0</v>
      </c>
      <c r="F110" s="145">
        <f t="shared" si="19"/>
        <v>0</v>
      </c>
      <c r="G110" s="145"/>
      <c r="H110" s="145"/>
      <c r="I110" s="145"/>
      <c r="J110" s="145"/>
      <c r="K110" s="145"/>
      <c r="L110" s="145"/>
      <c r="M110" s="145"/>
      <c r="N110" s="145"/>
      <c r="O110" s="145"/>
      <c r="P110" s="145"/>
      <c r="Q110" s="145"/>
      <c r="R110" s="145"/>
    </row>
    <row r="111" spans="1:18" ht="12.5">
      <c r="A111" s="145"/>
      <c r="B111" s="145"/>
      <c r="C111" s="145"/>
      <c r="D111" s="145"/>
      <c r="E111" s="145"/>
      <c r="F111" s="145"/>
      <c r="G111" s="145"/>
      <c r="H111" s="145"/>
      <c r="I111" s="145"/>
      <c r="J111" s="145"/>
      <c r="K111" s="145"/>
      <c r="L111" s="145"/>
      <c r="M111" s="145"/>
      <c r="N111" s="145"/>
      <c r="O111" s="145"/>
      <c r="P111" s="145"/>
      <c r="Q111" s="145"/>
      <c r="R111" s="145"/>
    </row>
    <row r="112" spans="1:18" ht="18">
      <c r="A112" s="181"/>
      <c r="B112" s="157" t="s">
        <v>238</v>
      </c>
      <c r="C112" s="157"/>
      <c r="D112" s="181"/>
      <c r="E112" s="181"/>
      <c r="F112" s="181"/>
      <c r="G112" s="181"/>
      <c r="H112" s="181"/>
      <c r="I112" s="181"/>
      <c r="J112" s="181"/>
      <c r="K112" s="181"/>
      <c r="L112" s="181"/>
      <c r="M112" s="181"/>
      <c r="N112" s="181"/>
      <c r="O112" s="181"/>
      <c r="P112" s="181"/>
      <c r="Q112" s="181"/>
      <c r="R112" s="181"/>
    </row>
    <row r="113" spans="1:18" ht="12.5">
      <c r="A113" s="145"/>
      <c r="B113" s="145"/>
      <c r="C113" s="145"/>
      <c r="D113" s="145"/>
      <c r="E113" s="145"/>
      <c r="F113" s="145"/>
      <c r="G113" s="145"/>
      <c r="H113" s="145"/>
      <c r="I113" s="145"/>
      <c r="J113" s="145"/>
      <c r="K113" s="145"/>
      <c r="L113" s="145"/>
      <c r="M113" s="145"/>
      <c r="N113" s="145"/>
      <c r="O113" s="145"/>
      <c r="P113" s="145"/>
      <c r="Q113" s="145"/>
      <c r="R113" s="145"/>
    </row>
    <row r="114" spans="1:18" ht="12.5">
      <c r="A114" s="145"/>
      <c r="B114" s="145"/>
      <c r="C114" s="145"/>
      <c r="D114" s="145"/>
      <c r="E114" s="145"/>
      <c r="F114" s="145"/>
      <c r="G114" s="145"/>
      <c r="H114" s="145"/>
      <c r="I114" s="145"/>
      <c r="J114" s="145"/>
      <c r="K114" s="145"/>
      <c r="L114" s="145"/>
      <c r="M114" s="145"/>
      <c r="N114" s="145"/>
      <c r="O114" s="145"/>
      <c r="P114" s="145"/>
      <c r="Q114" s="145"/>
      <c r="R114" s="145"/>
    </row>
    <row r="115" spans="1:18" ht="12.5">
      <c r="A115" s="145"/>
      <c r="B115" s="145"/>
      <c r="C115" s="145"/>
      <c r="D115" s="145"/>
      <c r="E115" s="145"/>
      <c r="F115" s="145"/>
      <c r="G115" s="145"/>
      <c r="H115" s="145"/>
      <c r="I115" s="145"/>
      <c r="J115" s="145"/>
      <c r="K115" s="145"/>
      <c r="L115" s="145"/>
      <c r="M115" s="145"/>
      <c r="N115" s="145"/>
      <c r="O115" s="145"/>
      <c r="P115" s="145"/>
      <c r="Q115" s="145"/>
      <c r="R115" s="145"/>
    </row>
    <row r="116" spans="1:18" ht="12.5">
      <c r="A116" s="145"/>
      <c r="B116" s="145"/>
      <c r="C116" s="145"/>
      <c r="D116" s="145"/>
      <c r="E116" s="145"/>
      <c r="F116" s="145"/>
      <c r="G116" s="145"/>
      <c r="H116" s="145"/>
      <c r="I116" s="145"/>
      <c r="J116" s="145"/>
      <c r="K116" s="145"/>
      <c r="L116" s="145"/>
      <c r="M116" s="145"/>
      <c r="N116" s="145"/>
      <c r="O116" s="145"/>
      <c r="P116" s="145"/>
      <c r="Q116" s="145"/>
      <c r="R116" s="145"/>
    </row>
    <row r="117" spans="1:18" ht="12.5">
      <c r="A117" s="145"/>
      <c r="B117" s="145"/>
      <c r="C117" s="145"/>
      <c r="D117" s="145"/>
      <c r="E117" s="145"/>
      <c r="F117" s="145"/>
      <c r="G117" s="145"/>
      <c r="H117" s="145"/>
      <c r="I117" s="145"/>
      <c r="J117" s="145"/>
      <c r="K117" s="145"/>
      <c r="L117" s="145"/>
      <c r="M117" s="145"/>
      <c r="N117" s="145"/>
      <c r="O117" s="145"/>
      <c r="P117" s="145"/>
      <c r="Q117" s="145"/>
      <c r="R117" s="145"/>
    </row>
    <row r="118" spans="1:18" ht="12.5">
      <c r="A118" s="145"/>
      <c r="B118" s="145"/>
      <c r="C118" s="145"/>
      <c r="D118" s="145"/>
      <c r="E118" s="145"/>
      <c r="F118" s="145"/>
      <c r="G118" s="145"/>
      <c r="H118" s="145"/>
      <c r="I118" s="145"/>
      <c r="J118" s="145"/>
      <c r="K118" s="145"/>
      <c r="L118" s="145"/>
      <c r="M118" s="145"/>
      <c r="N118" s="145"/>
      <c r="O118" s="145"/>
      <c r="P118" s="145"/>
      <c r="Q118" s="145"/>
      <c r="R118" s="145"/>
    </row>
    <row r="119" spans="1:18" ht="12.5">
      <c r="A119" s="145"/>
      <c r="B119" s="145"/>
      <c r="C119" s="145"/>
      <c r="D119" s="145"/>
      <c r="E119" s="145"/>
      <c r="F119" s="145"/>
      <c r="G119" s="145"/>
      <c r="H119" s="145"/>
      <c r="I119" s="145"/>
      <c r="J119" s="145"/>
      <c r="K119" s="145"/>
      <c r="L119" s="145"/>
      <c r="M119" s="145"/>
      <c r="N119" s="145"/>
      <c r="O119" s="145"/>
      <c r="P119" s="145"/>
      <c r="Q119" s="145"/>
      <c r="R119" s="145"/>
    </row>
    <row r="120" spans="1:18" ht="12.5">
      <c r="A120" s="145"/>
      <c r="B120" s="145"/>
      <c r="C120" s="145"/>
      <c r="D120" s="145"/>
      <c r="E120" s="145"/>
      <c r="F120" s="145"/>
      <c r="G120" s="145"/>
      <c r="H120" s="145"/>
      <c r="I120" s="145"/>
      <c r="J120" s="145"/>
      <c r="K120" s="145"/>
      <c r="L120" s="145"/>
      <c r="M120" s="145"/>
      <c r="N120" s="145"/>
      <c r="O120" s="145"/>
      <c r="P120" s="145"/>
      <c r="Q120" s="145"/>
      <c r="R120" s="145"/>
    </row>
    <row r="121" spans="1:18" ht="12.5">
      <c r="A121" s="145"/>
      <c r="B121" s="145"/>
      <c r="C121" s="145"/>
      <c r="D121" s="145"/>
      <c r="E121" s="145"/>
      <c r="F121" s="145"/>
      <c r="G121" s="145"/>
      <c r="H121" s="145"/>
      <c r="I121" s="145"/>
      <c r="J121" s="145"/>
      <c r="K121" s="145"/>
      <c r="L121" s="145"/>
      <c r="M121" s="145"/>
      <c r="N121" s="145"/>
      <c r="O121" s="145"/>
      <c r="P121" s="145"/>
      <c r="Q121" s="145"/>
      <c r="R121" s="145"/>
    </row>
    <row r="122" spans="1:18" ht="12.5">
      <c r="A122" s="174"/>
      <c r="B122" s="174"/>
      <c r="C122" s="174"/>
      <c r="D122" s="174"/>
      <c r="E122" s="174"/>
      <c r="F122" s="174"/>
      <c r="G122" s="174"/>
      <c r="H122" s="174"/>
      <c r="I122" s="174"/>
      <c r="J122" s="174"/>
      <c r="K122" s="174"/>
      <c r="L122" s="174"/>
      <c r="M122" s="174"/>
      <c r="N122" s="174"/>
      <c r="O122" s="174"/>
      <c r="P122" s="174"/>
      <c r="Q122" s="174"/>
      <c r="R122" s="174"/>
    </row>
    <row r="123" spans="1:18" ht="12.5">
      <c r="A123" s="145"/>
      <c r="B123" s="145"/>
      <c r="C123" s="145"/>
      <c r="D123" s="145"/>
      <c r="E123" s="145"/>
      <c r="F123" s="145"/>
      <c r="G123" s="145"/>
      <c r="H123" s="145"/>
      <c r="I123" s="145"/>
      <c r="J123" s="145"/>
      <c r="K123" s="145"/>
      <c r="L123" s="145"/>
      <c r="M123" s="145"/>
      <c r="N123" s="145"/>
      <c r="O123" s="145"/>
      <c r="P123" s="145"/>
      <c r="Q123" s="145"/>
      <c r="R123" s="145"/>
    </row>
    <row r="124" spans="1:18" ht="12.5">
      <c r="A124" s="145"/>
      <c r="B124" s="145"/>
      <c r="C124" s="145"/>
      <c r="D124" s="145"/>
      <c r="E124" s="145"/>
      <c r="F124" s="145"/>
      <c r="G124" s="145"/>
      <c r="H124" s="145"/>
      <c r="I124" s="145"/>
      <c r="J124" s="145"/>
      <c r="K124" s="145"/>
      <c r="L124" s="145"/>
      <c r="M124" s="145"/>
      <c r="N124" s="145"/>
      <c r="O124" s="145"/>
      <c r="P124" s="145"/>
      <c r="Q124" s="145"/>
      <c r="R124" s="145"/>
    </row>
    <row r="125" spans="1:18" ht="12.5">
      <c r="A125" s="145"/>
      <c r="B125" s="145"/>
      <c r="C125" s="145"/>
      <c r="D125" s="145"/>
      <c r="E125" s="145"/>
      <c r="F125" s="145"/>
      <c r="G125" s="145"/>
      <c r="H125" s="145"/>
      <c r="I125" s="145"/>
      <c r="J125" s="145"/>
      <c r="K125" s="145"/>
      <c r="L125" s="145"/>
      <c r="M125" s="145"/>
      <c r="N125" s="145"/>
      <c r="O125" s="145"/>
      <c r="P125" s="145"/>
      <c r="Q125" s="145"/>
      <c r="R125" s="145"/>
    </row>
    <row r="126" spans="1:18" ht="12.5">
      <c r="A126" s="145"/>
      <c r="B126" s="145"/>
      <c r="C126" s="145"/>
      <c r="D126" s="145"/>
      <c r="E126" s="145"/>
      <c r="F126" s="145"/>
      <c r="G126" s="145"/>
      <c r="H126" s="145"/>
      <c r="I126" s="145"/>
      <c r="J126" s="145"/>
      <c r="K126" s="145"/>
      <c r="L126" s="145"/>
      <c r="M126" s="145"/>
      <c r="N126" s="145"/>
      <c r="O126" s="145"/>
      <c r="P126" s="145"/>
      <c r="Q126" s="145"/>
      <c r="R126" s="145"/>
    </row>
    <row r="127" spans="1:18" ht="12.5">
      <c r="A127" s="145"/>
      <c r="B127" s="145"/>
      <c r="C127" s="145"/>
      <c r="D127" s="145"/>
      <c r="E127" s="145"/>
      <c r="F127" s="145"/>
      <c r="G127" s="145"/>
      <c r="H127" s="145"/>
      <c r="I127" s="145"/>
      <c r="J127" s="145"/>
      <c r="K127" s="145"/>
      <c r="L127" s="145"/>
      <c r="M127" s="145"/>
      <c r="N127" s="145"/>
      <c r="O127" s="145"/>
      <c r="P127" s="145"/>
      <c r="Q127" s="145"/>
      <c r="R127" s="145"/>
    </row>
    <row r="128" spans="1:18" ht="13">
      <c r="A128" s="145"/>
      <c r="B128" s="175" t="s">
        <v>228</v>
      </c>
      <c r="C128" s="175"/>
      <c r="D128" s="145"/>
      <c r="E128" s="145"/>
      <c r="F128" s="145"/>
      <c r="G128" s="145"/>
      <c r="H128" s="145"/>
      <c r="I128" s="145"/>
      <c r="J128" s="145"/>
      <c r="K128" s="145"/>
      <c r="L128" s="145"/>
      <c r="M128" s="145"/>
      <c r="N128" s="145"/>
      <c r="O128" s="145"/>
      <c r="P128" s="145"/>
      <c r="Q128" s="145"/>
      <c r="R128" s="145"/>
    </row>
    <row r="129" spans="1:18" ht="13">
      <c r="A129" s="161"/>
      <c r="B129" s="156" t="s">
        <v>239</v>
      </c>
      <c r="C129" s="156"/>
      <c r="D129" s="145">
        <f>D3-D4+1</f>
        <v>-2</v>
      </c>
      <c r="E129" s="145"/>
      <c r="F129" s="145"/>
      <c r="G129" s="145"/>
      <c r="H129" s="145"/>
      <c r="I129" s="145"/>
      <c r="J129" s="145"/>
      <c r="K129" s="145"/>
      <c r="L129" s="145"/>
      <c r="M129" s="145"/>
      <c r="N129" s="145"/>
      <c r="O129" s="145"/>
      <c r="P129" s="145"/>
      <c r="Q129" s="145"/>
      <c r="R129" s="145"/>
    </row>
    <row r="130" spans="1:18" ht="13">
      <c r="A130" s="176" t="s">
        <v>230</v>
      </c>
      <c r="B130" s="156" t="s">
        <v>240</v>
      </c>
      <c r="C130" s="156"/>
      <c r="D130" s="145">
        <f>D3</f>
        <v>2</v>
      </c>
      <c r="E130" s="145"/>
      <c r="F130" s="145"/>
      <c r="G130" s="145"/>
      <c r="H130" s="145"/>
      <c r="I130" s="145"/>
      <c r="J130" s="145"/>
      <c r="K130" s="145"/>
      <c r="L130" s="145"/>
      <c r="M130" s="145"/>
      <c r="N130" s="145"/>
      <c r="O130" s="145"/>
      <c r="P130" s="145"/>
      <c r="Q130" s="145"/>
      <c r="R130" s="145"/>
    </row>
    <row r="131" spans="1:18" ht="13">
      <c r="A131" s="145"/>
      <c r="B131" s="145"/>
      <c r="C131" s="145"/>
      <c r="D131" s="177">
        <f>D130-D129</f>
        <v>4</v>
      </c>
      <c r="E131" s="145"/>
      <c r="F131" s="145"/>
      <c r="G131" s="145"/>
      <c r="H131" s="145"/>
      <c r="I131" s="145"/>
      <c r="J131" s="145"/>
      <c r="K131" s="145"/>
      <c r="L131" s="145"/>
      <c r="M131" s="145"/>
      <c r="N131" s="145"/>
      <c r="O131" s="145"/>
      <c r="P131" s="145"/>
      <c r="Q131" s="145"/>
      <c r="R131" s="145"/>
    </row>
    <row r="132" spans="1:18" ht="12.5">
      <c r="A132" s="145"/>
      <c r="B132" s="145"/>
      <c r="C132" s="145"/>
      <c r="D132" s="145"/>
      <c r="E132" s="145"/>
      <c r="F132" s="145"/>
      <c r="G132" s="145"/>
      <c r="H132" s="145"/>
      <c r="I132" s="145"/>
      <c r="J132" s="145"/>
      <c r="K132" s="145"/>
      <c r="L132" s="145"/>
      <c r="M132" s="145"/>
      <c r="N132" s="145"/>
      <c r="O132" s="145"/>
      <c r="P132" s="145"/>
      <c r="Q132" s="145"/>
      <c r="R132" s="145"/>
    </row>
    <row r="133" spans="1:18" ht="13">
      <c r="A133" s="145"/>
      <c r="B133" s="175" t="s">
        <v>212</v>
      </c>
      <c r="C133" s="175"/>
      <c r="D133" s="179">
        <f>D129</f>
        <v>-2</v>
      </c>
      <c r="E133" s="145"/>
      <c r="F133" s="145"/>
      <c r="G133" s="145"/>
      <c r="H133" s="145"/>
      <c r="I133" s="145"/>
      <c r="J133" s="145"/>
      <c r="K133" s="145"/>
      <c r="L133" s="145"/>
      <c r="M133" s="145"/>
      <c r="N133" s="145"/>
      <c r="O133" s="145"/>
      <c r="P133" s="145"/>
      <c r="Q133" s="145"/>
      <c r="R133" s="145"/>
    </row>
    <row r="134" spans="1:18" ht="12.5">
      <c r="A134" s="145"/>
      <c r="B134" s="145"/>
      <c r="C134" s="145"/>
      <c r="D134" s="179">
        <f>IF(D133&lt;$D$130, D133+1, "")</f>
        <v>-1</v>
      </c>
      <c r="E134" s="145"/>
      <c r="F134" s="145"/>
      <c r="G134" s="145"/>
      <c r="H134" s="145"/>
      <c r="I134" s="145"/>
      <c r="J134" s="145"/>
      <c r="K134" s="145"/>
      <c r="L134" s="145"/>
      <c r="M134" s="145"/>
      <c r="N134" s="145"/>
      <c r="O134" s="145"/>
      <c r="P134" s="145"/>
      <c r="Q134" s="145"/>
      <c r="R134" s="145"/>
    </row>
    <row r="135" spans="1:18" ht="12.5">
      <c r="A135" s="145"/>
      <c r="B135" s="145"/>
      <c r="C135" s="145"/>
      <c r="D135" s="179">
        <f>IF(D134&lt;$D$130, D134+1, "")</f>
        <v>0</v>
      </c>
      <c r="E135" s="145"/>
      <c r="F135" s="145"/>
      <c r="G135" s="145"/>
      <c r="H135" s="145"/>
      <c r="I135" s="145"/>
      <c r="J135" s="145"/>
      <c r="K135" s="145"/>
      <c r="L135" s="145"/>
      <c r="M135" s="145"/>
      <c r="N135" s="145"/>
      <c r="O135" s="145"/>
      <c r="P135" s="145"/>
      <c r="Q135" s="145"/>
      <c r="R135" s="145"/>
    </row>
    <row r="136" spans="1:18" ht="12.5">
      <c r="A136" s="145"/>
      <c r="B136" s="145"/>
      <c r="C136" s="145"/>
      <c r="D136" s="179">
        <f>IF(D135&lt;$D$130, D135+1, "")</f>
        <v>1</v>
      </c>
      <c r="E136" s="145"/>
      <c r="F136" s="145"/>
      <c r="G136" s="145"/>
      <c r="H136" s="145"/>
      <c r="I136" s="145"/>
      <c r="J136" s="145"/>
      <c r="K136" s="145"/>
      <c r="L136" s="145"/>
      <c r="M136" s="145"/>
      <c r="N136" s="145"/>
      <c r="O136" s="145"/>
      <c r="P136" s="145"/>
      <c r="Q136" s="145"/>
      <c r="R136" s="145"/>
    </row>
    <row r="137" spans="1:18" ht="12.5">
      <c r="A137" s="145"/>
      <c r="B137" s="145"/>
      <c r="C137" s="145"/>
      <c r="D137" s="179">
        <f>IF(D136&lt;$D$130, D136+1, "")</f>
        <v>2</v>
      </c>
      <c r="E137" s="145"/>
      <c r="F137" s="145"/>
      <c r="G137" s="145"/>
      <c r="H137" s="145"/>
      <c r="I137" s="145"/>
      <c r="J137" s="145"/>
      <c r="K137" s="145"/>
      <c r="L137" s="145"/>
      <c r="M137" s="145"/>
      <c r="N137" s="145"/>
      <c r="O137" s="145"/>
      <c r="P137" s="145"/>
      <c r="Q137" s="145"/>
      <c r="R137" s="145"/>
    </row>
    <row r="138" spans="1:18" ht="12.5">
      <c r="A138" s="145"/>
      <c r="B138" s="145"/>
      <c r="C138" s="145"/>
      <c r="D138" s="179" t="str">
        <f>IF(D137&lt;$D$130, D137+1, "")</f>
        <v/>
      </c>
      <c r="E138" s="145"/>
      <c r="F138" s="145"/>
      <c r="G138" s="145"/>
      <c r="H138" s="145"/>
      <c r="I138" s="145"/>
      <c r="J138" s="145"/>
      <c r="K138" s="145"/>
      <c r="L138" s="145"/>
      <c r="M138" s="145"/>
      <c r="N138" s="145"/>
      <c r="O138" s="145"/>
      <c r="P138" s="145"/>
      <c r="Q138" s="145"/>
      <c r="R138" s="145"/>
    </row>
    <row r="139" spans="1:18" ht="12.5">
      <c r="A139" s="145"/>
      <c r="B139" s="145"/>
      <c r="C139" s="145"/>
      <c r="D139" s="145"/>
      <c r="E139" s="145"/>
      <c r="F139" s="145"/>
      <c r="G139" s="145"/>
      <c r="H139" s="145"/>
      <c r="I139" s="145"/>
      <c r="J139" s="145"/>
      <c r="K139" s="145"/>
      <c r="L139" s="145"/>
      <c r="M139" s="145"/>
      <c r="N139" s="145"/>
      <c r="O139" s="145"/>
      <c r="P139" s="145"/>
      <c r="Q139" s="145"/>
      <c r="R139" s="145"/>
    </row>
    <row r="140" spans="1:18" ht="13">
      <c r="A140" s="145"/>
      <c r="B140" s="175" t="s">
        <v>241</v>
      </c>
      <c r="C140" s="175"/>
      <c r="D140" s="179">
        <f t="shared" ref="D140:D145" si="20">IFERROR(D133+$D$4-$D$3, "")</f>
        <v>1</v>
      </c>
      <c r="E140" s="145"/>
      <c r="F140" s="145"/>
      <c r="G140" s="145"/>
      <c r="H140" s="145"/>
      <c r="I140" s="145"/>
      <c r="J140" s="145"/>
      <c r="K140" s="145"/>
      <c r="L140" s="145"/>
      <c r="M140" s="145"/>
      <c r="N140" s="145"/>
      <c r="O140" s="145"/>
      <c r="P140" s="145"/>
      <c r="Q140" s="145"/>
      <c r="R140" s="145"/>
    </row>
    <row r="141" spans="1:18" ht="13">
      <c r="A141" s="145"/>
      <c r="B141" s="175"/>
      <c r="C141" s="175"/>
      <c r="D141" s="179">
        <f t="shared" si="20"/>
        <v>2</v>
      </c>
      <c r="E141" s="145"/>
      <c r="F141" s="145"/>
      <c r="G141" s="145"/>
      <c r="H141" s="145"/>
      <c r="I141" s="145"/>
      <c r="J141" s="145"/>
      <c r="K141" s="145"/>
      <c r="L141" s="145"/>
      <c r="M141" s="145"/>
      <c r="N141" s="145"/>
      <c r="O141" s="145"/>
      <c r="P141" s="145"/>
      <c r="Q141" s="145"/>
      <c r="R141" s="145"/>
    </row>
    <row r="142" spans="1:18" ht="12.5">
      <c r="A142" s="145"/>
      <c r="B142" s="145"/>
      <c r="C142" s="145"/>
      <c r="D142" s="179">
        <f t="shared" si="20"/>
        <v>3</v>
      </c>
      <c r="E142" s="145"/>
      <c r="F142" s="145"/>
      <c r="G142" s="145"/>
      <c r="H142" s="145"/>
      <c r="I142" s="145"/>
      <c r="J142" s="145"/>
      <c r="K142" s="145"/>
      <c r="L142" s="145"/>
      <c r="M142" s="145"/>
      <c r="N142" s="145"/>
      <c r="O142" s="145"/>
      <c r="P142" s="145"/>
      <c r="Q142" s="145"/>
      <c r="R142" s="145"/>
    </row>
    <row r="143" spans="1:18" ht="12.5">
      <c r="A143" s="145"/>
      <c r="B143" s="145"/>
      <c r="C143" s="145"/>
      <c r="D143" s="179">
        <f t="shared" si="20"/>
        <v>4</v>
      </c>
      <c r="E143" s="145"/>
      <c r="F143" s="145"/>
      <c r="G143" s="145"/>
      <c r="H143" s="145"/>
      <c r="I143" s="145"/>
      <c r="J143" s="145"/>
      <c r="K143" s="145"/>
      <c r="L143" s="145"/>
      <c r="M143" s="145"/>
      <c r="N143" s="145"/>
      <c r="O143" s="145"/>
      <c r="P143" s="145"/>
      <c r="Q143" s="145"/>
      <c r="R143" s="145"/>
    </row>
    <row r="144" spans="1:18" ht="12.5">
      <c r="A144" s="145"/>
      <c r="B144" s="145"/>
      <c r="C144" s="145"/>
      <c r="D144" s="179">
        <f t="shared" si="20"/>
        <v>5</v>
      </c>
      <c r="E144" s="145"/>
      <c r="F144" s="145"/>
      <c r="G144" s="145"/>
      <c r="H144" s="145"/>
      <c r="I144" s="145"/>
      <c r="J144" s="145"/>
      <c r="K144" s="145"/>
      <c r="L144" s="145"/>
      <c r="M144" s="145"/>
      <c r="N144" s="145"/>
      <c r="O144" s="145"/>
      <c r="P144" s="145"/>
      <c r="Q144" s="145"/>
      <c r="R144" s="145"/>
    </row>
    <row r="145" spans="1:18" ht="12.5">
      <c r="A145" s="145"/>
      <c r="B145" s="145"/>
      <c r="C145" s="145"/>
      <c r="D145" s="179" t="str">
        <f t="shared" si="20"/>
        <v/>
      </c>
      <c r="E145" s="145"/>
      <c r="F145" s="145"/>
      <c r="G145" s="145"/>
      <c r="H145" s="145"/>
      <c r="I145" s="145"/>
      <c r="J145" s="145"/>
      <c r="K145" s="145"/>
      <c r="L145" s="145"/>
      <c r="M145" s="145"/>
      <c r="N145" s="145"/>
      <c r="O145" s="145"/>
      <c r="P145" s="145"/>
      <c r="Q145" s="145"/>
      <c r="R145" s="145"/>
    </row>
    <row r="146" spans="1:18" ht="12.5">
      <c r="A146" s="145"/>
      <c r="B146" s="145"/>
      <c r="C146" s="145"/>
      <c r="D146" s="145"/>
      <c r="E146" s="145"/>
      <c r="F146" s="145"/>
      <c r="G146" s="145"/>
      <c r="H146" s="145"/>
      <c r="I146" s="145"/>
      <c r="J146" s="145"/>
      <c r="K146" s="145"/>
      <c r="L146" s="145"/>
      <c r="M146" s="145"/>
      <c r="N146" s="145"/>
      <c r="O146" s="145"/>
      <c r="P146" s="145"/>
      <c r="Q146" s="145"/>
      <c r="R146" s="145"/>
    </row>
    <row r="147" spans="1:18" ht="13">
      <c r="A147" s="145"/>
      <c r="B147" s="175" t="s">
        <v>242</v>
      </c>
      <c r="C147" s="175"/>
      <c r="D147" s="182">
        <f>IFERROR(($D$6*$D$8)/((1+$D$6)^D140), "")</f>
        <v>3.4883720930232558E-2</v>
      </c>
      <c r="E147" s="145"/>
      <c r="F147" s="145"/>
      <c r="G147" s="145"/>
      <c r="H147" s="145"/>
      <c r="I147" s="145"/>
      <c r="J147" s="145"/>
      <c r="K147" s="145"/>
      <c r="L147" s="145"/>
      <c r="M147" s="145"/>
      <c r="N147" s="145"/>
      <c r="O147" s="145"/>
      <c r="P147" s="145"/>
      <c r="Q147" s="145"/>
      <c r="R147" s="145"/>
    </row>
    <row r="148" spans="1:18" ht="12.5">
      <c r="A148" s="145"/>
      <c r="B148" s="145"/>
      <c r="C148" s="145"/>
      <c r="D148" s="182">
        <f t="shared" ref="D148:D152" si="21">IFERROR(($D$6*$D$8)/((1+$D$6)^D141), "")</f>
        <v>3.2449972958355867E-2</v>
      </c>
      <c r="E148" s="145"/>
      <c r="F148" s="145"/>
      <c r="G148" s="145"/>
      <c r="H148" s="145"/>
      <c r="I148" s="145"/>
      <c r="J148" s="145"/>
      <c r="K148" s="145"/>
      <c r="L148" s="145"/>
      <c r="M148" s="145"/>
      <c r="N148" s="145"/>
      <c r="O148" s="145"/>
      <c r="P148" s="145"/>
      <c r="Q148" s="145"/>
      <c r="R148" s="145"/>
    </row>
    <row r="149" spans="1:18" ht="13">
      <c r="A149" s="145"/>
      <c r="B149" s="175"/>
      <c r="C149" s="175"/>
      <c r="D149" s="182">
        <f t="shared" si="21"/>
        <v>3.0186021356610113E-2</v>
      </c>
      <c r="E149" s="145"/>
      <c r="F149" s="145"/>
      <c r="G149" s="145"/>
      <c r="H149" s="145"/>
      <c r="I149" s="145"/>
      <c r="J149" s="145"/>
      <c r="K149" s="145"/>
      <c r="L149" s="145"/>
      <c r="M149" s="145"/>
      <c r="N149" s="145"/>
      <c r="O149" s="145"/>
      <c r="P149" s="145"/>
      <c r="Q149" s="145"/>
      <c r="R149" s="145"/>
    </row>
    <row r="150" spans="1:18" ht="12.5">
      <c r="A150" s="145"/>
      <c r="B150" s="145"/>
      <c r="C150" s="145"/>
      <c r="D150" s="182">
        <f t="shared" si="21"/>
        <v>2.8080019866614056E-2</v>
      </c>
      <c r="E150" s="145"/>
      <c r="F150" s="145"/>
      <c r="G150" s="145"/>
      <c r="H150" s="145"/>
      <c r="I150" s="145"/>
      <c r="J150" s="145"/>
      <c r="K150" s="145"/>
      <c r="L150" s="145"/>
      <c r="M150" s="145"/>
      <c r="N150" s="145"/>
      <c r="O150" s="145"/>
      <c r="P150" s="145"/>
      <c r="Q150" s="145"/>
      <c r="R150" s="145"/>
    </row>
    <row r="151" spans="1:18" ht="12.5">
      <c r="A151" s="145"/>
      <c r="B151" s="145"/>
      <c r="C151" s="145"/>
      <c r="D151" s="182">
        <f t="shared" si="21"/>
        <v>2.6120948713129356E-2</v>
      </c>
      <c r="E151" s="145"/>
      <c r="F151" s="145"/>
      <c r="G151" s="145"/>
      <c r="H151" s="145"/>
      <c r="I151" s="145"/>
      <c r="J151" s="145"/>
      <c r="K151" s="145"/>
      <c r="L151" s="145"/>
      <c r="M151" s="145"/>
      <c r="N151" s="145"/>
      <c r="O151" s="145"/>
      <c r="P151" s="145"/>
      <c r="Q151" s="145"/>
      <c r="R151" s="145"/>
    </row>
    <row r="152" spans="1:18" ht="12.5">
      <c r="A152" s="145"/>
      <c r="B152" s="145"/>
      <c r="C152" s="145"/>
      <c r="D152" s="182" t="str">
        <f t="shared" si="21"/>
        <v/>
      </c>
      <c r="E152" s="145"/>
      <c r="F152" s="145"/>
      <c r="G152" s="145"/>
      <c r="H152" s="145"/>
      <c r="I152" s="145"/>
      <c r="J152" s="145"/>
      <c r="K152" s="145"/>
      <c r="L152" s="145"/>
      <c r="M152" s="145"/>
      <c r="N152" s="145"/>
      <c r="O152" s="145"/>
      <c r="P152" s="145"/>
      <c r="Q152" s="145"/>
      <c r="R152" s="145"/>
    </row>
    <row r="153" spans="1:18" ht="12.5">
      <c r="A153" s="145"/>
      <c r="B153" s="145"/>
      <c r="C153" s="145"/>
      <c r="D153" s="145"/>
      <c r="E153" s="145"/>
      <c r="F153" s="145"/>
      <c r="G153" s="145"/>
      <c r="H153" s="145"/>
      <c r="I153" s="145"/>
      <c r="J153" s="145"/>
      <c r="K153" s="145"/>
      <c r="L153" s="145"/>
      <c r="M153" s="145"/>
      <c r="N153" s="145"/>
      <c r="O153" s="145"/>
      <c r="P153" s="145"/>
      <c r="Q153" s="145"/>
      <c r="R153" s="145"/>
    </row>
    <row r="154" spans="1:18" ht="13">
      <c r="A154" s="145"/>
      <c r="B154" s="175" t="s">
        <v>243</v>
      </c>
      <c r="C154" s="175"/>
      <c r="D154" s="183" t="str">
        <f t="shared" ref="D154:D159" si="22">IFERROR(INDEX($D$31:$F$31, 1, MATCH($D133,$D$24:$F$24,0))*D147, "")</f>
        <v/>
      </c>
      <c r="E154" s="145"/>
      <c r="F154" s="145"/>
      <c r="G154" s="145"/>
      <c r="H154" s="145"/>
      <c r="I154" s="145"/>
      <c r="J154" s="145"/>
      <c r="K154" s="145"/>
      <c r="L154" s="145"/>
      <c r="M154" s="145"/>
      <c r="N154" s="145"/>
      <c r="O154" s="145"/>
      <c r="P154" s="145"/>
      <c r="Q154" s="145"/>
      <c r="R154" s="145"/>
    </row>
    <row r="155" spans="1:18" ht="12.5">
      <c r="A155" s="145"/>
      <c r="B155" s="145"/>
      <c r="C155" s="145"/>
      <c r="D155" s="183" t="str">
        <f t="shared" si="22"/>
        <v/>
      </c>
      <c r="E155" s="145"/>
      <c r="F155" s="145"/>
      <c r="G155" s="145"/>
      <c r="H155" s="145"/>
      <c r="I155" s="145"/>
      <c r="J155" s="145"/>
      <c r="K155" s="145"/>
      <c r="L155" s="145"/>
      <c r="M155" s="145"/>
      <c r="N155" s="145"/>
      <c r="O155" s="145"/>
      <c r="P155" s="145"/>
      <c r="Q155" s="145"/>
      <c r="R155" s="145"/>
    </row>
    <row r="156" spans="1:18" ht="12.5">
      <c r="A156" s="145"/>
      <c r="B156" s="145"/>
      <c r="C156" s="145"/>
      <c r="D156" s="183">
        <f t="shared" si="22"/>
        <v>-101.64474597955309</v>
      </c>
      <c r="E156" s="145"/>
      <c r="F156" s="145"/>
      <c r="G156" s="145"/>
      <c r="H156" s="145"/>
      <c r="I156" s="145"/>
      <c r="J156" s="145"/>
      <c r="K156" s="145"/>
      <c r="L156" s="145"/>
      <c r="M156" s="145"/>
      <c r="N156" s="145"/>
      <c r="O156" s="145"/>
      <c r="P156" s="145"/>
      <c r="Q156" s="145"/>
      <c r="R156" s="145"/>
    </row>
    <row r="157" spans="1:18" ht="12.5">
      <c r="A157" s="145"/>
      <c r="B157" s="145"/>
      <c r="C157" s="145"/>
      <c r="D157" s="183">
        <f t="shared" si="22"/>
        <v>-34.56675922262383</v>
      </c>
      <c r="E157" s="145"/>
      <c r="F157" s="145"/>
      <c r="G157" s="145"/>
      <c r="H157" s="145"/>
      <c r="I157" s="145"/>
      <c r="J157" s="145"/>
      <c r="K157" s="145"/>
      <c r="L157" s="145"/>
      <c r="M157" s="145"/>
      <c r="N157" s="145"/>
      <c r="O157" s="145"/>
      <c r="P157" s="145"/>
      <c r="Q157" s="145"/>
      <c r="R157" s="145"/>
    </row>
    <row r="158" spans="1:18" ht="12.5">
      <c r="A158" s="145"/>
      <c r="B158" s="145"/>
      <c r="C158" s="145"/>
      <c r="D158" s="183">
        <f t="shared" si="22"/>
        <v>14.562642462388952</v>
      </c>
      <c r="E158" s="145"/>
      <c r="F158" s="145"/>
      <c r="G158" s="145"/>
      <c r="H158" s="145"/>
      <c r="I158" s="145"/>
      <c r="J158" s="145"/>
      <c r="K158" s="145"/>
      <c r="L158" s="145"/>
      <c r="M158" s="145"/>
      <c r="N158" s="145"/>
      <c r="O158" s="145"/>
      <c r="P158" s="145"/>
      <c r="Q158" s="145"/>
      <c r="R158" s="145"/>
    </row>
    <row r="159" spans="1:18" ht="12.5">
      <c r="A159" s="145"/>
      <c r="B159" s="145"/>
      <c r="C159" s="145"/>
      <c r="D159" s="183" t="str">
        <f t="shared" si="22"/>
        <v/>
      </c>
      <c r="E159" s="145"/>
      <c r="F159" s="145"/>
      <c r="G159" s="145"/>
      <c r="H159" s="145"/>
      <c r="I159" s="145"/>
      <c r="J159" s="145"/>
      <c r="K159" s="145"/>
      <c r="L159" s="145"/>
      <c r="M159" s="145"/>
      <c r="N159" s="145"/>
      <c r="O159" s="145"/>
      <c r="P159" s="145"/>
      <c r="Q159" s="145"/>
      <c r="R159" s="145"/>
    </row>
    <row r="160" spans="1:18" ht="12.5">
      <c r="A160" s="145"/>
      <c r="B160" s="145"/>
      <c r="C160" s="145"/>
      <c r="D160" s="145"/>
      <c r="E160" s="145"/>
      <c r="F160" s="145"/>
      <c r="G160" s="145"/>
      <c r="H160" s="145"/>
      <c r="I160" s="145"/>
      <c r="J160" s="145"/>
      <c r="K160" s="145"/>
      <c r="L160" s="145"/>
      <c r="M160" s="145"/>
      <c r="N160" s="145"/>
      <c r="O160" s="145"/>
      <c r="P160" s="145"/>
      <c r="Q160" s="145"/>
      <c r="R160" s="145"/>
    </row>
    <row r="161" spans="1:18" ht="13">
      <c r="A161" s="145"/>
      <c r="B161" s="175" t="s">
        <v>222</v>
      </c>
      <c r="C161" s="175"/>
      <c r="D161" s="183">
        <f>SUM(D154:D159)</f>
        <v>-121.64886273978796</v>
      </c>
      <c r="E161" s="145"/>
      <c r="F161" s="145"/>
      <c r="G161" s="145"/>
      <c r="H161" s="145"/>
      <c r="I161" s="145"/>
      <c r="J161" s="145"/>
      <c r="K161" s="145"/>
      <c r="L161" s="145"/>
      <c r="M161" s="145"/>
      <c r="N161" s="145"/>
      <c r="O161" s="145"/>
      <c r="P161" s="145"/>
      <c r="Q161" s="145"/>
      <c r="R161" s="145"/>
    </row>
    <row r="162" spans="1:18" ht="12.5">
      <c r="A162" s="145"/>
      <c r="B162" s="145"/>
      <c r="C162" s="145"/>
      <c r="D162" s="145"/>
      <c r="E162" s="145"/>
      <c r="F162" s="145"/>
      <c r="G162" s="145"/>
      <c r="H162" s="145"/>
      <c r="I162" s="145"/>
      <c r="J162" s="145"/>
      <c r="K162" s="145"/>
      <c r="L162" s="145"/>
      <c r="M162" s="145"/>
      <c r="N162" s="145"/>
      <c r="O162" s="145"/>
      <c r="P162" s="145"/>
      <c r="Q162" s="145"/>
      <c r="R162" s="145"/>
    </row>
    <row r="163" spans="1:18" ht="12.5">
      <c r="A163" s="145"/>
      <c r="B163" s="145"/>
      <c r="C163" s="145"/>
      <c r="D163" s="145"/>
      <c r="E163" s="145"/>
      <c r="F163" s="145"/>
      <c r="G163" s="145"/>
      <c r="H163" s="145"/>
      <c r="I163" s="145"/>
      <c r="J163" s="145"/>
      <c r="K163" s="145"/>
      <c r="L163" s="145"/>
      <c r="M163" s="145"/>
      <c r="N163" s="145"/>
      <c r="O163" s="145"/>
      <c r="P163" s="145"/>
      <c r="Q163" s="145"/>
      <c r="R163" s="145"/>
    </row>
    <row r="164" spans="1:18" ht="12.5">
      <c r="A164" s="174"/>
      <c r="B164" s="174"/>
      <c r="C164" s="174"/>
      <c r="D164" s="174"/>
      <c r="E164" s="174"/>
      <c r="F164" s="174"/>
      <c r="G164" s="174"/>
      <c r="H164" s="174"/>
      <c r="I164" s="174"/>
      <c r="J164" s="174"/>
      <c r="K164" s="174"/>
      <c r="L164" s="174"/>
      <c r="M164" s="174"/>
      <c r="N164" s="174"/>
      <c r="O164" s="174"/>
      <c r="P164" s="174"/>
      <c r="Q164" s="174"/>
      <c r="R164" s="174"/>
    </row>
    <row r="165" spans="1:18" ht="12.5">
      <c r="A165" s="145"/>
      <c r="B165" s="145"/>
      <c r="C165" s="145"/>
      <c r="D165" s="145"/>
      <c r="E165" s="145"/>
      <c r="F165" s="145"/>
      <c r="G165" s="145"/>
      <c r="H165" s="145"/>
      <c r="I165" s="145"/>
      <c r="J165" s="145"/>
      <c r="K165" s="145"/>
      <c r="L165" s="145"/>
      <c r="M165" s="145"/>
      <c r="N165" s="145"/>
      <c r="O165" s="145"/>
      <c r="P165" s="145"/>
      <c r="Q165" s="145"/>
      <c r="R165" s="145"/>
    </row>
    <row r="166" spans="1:18" ht="12.5">
      <c r="A166" s="145"/>
      <c r="B166" s="145"/>
      <c r="C166" s="145"/>
      <c r="D166" s="145"/>
      <c r="E166" s="145"/>
      <c r="F166" s="145"/>
      <c r="G166" s="145"/>
      <c r="H166" s="145"/>
      <c r="I166" s="145"/>
      <c r="J166" s="145"/>
      <c r="K166" s="145"/>
      <c r="L166" s="145"/>
      <c r="M166" s="145"/>
      <c r="N166" s="145"/>
      <c r="O166" s="145"/>
      <c r="P166" s="145"/>
      <c r="Q166" s="145"/>
      <c r="R166" s="145"/>
    </row>
    <row r="167" spans="1:18" ht="12.5">
      <c r="A167" s="145"/>
      <c r="B167" s="145"/>
      <c r="C167" s="145"/>
      <c r="D167" s="145"/>
      <c r="E167" s="145"/>
      <c r="F167" s="145"/>
      <c r="G167" s="145"/>
      <c r="H167" s="145"/>
      <c r="I167" s="145"/>
      <c r="J167" s="145"/>
      <c r="K167" s="145"/>
      <c r="L167" s="145"/>
      <c r="M167" s="145"/>
      <c r="N167" s="145"/>
      <c r="O167" s="145"/>
      <c r="P167" s="145"/>
      <c r="Q167" s="145"/>
      <c r="R167" s="145"/>
    </row>
    <row r="168" spans="1:18" ht="12.5">
      <c r="A168" s="161"/>
      <c r="B168" s="145"/>
      <c r="C168" s="145"/>
      <c r="D168" s="145"/>
      <c r="E168" s="145"/>
      <c r="F168" s="145"/>
      <c r="G168" s="145"/>
      <c r="H168" s="145"/>
      <c r="I168" s="145"/>
      <c r="J168" s="145"/>
      <c r="K168" s="145"/>
      <c r="L168" s="145"/>
      <c r="M168" s="145"/>
      <c r="N168" s="145"/>
      <c r="O168" s="145"/>
      <c r="P168" s="145"/>
      <c r="Q168" s="145"/>
      <c r="R168" s="145"/>
    </row>
    <row r="169" spans="1:18" ht="12.5">
      <c r="A169" s="145"/>
      <c r="B169" s="145"/>
      <c r="C169" s="145"/>
      <c r="D169" s="145"/>
      <c r="E169" s="145"/>
      <c r="F169" s="145"/>
      <c r="G169" s="145"/>
      <c r="H169" s="145"/>
      <c r="I169" s="145"/>
      <c r="J169" s="145"/>
      <c r="K169" s="145"/>
      <c r="L169" s="145"/>
      <c r="M169" s="145"/>
      <c r="N169" s="145"/>
      <c r="O169" s="145"/>
      <c r="P169" s="145"/>
      <c r="Q169" s="145"/>
      <c r="R169" s="145"/>
    </row>
    <row r="170" spans="1:18" ht="13">
      <c r="A170" s="145"/>
      <c r="B170" s="175" t="s">
        <v>228</v>
      </c>
      <c r="C170" s="175"/>
      <c r="D170" s="145"/>
      <c r="E170" s="145"/>
      <c r="F170" s="145"/>
      <c r="G170" s="145"/>
      <c r="H170" s="145"/>
      <c r="I170" s="145"/>
      <c r="J170" s="145"/>
      <c r="K170" s="145"/>
      <c r="L170" s="145"/>
      <c r="M170" s="145"/>
      <c r="N170" s="145"/>
      <c r="O170" s="145"/>
      <c r="P170" s="145"/>
      <c r="Q170" s="145"/>
      <c r="R170" s="145"/>
    </row>
    <row r="171" spans="1:18" ht="13">
      <c r="A171" s="161"/>
      <c r="B171" s="156" t="s">
        <v>244</v>
      </c>
      <c r="C171" s="156"/>
      <c r="D171" s="145">
        <v>0</v>
      </c>
      <c r="E171" s="145"/>
      <c r="F171" s="145"/>
      <c r="G171" s="145"/>
      <c r="H171" s="145"/>
      <c r="I171" s="145"/>
      <c r="J171" s="145"/>
      <c r="K171" s="145"/>
      <c r="L171" s="145"/>
      <c r="M171" s="145"/>
      <c r="N171" s="145"/>
      <c r="O171" s="145"/>
      <c r="P171" s="145"/>
      <c r="Q171" s="145"/>
      <c r="R171" s="145"/>
    </row>
    <row r="172" spans="1:18" ht="13">
      <c r="A172" s="176" t="s">
        <v>230</v>
      </c>
      <c r="B172" s="156" t="s">
        <v>245</v>
      </c>
      <c r="C172" s="156"/>
      <c r="D172" s="145">
        <f>$D$3-$D$4</f>
        <v>-3</v>
      </c>
      <c r="E172" s="145"/>
      <c r="F172" s="145"/>
      <c r="G172" s="145"/>
      <c r="H172" s="145"/>
      <c r="I172" s="145"/>
      <c r="J172" s="145"/>
      <c r="K172" s="145"/>
      <c r="L172" s="145"/>
      <c r="M172" s="145"/>
      <c r="N172" s="145"/>
      <c r="O172" s="145"/>
      <c r="P172" s="145"/>
      <c r="Q172" s="145"/>
      <c r="R172" s="145"/>
    </row>
    <row r="173" spans="1:18" ht="13">
      <c r="A173" s="145"/>
      <c r="B173" s="145"/>
      <c r="C173" s="145"/>
      <c r="D173" s="177">
        <f>D172-D171</f>
        <v>-3</v>
      </c>
      <c r="E173" s="145"/>
      <c r="F173" s="145"/>
      <c r="G173" s="145"/>
      <c r="H173" s="145"/>
      <c r="I173" s="145"/>
      <c r="J173" s="145"/>
      <c r="K173" s="145"/>
      <c r="L173" s="145"/>
      <c r="M173" s="145"/>
      <c r="N173" s="145"/>
      <c r="O173" s="145"/>
      <c r="P173" s="145"/>
      <c r="Q173" s="145"/>
      <c r="R173" s="145"/>
    </row>
    <row r="174" spans="1:18" ht="12.5">
      <c r="A174" s="145"/>
      <c r="B174" s="145"/>
      <c r="C174" s="145"/>
      <c r="D174" s="145"/>
      <c r="E174" s="145"/>
      <c r="F174" s="145"/>
      <c r="G174" s="145"/>
      <c r="H174" s="145"/>
      <c r="I174" s="145"/>
      <c r="J174" s="145"/>
      <c r="K174" s="145"/>
      <c r="L174" s="145"/>
      <c r="M174" s="145"/>
      <c r="N174" s="145"/>
      <c r="O174" s="145"/>
      <c r="P174" s="145"/>
      <c r="Q174" s="145"/>
      <c r="R174" s="145"/>
    </row>
    <row r="175" spans="1:18" ht="13">
      <c r="A175" s="145"/>
      <c r="B175" s="175" t="s">
        <v>212</v>
      </c>
      <c r="C175" s="175"/>
      <c r="D175" s="179">
        <f>D171</f>
        <v>0</v>
      </c>
      <c r="E175" s="145"/>
      <c r="F175" s="145"/>
      <c r="G175" s="145"/>
      <c r="H175" s="145"/>
      <c r="I175" s="145"/>
      <c r="J175" s="145"/>
      <c r="K175" s="145"/>
      <c r="L175" s="145"/>
      <c r="M175" s="145"/>
      <c r="N175" s="145"/>
      <c r="O175" s="145"/>
      <c r="P175" s="145"/>
      <c r="Q175" s="145"/>
      <c r="R175" s="145"/>
    </row>
    <row r="176" spans="1:18" ht="12.5">
      <c r="A176" s="145"/>
      <c r="B176" s="145"/>
      <c r="C176" s="145"/>
      <c r="D176" s="179" t="str">
        <f>IF($D$173&gt;D175,D175+1, "")</f>
        <v/>
      </c>
      <c r="E176" s="145"/>
      <c r="F176" s="145"/>
      <c r="G176" s="145"/>
      <c r="H176" s="145"/>
      <c r="I176" s="145"/>
      <c r="J176" s="145"/>
      <c r="K176" s="145"/>
      <c r="L176" s="145"/>
      <c r="M176" s="145"/>
      <c r="N176" s="145"/>
      <c r="O176" s="145"/>
      <c r="P176" s="145"/>
      <c r="Q176" s="145"/>
      <c r="R176" s="145"/>
    </row>
    <row r="177" spans="1:18" ht="12.5">
      <c r="A177" s="145"/>
      <c r="B177" s="145"/>
      <c r="C177" s="145"/>
      <c r="D177" s="179" t="str">
        <f t="shared" ref="D177:D180" si="23">IF($D$173&gt;D176,D176+1, "")</f>
        <v/>
      </c>
      <c r="E177" s="145"/>
      <c r="F177" s="145"/>
      <c r="G177" s="145"/>
      <c r="H177" s="145"/>
      <c r="I177" s="145"/>
      <c r="J177" s="145"/>
      <c r="K177" s="145"/>
      <c r="L177" s="145"/>
      <c r="M177" s="145"/>
      <c r="N177" s="145"/>
      <c r="O177" s="145"/>
      <c r="P177" s="145"/>
      <c r="Q177" s="145"/>
      <c r="R177" s="145"/>
    </row>
    <row r="178" spans="1:18" ht="12.5">
      <c r="A178" s="145"/>
      <c r="B178" s="145"/>
      <c r="C178" s="145"/>
      <c r="D178" s="179" t="str">
        <f t="shared" si="23"/>
        <v/>
      </c>
      <c r="E178" s="145"/>
      <c r="F178" s="145"/>
      <c r="G178" s="145"/>
      <c r="H178" s="145"/>
      <c r="I178" s="145"/>
      <c r="J178" s="145"/>
      <c r="K178" s="145"/>
      <c r="L178" s="145"/>
      <c r="M178" s="145"/>
      <c r="N178" s="145"/>
      <c r="O178" s="145"/>
      <c r="P178" s="145"/>
      <c r="Q178" s="145"/>
      <c r="R178" s="145"/>
    </row>
    <row r="179" spans="1:18" ht="12.5">
      <c r="A179" s="145"/>
      <c r="B179" s="145"/>
      <c r="C179" s="145"/>
      <c r="D179" s="179" t="str">
        <f t="shared" si="23"/>
        <v/>
      </c>
      <c r="E179" s="145"/>
      <c r="F179" s="145"/>
      <c r="G179" s="145"/>
      <c r="H179" s="145"/>
      <c r="I179" s="145"/>
      <c r="J179" s="145"/>
      <c r="K179" s="145"/>
      <c r="L179" s="145"/>
      <c r="M179" s="145"/>
      <c r="N179" s="145"/>
      <c r="O179" s="145"/>
      <c r="P179" s="145"/>
      <c r="Q179" s="145"/>
      <c r="R179" s="145"/>
    </row>
    <row r="180" spans="1:18" ht="12.5">
      <c r="A180" s="145"/>
      <c r="B180" s="145"/>
      <c r="C180" s="145"/>
      <c r="D180" s="179" t="str">
        <f t="shared" si="23"/>
        <v/>
      </c>
      <c r="E180" s="145"/>
      <c r="F180" s="145"/>
      <c r="G180" s="145"/>
      <c r="H180" s="145"/>
      <c r="I180" s="145"/>
      <c r="J180" s="145"/>
      <c r="K180" s="145"/>
      <c r="L180" s="145"/>
      <c r="M180" s="145"/>
      <c r="N180" s="145"/>
      <c r="O180" s="145"/>
      <c r="P180" s="145"/>
      <c r="Q180" s="145"/>
      <c r="R180" s="145"/>
    </row>
    <row r="181" spans="1:18" ht="12.5">
      <c r="A181" s="145"/>
      <c r="B181" s="145"/>
      <c r="C181" s="145"/>
      <c r="D181" s="145"/>
      <c r="E181" s="145"/>
      <c r="F181" s="145"/>
      <c r="G181" s="145"/>
      <c r="H181" s="145"/>
      <c r="I181" s="145"/>
      <c r="J181" s="145"/>
      <c r="K181" s="145"/>
      <c r="L181" s="145"/>
      <c r="M181" s="145"/>
      <c r="N181" s="145"/>
      <c r="O181" s="145"/>
      <c r="P181" s="145"/>
      <c r="Q181" s="145"/>
      <c r="R181" s="145"/>
    </row>
    <row r="182" spans="1:18" ht="13">
      <c r="A182" s="145"/>
      <c r="B182" s="175" t="s">
        <v>246</v>
      </c>
      <c r="C182" s="175"/>
      <c r="D182" s="179">
        <f>IFERROR($D$3-(D175+$D$4), "")</f>
        <v>-3</v>
      </c>
      <c r="E182" s="145"/>
      <c r="F182" s="145"/>
      <c r="G182" s="145"/>
      <c r="H182" s="145"/>
      <c r="I182" s="145"/>
      <c r="J182" s="145"/>
      <c r="K182" s="145"/>
      <c r="L182" s="145"/>
      <c r="M182" s="145"/>
      <c r="N182" s="145"/>
      <c r="O182" s="145"/>
      <c r="P182" s="145"/>
      <c r="Q182" s="145"/>
      <c r="R182" s="145"/>
    </row>
    <row r="183" spans="1:18" ht="12.5">
      <c r="A183" s="145"/>
      <c r="B183" s="145"/>
      <c r="C183" s="145"/>
      <c r="D183" s="179" t="str">
        <f t="shared" ref="D183:D187" si="24">IFERROR($D$3-(D176+$D$4), "")</f>
        <v/>
      </c>
      <c r="E183" s="145"/>
      <c r="F183" s="145"/>
      <c r="G183" s="145"/>
      <c r="H183" s="145"/>
      <c r="I183" s="145"/>
      <c r="J183" s="145"/>
      <c r="K183" s="145"/>
      <c r="L183" s="145"/>
      <c r="M183" s="145"/>
      <c r="N183" s="145"/>
      <c r="O183" s="145"/>
      <c r="P183" s="145"/>
      <c r="Q183" s="145"/>
      <c r="R183" s="145"/>
    </row>
    <row r="184" spans="1:18" ht="12.5">
      <c r="A184" s="145"/>
      <c r="B184" s="145"/>
      <c r="C184" s="145"/>
      <c r="D184" s="179" t="str">
        <f t="shared" si="24"/>
        <v/>
      </c>
      <c r="E184" s="145"/>
      <c r="F184" s="145"/>
      <c r="G184" s="145"/>
      <c r="H184" s="145"/>
      <c r="I184" s="145"/>
      <c r="J184" s="145"/>
      <c r="K184" s="145"/>
      <c r="L184" s="145"/>
      <c r="M184" s="145"/>
      <c r="N184" s="145"/>
      <c r="O184" s="145"/>
      <c r="P184" s="145"/>
      <c r="Q184" s="145"/>
      <c r="R184" s="145"/>
    </row>
    <row r="185" spans="1:18" ht="12.5">
      <c r="A185" s="145"/>
      <c r="B185" s="145"/>
      <c r="C185" s="145"/>
      <c r="D185" s="179" t="str">
        <f t="shared" si="24"/>
        <v/>
      </c>
      <c r="E185" s="145"/>
      <c r="F185" s="145"/>
      <c r="G185" s="145"/>
      <c r="H185" s="145"/>
      <c r="I185" s="145"/>
      <c r="J185" s="145"/>
      <c r="K185" s="145"/>
      <c r="L185" s="145"/>
      <c r="M185" s="145"/>
      <c r="N185" s="145"/>
      <c r="O185" s="145"/>
      <c r="P185" s="145"/>
      <c r="Q185" s="145"/>
      <c r="R185" s="145"/>
    </row>
    <row r="186" spans="1:18" ht="12.5">
      <c r="A186" s="145"/>
      <c r="B186" s="145"/>
      <c r="C186" s="145"/>
      <c r="D186" s="179" t="str">
        <f t="shared" si="24"/>
        <v/>
      </c>
      <c r="E186" s="145"/>
      <c r="F186" s="145"/>
      <c r="G186" s="145"/>
      <c r="H186" s="145"/>
      <c r="I186" s="145"/>
      <c r="J186" s="145"/>
      <c r="K186" s="145"/>
      <c r="L186" s="145"/>
      <c r="M186" s="145"/>
      <c r="N186" s="145"/>
      <c r="O186" s="145"/>
      <c r="P186" s="145"/>
      <c r="Q186" s="145"/>
      <c r="R186" s="145"/>
    </row>
    <row r="187" spans="1:18" ht="12.5">
      <c r="A187" s="145"/>
      <c r="B187" s="145"/>
      <c r="C187" s="145"/>
      <c r="D187" s="179" t="str">
        <f t="shared" si="24"/>
        <v/>
      </c>
      <c r="E187" s="145"/>
      <c r="F187" s="145"/>
      <c r="G187" s="145"/>
      <c r="H187" s="145"/>
      <c r="I187" s="145"/>
      <c r="J187" s="145"/>
      <c r="K187" s="145"/>
      <c r="L187" s="145"/>
      <c r="M187" s="145"/>
      <c r="N187" s="145"/>
      <c r="O187" s="145"/>
      <c r="P187" s="145"/>
      <c r="Q187" s="145"/>
      <c r="R187" s="145"/>
    </row>
    <row r="188" spans="1:18" ht="12.5">
      <c r="A188" s="145"/>
      <c r="B188" s="145"/>
      <c r="C188" s="145"/>
      <c r="D188" s="145"/>
      <c r="E188" s="145"/>
      <c r="F188" s="145"/>
      <c r="G188" s="145"/>
      <c r="H188" s="145"/>
      <c r="I188" s="145"/>
      <c r="J188" s="145"/>
      <c r="K188" s="145"/>
      <c r="L188" s="145"/>
      <c r="M188" s="145"/>
      <c r="N188" s="145"/>
      <c r="O188" s="145"/>
      <c r="P188" s="145"/>
      <c r="Q188" s="145"/>
      <c r="R188" s="145"/>
    </row>
    <row r="189" spans="1:18" ht="13">
      <c r="A189" s="145"/>
      <c r="B189" s="175" t="s">
        <v>242</v>
      </c>
      <c r="C189" s="175"/>
      <c r="D189" s="182" t="str">
        <f>IFERROR(IF(D182&lt;0,"", $D$7*$D$9*((1+$D$7)^$D182)), "")</f>
        <v/>
      </c>
      <c r="E189" s="145"/>
      <c r="F189" s="145"/>
      <c r="G189" s="145"/>
      <c r="H189" s="145"/>
      <c r="I189" s="145"/>
      <c r="J189" s="145"/>
      <c r="K189" s="145"/>
      <c r="L189" s="145"/>
      <c r="M189" s="145"/>
      <c r="N189" s="145"/>
      <c r="O189" s="145"/>
      <c r="P189" s="145"/>
      <c r="Q189" s="145"/>
      <c r="R189" s="145"/>
    </row>
    <row r="190" spans="1:18" ht="12.5">
      <c r="A190" s="145"/>
      <c r="B190" s="145"/>
      <c r="C190" s="145"/>
      <c r="D190" s="182" t="str">
        <f t="shared" ref="D190:D194" si="25">IFERROR(IF(D183&lt;0,"", $D$7*$D$9*((1+$D$7)^$D183)), "")</f>
        <v/>
      </c>
      <c r="E190" s="145"/>
      <c r="F190" s="145"/>
      <c r="G190" s="145"/>
      <c r="H190" s="145"/>
      <c r="I190" s="145"/>
      <c r="J190" s="145"/>
      <c r="K190" s="145"/>
      <c r="L190" s="145"/>
      <c r="M190" s="145"/>
      <c r="N190" s="145"/>
      <c r="O190" s="145"/>
      <c r="P190" s="145"/>
      <c r="Q190" s="145"/>
      <c r="R190" s="145"/>
    </row>
    <row r="191" spans="1:18" ht="12.5">
      <c r="A191" s="145"/>
      <c r="B191" s="145"/>
      <c r="C191" s="145"/>
      <c r="D191" s="182" t="str">
        <f t="shared" si="25"/>
        <v/>
      </c>
      <c r="E191" s="145"/>
      <c r="F191" s="145"/>
      <c r="G191" s="145"/>
      <c r="H191" s="145"/>
      <c r="I191" s="145"/>
      <c r="J191" s="145"/>
      <c r="K191" s="145"/>
      <c r="L191" s="145"/>
      <c r="M191" s="145"/>
      <c r="N191" s="145"/>
      <c r="O191" s="145"/>
      <c r="P191" s="145"/>
      <c r="Q191" s="145"/>
      <c r="R191" s="145"/>
    </row>
    <row r="192" spans="1:18" ht="12.5">
      <c r="A192" s="145"/>
      <c r="B192" s="145"/>
      <c r="C192" s="145"/>
      <c r="D192" s="182" t="str">
        <f t="shared" si="25"/>
        <v/>
      </c>
      <c r="E192" s="145"/>
      <c r="F192" s="145"/>
      <c r="G192" s="145"/>
      <c r="H192" s="145"/>
      <c r="I192" s="145"/>
      <c r="J192" s="145"/>
      <c r="K192" s="145"/>
      <c r="L192" s="145"/>
      <c r="M192" s="145"/>
      <c r="N192" s="145"/>
      <c r="O192" s="145"/>
      <c r="P192" s="145"/>
      <c r="Q192" s="145"/>
      <c r="R192" s="145"/>
    </row>
    <row r="193" spans="1:18" ht="12.5">
      <c r="A193" s="145"/>
      <c r="B193" s="145"/>
      <c r="C193" s="145"/>
      <c r="D193" s="182" t="str">
        <f t="shared" si="25"/>
        <v/>
      </c>
      <c r="E193" s="145"/>
      <c r="F193" s="145"/>
      <c r="G193" s="145"/>
      <c r="H193" s="145"/>
      <c r="I193" s="145"/>
      <c r="J193" s="145"/>
      <c r="K193" s="145"/>
      <c r="L193" s="145"/>
      <c r="M193" s="145"/>
      <c r="N193" s="145"/>
      <c r="O193" s="145"/>
      <c r="P193" s="145"/>
      <c r="Q193" s="145"/>
      <c r="R193" s="145"/>
    </row>
    <row r="194" spans="1:18" ht="12.5">
      <c r="A194" s="145"/>
      <c r="B194" s="145"/>
      <c r="C194" s="145"/>
      <c r="D194" s="182" t="str">
        <f t="shared" si="25"/>
        <v/>
      </c>
      <c r="E194" s="145"/>
      <c r="F194" s="145"/>
      <c r="G194" s="145"/>
      <c r="H194" s="145"/>
      <c r="I194" s="145"/>
      <c r="J194" s="145"/>
      <c r="K194" s="145"/>
      <c r="L194" s="145"/>
      <c r="M194" s="145"/>
      <c r="N194" s="145"/>
      <c r="O194" s="145"/>
      <c r="P194" s="145"/>
      <c r="Q194" s="145"/>
      <c r="R194" s="145"/>
    </row>
    <row r="195" spans="1:18" ht="12.5">
      <c r="A195" s="145"/>
      <c r="B195" s="145"/>
      <c r="C195" s="145"/>
      <c r="D195" s="145"/>
      <c r="E195" s="145"/>
      <c r="F195" s="145"/>
      <c r="G195" s="145"/>
      <c r="H195" s="145"/>
      <c r="I195" s="145"/>
      <c r="J195" s="145"/>
      <c r="K195" s="145"/>
      <c r="L195" s="145"/>
      <c r="M195" s="145"/>
      <c r="N195" s="145"/>
      <c r="O195" s="145"/>
      <c r="P195" s="145"/>
      <c r="Q195" s="145"/>
      <c r="R195" s="145"/>
    </row>
    <row r="196" spans="1:18" ht="13">
      <c r="A196" s="145"/>
      <c r="B196" s="175" t="s">
        <v>243</v>
      </c>
      <c r="C196" s="175"/>
      <c r="D196" s="183" t="str">
        <f t="shared" ref="D196:D201" si="26">IFERROR(INDEX($D$31:$F$31, 1, MATCH($D175,$D$24:$F$24,0))*D189, "")</f>
        <v/>
      </c>
      <c r="E196" s="145"/>
      <c r="F196" s="145"/>
      <c r="G196" s="145"/>
      <c r="H196" s="145"/>
      <c r="I196" s="145"/>
      <c r="J196" s="145"/>
      <c r="K196" s="145"/>
      <c r="L196" s="145"/>
      <c r="M196" s="145"/>
      <c r="N196" s="145"/>
      <c r="O196" s="145"/>
      <c r="P196" s="145"/>
      <c r="Q196" s="145"/>
      <c r="R196" s="145"/>
    </row>
    <row r="197" spans="1:18" ht="12.5">
      <c r="A197" s="145"/>
      <c r="B197" s="145"/>
      <c r="C197" s="145"/>
      <c r="D197" s="183" t="str">
        <f t="shared" si="26"/>
        <v/>
      </c>
      <c r="E197" s="145"/>
      <c r="F197" s="145"/>
      <c r="G197" s="145"/>
      <c r="H197" s="145"/>
      <c r="I197" s="145"/>
      <c r="J197" s="145"/>
      <c r="K197" s="145"/>
      <c r="L197" s="145"/>
      <c r="M197" s="145"/>
      <c r="N197" s="145"/>
      <c r="O197" s="145"/>
      <c r="P197" s="145"/>
      <c r="Q197" s="145"/>
      <c r="R197" s="145"/>
    </row>
    <row r="198" spans="1:18" ht="12.5">
      <c r="A198" s="145"/>
      <c r="B198" s="145"/>
      <c r="C198" s="145"/>
      <c r="D198" s="183" t="str">
        <f t="shared" si="26"/>
        <v/>
      </c>
      <c r="E198" s="145"/>
      <c r="F198" s="145"/>
      <c r="G198" s="145"/>
      <c r="H198" s="145"/>
      <c r="I198" s="145"/>
      <c r="J198" s="145"/>
      <c r="K198" s="145"/>
      <c r="L198" s="145"/>
      <c r="M198" s="145"/>
      <c r="N198" s="145"/>
      <c r="O198" s="145"/>
      <c r="P198" s="145"/>
      <c r="Q198" s="145"/>
      <c r="R198" s="145"/>
    </row>
    <row r="199" spans="1:18" ht="12.5">
      <c r="A199" s="145"/>
      <c r="B199" s="145"/>
      <c r="C199" s="145"/>
      <c r="D199" s="183" t="str">
        <f t="shared" si="26"/>
        <v/>
      </c>
      <c r="E199" s="145"/>
      <c r="F199" s="145"/>
      <c r="G199" s="145"/>
      <c r="H199" s="145"/>
      <c r="I199" s="145"/>
      <c r="J199" s="145"/>
      <c r="K199" s="145"/>
      <c r="L199" s="145"/>
      <c r="M199" s="145"/>
      <c r="N199" s="145"/>
      <c r="O199" s="145"/>
      <c r="P199" s="145"/>
      <c r="Q199" s="145"/>
      <c r="R199" s="145"/>
    </row>
    <row r="200" spans="1:18" ht="12.5">
      <c r="A200" s="145"/>
      <c r="B200" s="145"/>
      <c r="C200" s="145"/>
      <c r="D200" s="183" t="str">
        <f t="shared" si="26"/>
        <v/>
      </c>
      <c r="E200" s="145"/>
      <c r="F200" s="145"/>
      <c r="G200" s="145"/>
      <c r="H200" s="145"/>
      <c r="I200" s="145"/>
      <c r="J200" s="145"/>
      <c r="K200" s="145"/>
      <c r="L200" s="145"/>
      <c r="M200" s="145"/>
      <c r="N200" s="145"/>
      <c r="O200" s="145"/>
      <c r="P200" s="145"/>
      <c r="Q200" s="145"/>
      <c r="R200" s="145"/>
    </row>
    <row r="201" spans="1:18" ht="12.5">
      <c r="A201" s="145"/>
      <c r="B201" s="145"/>
      <c r="C201" s="145"/>
      <c r="D201" s="183" t="str">
        <f t="shared" si="26"/>
        <v/>
      </c>
      <c r="E201" s="145"/>
      <c r="F201" s="145"/>
      <c r="G201" s="145"/>
      <c r="H201" s="145"/>
      <c r="I201" s="145"/>
      <c r="J201" s="145"/>
      <c r="K201" s="145"/>
      <c r="L201" s="145"/>
      <c r="M201" s="145"/>
      <c r="N201" s="145"/>
      <c r="O201" s="145"/>
      <c r="P201" s="145"/>
      <c r="Q201" s="145"/>
      <c r="R201" s="145"/>
    </row>
    <row r="202" spans="1:18" ht="12.5">
      <c r="A202" s="145"/>
      <c r="B202" s="145"/>
      <c r="C202" s="145"/>
      <c r="D202" s="169"/>
      <c r="E202" s="145"/>
      <c r="F202" s="145"/>
      <c r="G202" s="145"/>
      <c r="H202" s="145"/>
      <c r="I202" s="145"/>
      <c r="J202" s="145"/>
      <c r="K202" s="145"/>
      <c r="L202" s="145"/>
      <c r="M202" s="145"/>
      <c r="N202" s="145"/>
      <c r="O202" s="145"/>
      <c r="P202" s="145"/>
      <c r="Q202" s="145"/>
      <c r="R202" s="145"/>
    </row>
    <row r="203" spans="1:18" ht="13">
      <c r="A203" s="145"/>
      <c r="B203" s="175" t="s">
        <v>223</v>
      </c>
      <c r="C203" s="175"/>
      <c r="D203" s="183">
        <f>SUM(D196:D201)</f>
        <v>0</v>
      </c>
      <c r="E203" s="145"/>
      <c r="F203" s="145"/>
      <c r="G203" s="145"/>
      <c r="H203" s="145"/>
      <c r="I203" s="145"/>
      <c r="J203" s="145"/>
      <c r="K203" s="145"/>
      <c r="L203" s="145"/>
      <c r="M203" s="145"/>
      <c r="N203" s="145"/>
      <c r="O203" s="145"/>
      <c r="P203" s="145"/>
      <c r="Q203" s="145"/>
      <c r="R203" s="145"/>
    </row>
    <row r="204" spans="1:18" ht="12.5">
      <c r="A204" s="145"/>
      <c r="B204" s="145"/>
      <c r="C204" s="145"/>
      <c r="D204" s="145"/>
      <c r="E204" s="145"/>
      <c r="F204" s="145"/>
      <c r="G204" s="145"/>
      <c r="H204" s="145"/>
      <c r="I204" s="145"/>
      <c r="J204" s="145"/>
      <c r="K204" s="145"/>
      <c r="L204" s="145"/>
      <c r="M204" s="145"/>
      <c r="N204" s="145"/>
      <c r="O204" s="145"/>
      <c r="P204" s="145"/>
      <c r="Q204" s="145"/>
      <c r="R204" s="145"/>
    </row>
    <row r="205" spans="1:18" ht="18">
      <c r="A205" s="181"/>
      <c r="B205" s="157" t="s">
        <v>247</v>
      </c>
      <c r="C205" s="157"/>
      <c r="D205" s="181"/>
      <c r="E205" s="181"/>
      <c r="F205" s="181"/>
      <c r="G205" s="181"/>
      <c r="H205" s="181"/>
      <c r="I205" s="181"/>
      <c r="J205" s="181"/>
      <c r="K205" s="181"/>
      <c r="L205" s="181"/>
      <c r="M205" s="181"/>
      <c r="N205" s="181"/>
      <c r="O205" s="181"/>
      <c r="P205" s="181"/>
      <c r="Q205" s="181"/>
      <c r="R205" s="181"/>
    </row>
    <row r="206" spans="1:18" ht="12.5">
      <c r="A206" s="145"/>
      <c r="B206" s="145"/>
      <c r="C206" s="145"/>
      <c r="D206" s="145"/>
      <c r="E206" s="145"/>
      <c r="F206" s="145"/>
      <c r="G206" s="145"/>
      <c r="H206" s="145"/>
      <c r="I206" s="145"/>
      <c r="J206" s="145"/>
      <c r="K206" s="145"/>
      <c r="L206" s="145"/>
      <c r="M206" s="145"/>
      <c r="N206" s="145"/>
      <c r="O206" s="145"/>
      <c r="P206" s="145"/>
      <c r="Q206" s="145"/>
      <c r="R206" s="145"/>
    </row>
    <row r="207" spans="1:18" ht="12.5">
      <c r="A207" s="145"/>
      <c r="B207" s="145"/>
      <c r="C207" s="145"/>
      <c r="D207" s="145"/>
      <c r="E207" s="145"/>
      <c r="F207" s="145"/>
      <c r="G207" s="145"/>
      <c r="H207" s="145"/>
      <c r="I207" s="145"/>
      <c r="J207" s="145"/>
      <c r="K207" s="145"/>
      <c r="L207" s="145"/>
      <c r="M207" s="145"/>
      <c r="N207" s="145"/>
      <c r="O207" s="145"/>
      <c r="P207" s="145"/>
      <c r="Q207" s="145"/>
      <c r="R207" s="145"/>
    </row>
    <row r="208" spans="1:18" ht="12.5">
      <c r="A208" s="145"/>
      <c r="B208" s="145"/>
      <c r="C208" s="145"/>
      <c r="D208" s="145"/>
      <c r="E208" s="145"/>
      <c r="F208" s="145"/>
      <c r="G208" s="145"/>
      <c r="H208" s="145"/>
      <c r="I208" s="145"/>
      <c r="J208" s="145"/>
      <c r="K208" s="145"/>
      <c r="L208" s="145"/>
      <c r="M208" s="145"/>
      <c r="N208" s="145"/>
      <c r="O208" s="145"/>
      <c r="P208" s="145"/>
      <c r="Q208" s="145"/>
      <c r="R208" s="145"/>
    </row>
    <row r="209" spans="1:18" ht="12.5">
      <c r="A209" s="145"/>
      <c r="B209" s="145"/>
      <c r="C209" s="145"/>
      <c r="D209" s="145"/>
      <c r="E209" s="145"/>
      <c r="F209" s="145"/>
      <c r="G209" s="145"/>
      <c r="H209" s="145"/>
      <c r="I209" s="145"/>
      <c r="J209" s="145"/>
      <c r="K209" s="145"/>
      <c r="L209" s="145"/>
      <c r="M209" s="145"/>
      <c r="N209" s="145"/>
      <c r="O209" s="145"/>
      <c r="P209" s="145"/>
      <c r="Q209" s="145"/>
      <c r="R209" s="145"/>
    </row>
    <row r="210" spans="1:18" ht="12.5">
      <c r="A210" s="145"/>
      <c r="B210" s="145"/>
      <c r="C210" s="145"/>
      <c r="D210" s="145"/>
      <c r="E210" s="145"/>
      <c r="F210" s="145"/>
      <c r="G210" s="145"/>
      <c r="H210" s="145"/>
      <c r="I210" s="145"/>
      <c r="J210" s="145"/>
      <c r="K210" s="145"/>
      <c r="L210" s="145"/>
      <c r="M210" s="145"/>
      <c r="N210" s="145"/>
      <c r="O210" s="145"/>
      <c r="P210" s="145"/>
      <c r="Q210" s="145"/>
      <c r="R210" s="145"/>
    </row>
    <row r="211" spans="1:18" ht="12.5">
      <c r="A211" s="145"/>
      <c r="B211" s="145"/>
      <c r="C211" s="145"/>
      <c r="D211" s="145"/>
      <c r="E211" s="145"/>
      <c r="F211" s="145"/>
      <c r="G211" s="145"/>
      <c r="H211" s="145"/>
      <c r="I211" s="145"/>
      <c r="J211" s="145"/>
      <c r="K211" s="145"/>
      <c r="L211" s="145"/>
      <c r="M211" s="145"/>
      <c r="N211" s="145"/>
      <c r="O211" s="145"/>
      <c r="P211" s="145"/>
      <c r="Q211" s="145"/>
      <c r="R211" s="145"/>
    </row>
    <row r="212" spans="1:18" ht="12.5">
      <c r="A212" s="145"/>
      <c r="B212" s="145"/>
      <c r="C212" s="145"/>
      <c r="D212" s="145"/>
      <c r="E212" s="145"/>
      <c r="F212" s="145"/>
      <c r="G212" s="145"/>
      <c r="H212" s="145"/>
      <c r="I212" s="145"/>
      <c r="J212" s="145"/>
      <c r="K212" s="145"/>
      <c r="L212" s="145"/>
      <c r="M212" s="145"/>
      <c r="N212" s="145"/>
      <c r="O212" s="145"/>
      <c r="P212" s="145"/>
      <c r="Q212" s="145"/>
      <c r="R212" s="145"/>
    </row>
    <row r="213" spans="1:18" ht="12.5">
      <c r="A213" s="145"/>
      <c r="B213" s="145"/>
      <c r="C213" s="145"/>
      <c r="D213" s="145"/>
      <c r="E213" s="145"/>
      <c r="F213" s="145"/>
      <c r="G213" s="145"/>
      <c r="H213" s="145"/>
      <c r="I213" s="145"/>
      <c r="J213" s="145"/>
      <c r="K213" s="145"/>
      <c r="L213" s="145"/>
      <c r="M213" s="145"/>
      <c r="N213" s="145"/>
      <c r="O213" s="145"/>
      <c r="P213" s="145"/>
      <c r="Q213" s="145"/>
      <c r="R213" s="145"/>
    </row>
    <row r="214" spans="1:18" ht="12.5">
      <c r="A214" s="145"/>
      <c r="B214" s="145"/>
      <c r="C214" s="145"/>
      <c r="D214" s="145"/>
      <c r="E214" s="145"/>
      <c r="F214" s="145"/>
      <c r="G214" s="145"/>
      <c r="H214" s="145"/>
      <c r="I214" s="145"/>
      <c r="J214" s="145"/>
      <c r="K214" s="145"/>
      <c r="L214" s="145"/>
      <c r="M214" s="145"/>
      <c r="N214" s="145"/>
      <c r="O214" s="145"/>
      <c r="P214" s="145"/>
      <c r="Q214" s="145"/>
      <c r="R214" s="145"/>
    </row>
    <row r="215" spans="1:18" ht="12.5">
      <c r="A215" s="145"/>
      <c r="B215" s="145"/>
      <c r="C215" s="145"/>
      <c r="D215" s="145"/>
      <c r="E215" s="145"/>
      <c r="F215" s="145"/>
      <c r="G215" s="145"/>
      <c r="H215" s="145"/>
      <c r="I215" s="145"/>
      <c r="J215" s="145"/>
      <c r="K215" s="145"/>
      <c r="L215" s="145"/>
      <c r="M215" s="145"/>
      <c r="N215" s="145"/>
      <c r="O215" s="145"/>
      <c r="P215" s="145"/>
      <c r="Q215" s="145"/>
      <c r="R215" s="145"/>
    </row>
    <row r="216" spans="1:18" ht="12.5">
      <c r="A216" s="145"/>
      <c r="B216" s="145"/>
      <c r="C216" s="145"/>
      <c r="D216" s="145"/>
      <c r="E216" s="145"/>
      <c r="F216" s="145"/>
      <c r="G216" s="145"/>
      <c r="H216" s="145"/>
      <c r="I216" s="145"/>
      <c r="J216" s="145"/>
      <c r="K216" s="145"/>
      <c r="L216" s="145"/>
      <c r="M216" s="145"/>
      <c r="N216" s="145"/>
      <c r="O216" s="145"/>
      <c r="P216" s="145"/>
      <c r="Q216" s="145"/>
      <c r="R216" s="145"/>
    </row>
    <row r="217" spans="1:18" ht="12.5">
      <c r="A217" s="145"/>
      <c r="B217" s="145"/>
      <c r="C217" s="145"/>
      <c r="D217" s="145"/>
      <c r="E217" s="145"/>
      <c r="F217" s="145"/>
      <c r="G217" s="145"/>
      <c r="H217" s="145"/>
      <c r="I217" s="145"/>
      <c r="J217" s="145"/>
      <c r="K217" s="145"/>
      <c r="L217" s="145"/>
      <c r="M217" s="145"/>
      <c r="N217" s="145"/>
      <c r="O217" s="145"/>
      <c r="P217" s="145"/>
      <c r="Q217" s="145"/>
      <c r="R217" s="145"/>
    </row>
    <row r="218" spans="1:18" ht="13">
      <c r="A218" s="145"/>
      <c r="B218" s="175" t="s">
        <v>248</v>
      </c>
      <c r="C218" s="175"/>
      <c r="D218" s="169">
        <f>D4/D5</f>
        <v>0.15151515151515152</v>
      </c>
      <c r="E218" s="145"/>
      <c r="F218" s="145"/>
      <c r="G218" s="145"/>
      <c r="H218" s="145"/>
      <c r="I218" s="145"/>
      <c r="J218" s="145"/>
      <c r="K218" s="145"/>
      <c r="L218" s="145"/>
      <c r="M218" s="145"/>
      <c r="N218" s="145"/>
      <c r="O218" s="145"/>
      <c r="P218" s="145"/>
      <c r="Q218" s="145"/>
      <c r="R218" s="145"/>
    </row>
    <row r="219" spans="1:18" ht="12.5">
      <c r="A219" s="145"/>
      <c r="B219" s="145"/>
      <c r="C219" s="145"/>
      <c r="D219" s="145"/>
      <c r="E219" s="145"/>
      <c r="F219" s="145"/>
      <c r="G219" s="145"/>
      <c r="H219" s="145"/>
      <c r="I219" s="145"/>
      <c r="J219" s="145"/>
      <c r="K219" s="145"/>
      <c r="L219" s="145"/>
      <c r="M219" s="145"/>
      <c r="N219" s="145"/>
      <c r="O219" s="145"/>
      <c r="P219" s="145"/>
      <c r="Q219" s="145"/>
      <c r="R219" s="145"/>
    </row>
    <row r="220" spans="1:18" ht="15.5">
      <c r="A220" s="174"/>
      <c r="B220" s="184" t="s">
        <v>224</v>
      </c>
      <c r="C220" s="184"/>
      <c r="D220" s="174"/>
      <c r="E220" s="174"/>
      <c r="F220" s="174"/>
      <c r="G220" s="174"/>
      <c r="H220" s="174"/>
      <c r="I220" s="174"/>
      <c r="J220" s="174"/>
      <c r="K220" s="174"/>
      <c r="L220" s="174"/>
      <c r="M220" s="174"/>
      <c r="N220" s="174"/>
      <c r="O220" s="174"/>
      <c r="P220" s="174"/>
      <c r="Q220" s="174"/>
      <c r="R220" s="174"/>
    </row>
    <row r="221" spans="1:18" ht="12.5">
      <c r="A221" s="145"/>
      <c r="B221" s="145"/>
      <c r="C221" s="145"/>
      <c r="D221" s="145"/>
      <c r="E221" s="145"/>
      <c r="F221" s="145"/>
      <c r="G221" s="145"/>
      <c r="H221" s="145"/>
      <c r="I221" s="145"/>
      <c r="J221" s="145"/>
      <c r="K221" s="145"/>
      <c r="L221" s="145"/>
      <c r="M221" s="145"/>
      <c r="N221" s="145"/>
      <c r="O221" s="145"/>
      <c r="P221" s="145"/>
      <c r="Q221" s="145"/>
      <c r="R221" s="145"/>
    </row>
    <row r="222" spans="1:18" ht="13">
      <c r="A222" s="145"/>
      <c r="B222" s="175" t="s">
        <v>249</v>
      </c>
      <c r="C222" s="175"/>
      <c r="D222" s="185" t="str">
        <f t="shared" ref="D222:D227" si="27">IFERROR(IF(D182&lt;0, "", $D$218*(1+$D$7*$D$9)*((1+$D$7)^D182)), "")</f>
        <v/>
      </c>
      <c r="E222" s="145"/>
      <c r="F222" s="145"/>
      <c r="G222" s="145"/>
      <c r="H222" s="145"/>
      <c r="I222" s="145"/>
      <c r="J222" s="145"/>
      <c r="K222" s="145"/>
      <c r="L222" s="145"/>
      <c r="M222" s="145"/>
      <c r="N222" s="145"/>
      <c r="O222" s="145"/>
      <c r="P222" s="145"/>
      <c r="Q222" s="145"/>
      <c r="R222" s="145"/>
    </row>
    <row r="223" spans="1:18" ht="12.5">
      <c r="A223" s="145"/>
      <c r="B223" s="145"/>
      <c r="C223" s="145"/>
      <c r="D223" s="185" t="str">
        <f t="shared" si="27"/>
        <v/>
      </c>
      <c r="E223" s="145"/>
      <c r="F223" s="145"/>
      <c r="G223" s="145"/>
      <c r="H223" s="145"/>
      <c r="I223" s="145"/>
      <c r="J223" s="145"/>
      <c r="K223" s="145"/>
      <c r="L223" s="145"/>
      <c r="M223" s="145"/>
      <c r="N223" s="145"/>
      <c r="O223" s="145"/>
      <c r="P223" s="145"/>
      <c r="Q223" s="145"/>
      <c r="R223" s="145"/>
    </row>
    <row r="224" spans="1:18" ht="12.5">
      <c r="A224" s="145"/>
      <c r="B224" s="145"/>
      <c r="C224" s="145"/>
      <c r="D224" s="185" t="str">
        <f t="shared" si="27"/>
        <v/>
      </c>
      <c r="E224" s="145"/>
      <c r="F224" s="145"/>
      <c r="G224" s="145"/>
      <c r="H224" s="145"/>
      <c r="I224" s="145"/>
      <c r="J224" s="145"/>
      <c r="K224" s="145"/>
      <c r="L224" s="145"/>
      <c r="M224" s="145"/>
      <c r="N224" s="145"/>
      <c r="O224" s="145"/>
      <c r="P224" s="145"/>
      <c r="Q224" s="145"/>
      <c r="R224" s="145"/>
    </row>
    <row r="225" spans="1:18" ht="12.5">
      <c r="A225" s="145"/>
      <c r="B225" s="145"/>
      <c r="C225" s="145"/>
      <c r="D225" s="185" t="str">
        <f t="shared" si="27"/>
        <v/>
      </c>
      <c r="E225" s="145"/>
      <c r="F225" s="145"/>
      <c r="G225" s="145"/>
      <c r="H225" s="145"/>
      <c r="I225" s="145"/>
      <c r="J225" s="145"/>
      <c r="K225" s="145"/>
      <c r="L225" s="145"/>
      <c r="M225" s="145"/>
      <c r="N225" s="145"/>
      <c r="O225" s="145"/>
      <c r="P225" s="145"/>
      <c r="Q225" s="145"/>
      <c r="R225" s="145"/>
    </row>
    <row r="226" spans="1:18" ht="12.5">
      <c r="A226" s="145"/>
      <c r="B226" s="145"/>
      <c r="C226" s="145"/>
      <c r="D226" s="185" t="str">
        <f t="shared" si="27"/>
        <v/>
      </c>
      <c r="E226" s="145"/>
      <c r="F226" s="145"/>
      <c r="G226" s="145"/>
      <c r="H226" s="145"/>
      <c r="I226" s="145"/>
      <c r="J226" s="145"/>
      <c r="K226" s="145"/>
      <c r="L226" s="145"/>
      <c r="M226" s="145"/>
      <c r="N226" s="145"/>
      <c r="O226" s="145"/>
      <c r="P226" s="145"/>
      <c r="Q226" s="145"/>
      <c r="R226" s="145"/>
    </row>
    <row r="227" spans="1:18" ht="12.5">
      <c r="A227" s="145"/>
      <c r="B227" s="145"/>
      <c r="C227" s="145"/>
      <c r="D227" s="185" t="str">
        <f t="shared" si="27"/>
        <v/>
      </c>
      <c r="E227" s="145"/>
      <c r="F227" s="145"/>
      <c r="G227" s="145"/>
      <c r="H227" s="145"/>
      <c r="I227" s="145"/>
      <c r="J227" s="145"/>
      <c r="K227" s="145"/>
      <c r="L227" s="145"/>
      <c r="M227" s="145"/>
      <c r="N227" s="145"/>
      <c r="O227" s="145"/>
      <c r="P227" s="145"/>
      <c r="Q227" s="145"/>
      <c r="R227" s="145"/>
    </row>
    <row r="228" spans="1:18" ht="12.5">
      <c r="A228" s="145"/>
      <c r="B228" s="145"/>
      <c r="C228" s="145"/>
      <c r="D228" s="145"/>
      <c r="E228" s="145"/>
      <c r="F228" s="145"/>
      <c r="G228" s="145"/>
      <c r="H228" s="145"/>
      <c r="I228" s="145"/>
      <c r="J228" s="145"/>
      <c r="K228" s="145"/>
      <c r="L228" s="145"/>
      <c r="M228" s="145"/>
      <c r="N228" s="145"/>
      <c r="O228" s="145"/>
      <c r="P228" s="145"/>
      <c r="Q228" s="145"/>
      <c r="R228" s="145"/>
    </row>
    <row r="229" spans="1:18" ht="13">
      <c r="A229" s="145"/>
      <c r="B229" s="175" t="s">
        <v>243</v>
      </c>
      <c r="C229" s="175"/>
      <c r="D229" s="183" t="str">
        <f t="shared" ref="D229:D234" si="28">IFERROR(INDEX($D$31:$I$31, 1, MATCH($D175,$D$24:$I$24,0))*D222, "")</f>
        <v/>
      </c>
      <c r="E229" s="145"/>
      <c r="F229" s="145"/>
      <c r="G229" s="145"/>
      <c r="H229" s="145"/>
      <c r="I229" s="145"/>
      <c r="J229" s="145"/>
      <c r="K229" s="145"/>
      <c r="L229" s="145"/>
      <c r="M229" s="145"/>
      <c r="N229" s="145"/>
      <c r="O229" s="145"/>
      <c r="P229" s="145"/>
      <c r="Q229" s="145"/>
      <c r="R229" s="145"/>
    </row>
    <row r="230" spans="1:18" ht="12.5">
      <c r="A230" s="145"/>
      <c r="B230" s="145"/>
      <c r="C230" s="145"/>
      <c r="D230" s="183" t="str">
        <f t="shared" si="28"/>
        <v/>
      </c>
      <c r="E230" s="145"/>
      <c r="F230" s="145"/>
      <c r="G230" s="145"/>
      <c r="H230" s="145"/>
      <c r="I230" s="145"/>
      <c r="J230" s="145"/>
      <c r="K230" s="145"/>
      <c r="L230" s="145"/>
      <c r="M230" s="145"/>
      <c r="N230" s="145"/>
      <c r="O230" s="145"/>
      <c r="P230" s="145"/>
      <c r="Q230" s="145"/>
      <c r="R230" s="145"/>
    </row>
    <row r="231" spans="1:18" ht="12.5">
      <c r="A231" s="145"/>
      <c r="B231" s="145"/>
      <c r="C231" s="145"/>
      <c r="D231" s="183" t="str">
        <f t="shared" si="28"/>
        <v/>
      </c>
      <c r="E231" s="145"/>
      <c r="F231" s="145"/>
      <c r="G231" s="145"/>
      <c r="H231" s="145"/>
      <c r="I231" s="145"/>
      <c r="J231" s="145"/>
      <c r="K231" s="145"/>
      <c r="L231" s="145"/>
      <c r="M231" s="145"/>
      <c r="N231" s="145"/>
      <c r="O231" s="145"/>
      <c r="P231" s="145"/>
      <c r="Q231" s="145"/>
      <c r="R231" s="145"/>
    </row>
    <row r="232" spans="1:18" ht="12.5">
      <c r="A232" s="145"/>
      <c r="B232" s="145"/>
      <c r="C232" s="145"/>
      <c r="D232" s="183" t="str">
        <f t="shared" si="28"/>
        <v/>
      </c>
      <c r="E232" s="145"/>
      <c r="F232" s="145"/>
      <c r="G232" s="145"/>
      <c r="H232" s="145"/>
      <c r="I232" s="145"/>
      <c r="J232" s="145"/>
      <c r="K232" s="145"/>
      <c r="L232" s="145"/>
      <c r="M232" s="145"/>
      <c r="N232" s="145"/>
      <c r="O232" s="145"/>
      <c r="P232" s="145"/>
      <c r="Q232" s="145"/>
      <c r="R232" s="145"/>
    </row>
    <row r="233" spans="1:18" ht="12.5">
      <c r="A233" s="145"/>
      <c r="B233" s="145"/>
      <c r="C233" s="145"/>
      <c r="D233" s="183" t="str">
        <f t="shared" si="28"/>
        <v/>
      </c>
      <c r="E233" s="145"/>
      <c r="F233" s="145"/>
      <c r="G233" s="145"/>
      <c r="H233" s="145"/>
      <c r="I233" s="145"/>
      <c r="J233" s="145"/>
      <c r="K233" s="145"/>
      <c r="L233" s="145"/>
      <c r="M233" s="145"/>
      <c r="N233" s="145"/>
      <c r="O233" s="145"/>
      <c r="P233" s="145"/>
      <c r="Q233" s="145"/>
      <c r="R233" s="145"/>
    </row>
    <row r="234" spans="1:18" ht="12.5">
      <c r="A234" s="145"/>
      <c r="B234" s="145"/>
      <c r="C234" s="145"/>
      <c r="D234" s="183" t="str">
        <f t="shared" si="28"/>
        <v/>
      </c>
      <c r="E234" s="145"/>
      <c r="F234" s="145"/>
      <c r="G234" s="145"/>
      <c r="H234" s="145"/>
      <c r="I234" s="145"/>
      <c r="J234" s="145"/>
      <c r="K234" s="145"/>
      <c r="L234" s="145"/>
      <c r="M234" s="145"/>
      <c r="N234" s="145"/>
      <c r="O234" s="145"/>
      <c r="P234" s="145"/>
      <c r="Q234" s="145"/>
      <c r="R234" s="145"/>
    </row>
    <row r="235" spans="1:18" ht="12.5">
      <c r="A235" s="145"/>
      <c r="B235" s="145"/>
      <c r="C235" s="145"/>
      <c r="D235" s="145"/>
      <c r="E235" s="145"/>
      <c r="F235" s="145"/>
      <c r="G235" s="145"/>
      <c r="H235" s="145"/>
      <c r="I235" s="145"/>
      <c r="J235" s="145"/>
      <c r="K235" s="145"/>
      <c r="L235" s="145"/>
      <c r="M235" s="145"/>
      <c r="N235" s="145"/>
      <c r="O235" s="145"/>
      <c r="P235" s="145"/>
      <c r="Q235" s="145"/>
      <c r="R235" s="145"/>
    </row>
    <row r="236" spans="1:18" ht="13">
      <c r="A236" s="145"/>
      <c r="B236" s="175" t="s">
        <v>224</v>
      </c>
      <c r="C236" s="175"/>
      <c r="D236" s="183">
        <f>SUM(D229:D234)</f>
        <v>0</v>
      </c>
      <c r="E236" s="145"/>
      <c r="F236" s="145"/>
      <c r="G236" s="145"/>
      <c r="H236" s="145"/>
      <c r="I236" s="145"/>
      <c r="J236" s="145"/>
      <c r="K236" s="145"/>
      <c r="L236" s="145"/>
      <c r="M236" s="145"/>
      <c r="N236" s="145"/>
      <c r="O236" s="145"/>
      <c r="P236" s="145"/>
      <c r="Q236" s="145"/>
      <c r="R236" s="145"/>
    </row>
    <row r="237" spans="1:18" ht="12.5">
      <c r="A237" s="145"/>
      <c r="B237" s="145"/>
      <c r="C237" s="145"/>
      <c r="D237" s="145"/>
      <c r="E237" s="145"/>
      <c r="F237" s="145"/>
      <c r="G237" s="145"/>
      <c r="H237" s="145"/>
      <c r="I237" s="145"/>
      <c r="J237" s="145"/>
      <c r="K237" s="145"/>
      <c r="L237" s="145"/>
      <c r="M237" s="145"/>
      <c r="N237" s="145"/>
      <c r="O237" s="145"/>
      <c r="P237" s="145"/>
      <c r="Q237" s="145"/>
      <c r="R237" s="145"/>
    </row>
    <row r="238" spans="1:18" ht="15.5">
      <c r="A238" s="174"/>
      <c r="B238" s="184" t="s">
        <v>225</v>
      </c>
      <c r="C238" s="184"/>
      <c r="D238" s="174"/>
      <c r="E238" s="174"/>
      <c r="F238" s="174"/>
      <c r="G238" s="174"/>
      <c r="H238" s="174"/>
      <c r="I238" s="174"/>
      <c r="J238" s="174"/>
      <c r="K238" s="174"/>
      <c r="L238" s="174"/>
      <c r="M238" s="174"/>
      <c r="N238" s="174"/>
      <c r="O238" s="174"/>
      <c r="P238" s="174"/>
      <c r="Q238" s="174"/>
      <c r="R238" s="174"/>
    </row>
    <row r="239" spans="1:18" ht="12.5">
      <c r="A239" s="145"/>
      <c r="B239" s="145"/>
      <c r="C239" s="145"/>
      <c r="D239" s="145"/>
      <c r="E239" s="145"/>
      <c r="F239" s="145"/>
      <c r="G239" s="145"/>
      <c r="H239" s="145"/>
      <c r="I239" s="145"/>
      <c r="J239" s="145"/>
      <c r="K239" s="145"/>
      <c r="L239" s="145"/>
      <c r="M239" s="145"/>
      <c r="N239" s="145"/>
      <c r="O239" s="145"/>
      <c r="P239" s="145"/>
      <c r="Q239" s="145"/>
      <c r="R239" s="145"/>
    </row>
    <row r="240" spans="1:18" ht="13">
      <c r="A240" s="145"/>
      <c r="B240" s="175" t="s">
        <v>249</v>
      </c>
      <c r="C240" s="175"/>
      <c r="D240" s="183">
        <f t="shared" ref="D240:D245" si="29">IFERROR($D$218*((1+$D$6*$D$8)/((1+$D$6)^D140)), "")</f>
        <v>0.14622973925299509</v>
      </c>
      <c r="E240" s="145"/>
      <c r="F240" s="145"/>
      <c r="G240" s="145"/>
      <c r="H240" s="145"/>
      <c r="I240" s="145"/>
      <c r="J240" s="145"/>
      <c r="K240" s="145"/>
      <c r="L240" s="145"/>
      <c r="M240" s="145"/>
      <c r="N240" s="145"/>
      <c r="O240" s="145"/>
      <c r="P240" s="145"/>
      <c r="Q240" s="145"/>
      <c r="R240" s="145"/>
    </row>
    <row r="241" spans="1:18" ht="12.5">
      <c r="A241" s="145"/>
      <c r="B241" s="145"/>
      <c r="C241" s="145"/>
      <c r="D241" s="183">
        <f t="shared" si="29"/>
        <v>0.13602766442139078</v>
      </c>
      <c r="E241" s="145"/>
      <c r="F241" s="145"/>
      <c r="G241" s="145"/>
      <c r="H241" s="145"/>
      <c r="I241" s="145"/>
      <c r="J241" s="145"/>
      <c r="K241" s="145"/>
      <c r="L241" s="145"/>
      <c r="M241" s="145"/>
      <c r="N241" s="145"/>
      <c r="O241" s="145"/>
      <c r="P241" s="145"/>
      <c r="Q241" s="145"/>
      <c r="R241" s="145"/>
    </row>
    <row r="242" spans="1:18" ht="12.5">
      <c r="A242" s="145"/>
      <c r="B242" s="145"/>
      <c r="C242" s="145"/>
      <c r="D242" s="183">
        <f t="shared" si="29"/>
        <v>0.12653736225245654</v>
      </c>
      <c r="E242" s="145"/>
      <c r="F242" s="145"/>
      <c r="G242" s="145"/>
      <c r="H242" s="145"/>
      <c r="I242" s="145"/>
      <c r="J242" s="145"/>
      <c r="K242" s="145"/>
      <c r="L242" s="145"/>
      <c r="M242" s="145"/>
      <c r="N242" s="145"/>
      <c r="O242" s="145"/>
      <c r="P242" s="145"/>
      <c r="Q242" s="145"/>
      <c r="R242" s="145"/>
    </row>
    <row r="243" spans="1:18" ht="12.5">
      <c r="A243" s="145"/>
      <c r="B243" s="145"/>
      <c r="C243" s="145"/>
      <c r="D243" s="183">
        <f t="shared" si="29"/>
        <v>0.11770917418833167</v>
      </c>
      <c r="E243" s="145"/>
      <c r="F243" s="145"/>
      <c r="G243" s="145"/>
      <c r="H243" s="145"/>
      <c r="I243" s="145"/>
      <c r="J243" s="145"/>
      <c r="K243" s="145"/>
      <c r="L243" s="145"/>
      <c r="M243" s="145"/>
      <c r="N243" s="145"/>
      <c r="O243" s="145"/>
      <c r="P243" s="145"/>
      <c r="Q243" s="145"/>
      <c r="R243" s="145"/>
    </row>
    <row r="244" spans="1:18" ht="12.5">
      <c r="A244" s="145"/>
      <c r="B244" s="145"/>
      <c r="C244" s="145"/>
      <c r="D244" s="183">
        <f t="shared" si="29"/>
        <v>0.10949690622170388</v>
      </c>
      <c r="E244" s="145"/>
      <c r="F244" s="145"/>
      <c r="G244" s="145"/>
      <c r="H244" s="145"/>
      <c r="I244" s="145"/>
      <c r="J244" s="145"/>
      <c r="K244" s="145"/>
      <c r="L244" s="145"/>
      <c r="M244" s="145"/>
      <c r="N244" s="145"/>
      <c r="O244" s="145"/>
      <c r="P244" s="145"/>
      <c r="Q244" s="145"/>
      <c r="R244" s="145"/>
    </row>
    <row r="245" spans="1:18" ht="12.5">
      <c r="A245" s="145"/>
      <c r="B245" s="145"/>
      <c r="C245" s="145"/>
      <c r="D245" s="183" t="str">
        <f t="shared" si="29"/>
        <v/>
      </c>
      <c r="E245" s="145"/>
      <c r="F245" s="145"/>
      <c r="G245" s="145"/>
      <c r="H245" s="145"/>
      <c r="I245" s="145"/>
      <c r="J245" s="145"/>
      <c r="K245" s="145"/>
      <c r="L245" s="145"/>
      <c r="M245" s="145"/>
      <c r="N245" s="145"/>
      <c r="O245" s="145"/>
      <c r="P245" s="145"/>
      <c r="Q245" s="145"/>
      <c r="R245" s="145"/>
    </row>
    <row r="246" spans="1:18" ht="12.5">
      <c r="A246" s="145"/>
      <c r="B246" s="145"/>
      <c r="C246" s="145"/>
      <c r="D246" s="145"/>
      <c r="E246" s="145"/>
      <c r="F246" s="145"/>
      <c r="G246" s="145"/>
      <c r="H246" s="145"/>
      <c r="I246" s="145"/>
      <c r="J246" s="145"/>
      <c r="K246" s="145"/>
      <c r="L246" s="145"/>
      <c r="M246" s="145"/>
      <c r="N246" s="145"/>
      <c r="O246" s="145"/>
      <c r="P246" s="145"/>
      <c r="Q246" s="145"/>
      <c r="R246" s="145"/>
    </row>
    <row r="247" spans="1:18" ht="13">
      <c r="A247" s="145"/>
      <c r="B247" s="175" t="s">
        <v>243</v>
      </c>
      <c r="C247" s="175"/>
      <c r="D247" s="183" t="str">
        <f t="shared" ref="D247:D252" si="30">IFERROR(INDEX($D$31:$I$31, 1, MATCH($D133,$D$24:$I$24,0))*D240, "")</f>
        <v/>
      </c>
      <c r="E247" s="145"/>
      <c r="F247" s="145"/>
      <c r="G247" s="145"/>
      <c r="H247" s="145"/>
      <c r="I247" s="145"/>
      <c r="J247" s="145"/>
      <c r="K247" s="145"/>
      <c r="L247" s="145"/>
      <c r="M247" s="145"/>
      <c r="N247" s="145"/>
      <c r="O247" s="145"/>
      <c r="P247" s="145"/>
      <c r="Q247" s="145"/>
      <c r="R247" s="145"/>
    </row>
    <row r="248" spans="1:18" ht="12.5">
      <c r="A248" s="145"/>
      <c r="B248" s="145"/>
      <c r="C248" s="145"/>
      <c r="D248" s="183" t="str">
        <f t="shared" si="30"/>
        <v/>
      </c>
      <c r="E248" s="145"/>
      <c r="F248" s="145"/>
      <c r="G248" s="145"/>
      <c r="H248" s="145"/>
      <c r="I248" s="145"/>
      <c r="J248" s="145"/>
      <c r="K248" s="145"/>
      <c r="L248" s="145"/>
      <c r="M248" s="145"/>
      <c r="N248" s="145"/>
      <c r="O248" s="145"/>
      <c r="P248" s="145"/>
      <c r="Q248" s="145"/>
      <c r="R248" s="145"/>
    </row>
    <row r="249" spans="1:18" ht="12.5">
      <c r="A249" s="145"/>
      <c r="B249" s="145"/>
      <c r="C249" s="145"/>
      <c r="D249" s="183">
        <f t="shared" si="30"/>
        <v>-426.08656142943977</v>
      </c>
      <c r="E249" s="145"/>
      <c r="F249" s="145"/>
      <c r="G249" s="145"/>
      <c r="H249" s="145"/>
      <c r="I249" s="145"/>
      <c r="J249" s="145"/>
      <c r="K249" s="145"/>
      <c r="L249" s="145"/>
      <c r="M249" s="145"/>
      <c r="N249" s="145"/>
      <c r="O249" s="145"/>
      <c r="P249" s="145"/>
      <c r="Q249" s="145"/>
      <c r="R249" s="145"/>
    </row>
    <row r="250" spans="1:18" ht="12.5">
      <c r="A250" s="145"/>
      <c r="B250" s="145"/>
      <c r="C250" s="145"/>
      <c r="D250" s="183">
        <f t="shared" si="30"/>
        <v>-144.90106138776656</v>
      </c>
      <c r="E250" s="145"/>
      <c r="F250" s="145"/>
      <c r="G250" s="145"/>
      <c r="H250" s="145"/>
      <c r="I250" s="145"/>
      <c r="J250" s="145"/>
      <c r="K250" s="145"/>
      <c r="L250" s="145"/>
      <c r="M250" s="145"/>
      <c r="N250" s="145"/>
      <c r="O250" s="145"/>
      <c r="P250" s="145"/>
      <c r="Q250" s="145"/>
      <c r="R250" s="145"/>
    </row>
    <row r="251" spans="1:18" ht="12.5">
      <c r="A251" s="145"/>
      <c r="B251" s="145"/>
      <c r="C251" s="145"/>
      <c r="D251" s="183">
        <f t="shared" si="30"/>
        <v>61.045420423145615</v>
      </c>
      <c r="E251" s="145"/>
      <c r="F251" s="145"/>
      <c r="G251" s="145"/>
      <c r="H251" s="145"/>
      <c r="I251" s="145"/>
      <c r="J251" s="145"/>
      <c r="K251" s="145"/>
      <c r="L251" s="145"/>
      <c r="M251" s="145"/>
      <c r="N251" s="145"/>
      <c r="O251" s="145"/>
      <c r="P251" s="145"/>
      <c r="Q251" s="145"/>
      <c r="R251" s="145"/>
    </row>
    <row r="252" spans="1:18" ht="12.5">
      <c r="A252" s="145"/>
      <c r="B252" s="145"/>
      <c r="C252" s="145"/>
      <c r="D252" s="183" t="str">
        <f t="shared" si="30"/>
        <v/>
      </c>
      <c r="E252" s="145"/>
      <c r="F252" s="145"/>
      <c r="G252" s="145"/>
      <c r="H252" s="145"/>
      <c r="I252" s="145"/>
      <c r="J252" s="145"/>
      <c r="K252" s="145"/>
      <c r="L252" s="145"/>
      <c r="M252" s="145"/>
      <c r="N252" s="145"/>
      <c r="O252" s="145"/>
      <c r="P252" s="145"/>
      <c r="Q252" s="145"/>
      <c r="R252" s="145"/>
    </row>
    <row r="253" spans="1:18" ht="12.5">
      <c r="A253" s="145"/>
      <c r="B253" s="145"/>
      <c r="C253" s="145"/>
      <c r="D253" s="145"/>
      <c r="E253" s="145"/>
      <c r="F253" s="145"/>
      <c r="G253" s="145"/>
      <c r="H253" s="145"/>
      <c r="I253" s="145"/>
      <c r="J253" s="145"/>
      <c r="K253" s="145"/>
      <c r="L253" s="145"/>
      <c r="M253" s="145"/>
      <c r="N253" s="145"/>
      <c r="O253" s="145"/>
      <c r="P253" s="145"/>
      <c r="Q253" s="145"/>
      <c r="R253" s="145"/>
    </row>
    <row r="254" spans="1:18" ht="13">
      <c r="A254" s="145"/>
      <c r="B254" s="175" t="s">
        <v>225</v>
      </c>
      <c r="C254" s="175"/>
      <c r="D254" s="183">
        <f>SUM(D247:D252)</f>
        <v>-509.9422023940607</v>
      </c>
      <c r="E254" s="145"/>
      <c r="F254" s="145"/>
      <c r="G254" s="145"/>
      <c r="H254" s="145"/>
      <c r="I254" s="145"/>
      <c r="J254" s="145"/>
      <c r="K254" s="145"/>
      <c r="L254" s="145"/>
      <c r="M254" s="145"/>
      <c r="N254" s="145"/>
      <c r="O254" s="145"/>
      <c r="P254" s="145"/>
      <c r="Q254" s="145"/>
      <c r="R254" s="145"/>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S254"/>
  <sheetViews>
    <sheetView showGridLines="0" topLeftCell="A29" zoomScale="90" zoomScaleNormal="90" workbookViewId="0">
      <selection activeCell="H31" sqref="H31:J31"/>
    </sheetView>
  </sheetViews>
  <sheetFormatPr defaultColWidth="0" defaultRowHeight="13.4" customHeight="1" zeroHeight="1"/>
  <cols>
    <col min="1" max="1" width="2.81640625" style="92" bestFit="1" customWidth="1"/>
    <col min="2" max="2" width="77.08984375" style="92" bestFit="1" customWidth="1"/>
    <col min="3" max="3" width="59" style="92" customWidth="1"/>
    <col min="4" max="4" width="13.36328125" style="92" bestFit="1" customWidth="1"/>
    <col min="5" max="5" width="8.36328125" style="92" bestFit="1" customWidth="1"/>
    <col min="6" max="8" width="6.36328125" style="92" bestFit="1" customWidth="1"/>
    <col min="9" max="9" width="7.36328125" style="92" bestFit="1" customWidth="1"/>
    <col min="10" max="10" width="8.36328125" style="92" bestFit="1" customWidth="1"/>
    <col min="11" max="11" width="7.81640625" style="92" bestFit="1" customWidth="1"/>
    <col min="12" max="12" width="6.08984375" style="92" bestFit="1" customWidth="1"/>
    <col min="13" max="15" width="9.08984375" style="92" customWidth="1"/>
    <col min="16" max="19" width="0" style="92" hidden="1" customWidth="1"/>
    <col min="20" max="16384" width="9.08984375" style="92" hidden="1"/>
  </cols>
  <sheetData>
    <row r="1" spans="2:6" s="91" customFormat="1" ht="20">
      <c r="B1" s="91" t="s">
        <v>250</v>
      </c>
    </row>
    <row r="2" spans="2:6" ht="13" thickBot="1"/>
    <row r="3" spans="2:6" ht="13">
      <c r="B3" s="93" t="s">
        <v>143</v>
      </c>
      <c r="C3" s="238" t="s">
        <v>194</v>
      </c>
      <c r="D3" s="238"/>
      <c r="E3" s="94">
        <v>5</v>
      </c>
      <c r="F3" s="95">
        <v>2022</v>
      </c>
    </row>
    <row r="4" spans="2:6" ht="13">
      <c r="B4" s="96" t="s">
        <v>195</v>
      </c>
      <c r="C4" s="239" t="s">
        <v>196</v>
      </c>
      <c r="D4" s="239"/>
      <c r="E4" s="97">
        <v>5</v>
      </c>
    </row>
    <row r="5" spans="2:6" ht="13">
      <c r="B5" s="96" t="s">
        <v>197</v>
      </c>
      <c r="C5" s="239" t="s">
        <v>198</v>
      </c>
      <c r="D5" s="239"/>
      <c r="E5" s="97">
        <v>33</v>
      </c>
    </row>
    <row r="6" spans="2:6" ht="13">
      <c r="B6" s="96" t="s">
        <v>199</v>
      </c>
      <c r="C6" s="239" t="s">
        <v>200</v>
      </c>
      <c r="D6" s="239"/>
      <c r="E6" s="128">
        <v>3.6999999999999998E-2</v>
      </c>
    </row>
    <row r="7" spans="2:6" ht="13">
      <c r="B7" s="96" t="s">
        <v>201</v>
      </c>
      <c r="C7" s="239" t="s">
        <v>202</v>
      </c>
      <c r="D7" s="239"/>
      <c r="E7" s="97">
        <v>4.3200000000000002E-2</v>
      </c>
    </row>
    <row r="8" spans="2:6" ht="13">
      <c r="B8" s="96" t="s">
        <v>203</v>
      </c>
      <c r="C8" s="239" t="s">
        <v>204</v>
      </c>
      <c r="D8" s="239"/>
      <c r="E8" s="97">
        <v>0.5</v>
      </c>
    </row>
    <row r="9" spans="2:6" ht="13.5" thickBot="1">
      <c r="B9" s="98" t="s">
        <v>205</v>
      </c>
      <c r="C9" s="237" t="s">
        <v>206</v>
      </c>
      <c r="D9" s="237"/>
      <c r="E9" s="99">
        <v>0.5</v>
      </c>
    </row>
    <row r="10" spans="2:6" ht="13.5" thickBot="1">
      <c r="B10" s="100"/>
      <c r="C10" s="100"/>
      <c r="D10" s="100"/>
    </row>
    <row r="11" spans="2:6" ht="13">
      <c r="B11" s="93" t="s">
        <v>207</v>
      </c>
      <c r="C11" s="238" t="s">
        <v>208</v>
      </c>
      <c r="D11" s="238"/>
      <c r="E11" s="94">
        <v>1</v>
      </c>
    </row>
    <row r="12" spans="2:6" ht="13.5" thickBot="1">
      <c r="B12" s="98" t="s">
        <v>209</v>
      </c>
      <c r="C12" s="237" t="s">
        <v>210</v>
      </c>
      <c r="D12" s="237"/>
      <c r="E12" s="99">
        <v>1</v>
      </c>
    </row>
    <row r="13" spans="2:6" ht="13">
      <c r="B13" s="100"/>
      <c r="C13" s="100"/>
      <c r="D13" s="100"/>
    </row>
    <row r="14" spans="2:6" ht="13">
      <c r="B14" s="100"/>
      <c r="C14" s="100"/>
      <c r="D14" s="100"/>
    </row>
    <row r="15" spans="2:6" ht="13">
      <c r="B15" s="100"/>
      <c r="C15" s="100"/>
      <c r="D15" s="100"/>
    </row>
    <row r="16" spans="2:6" ht="13">
      <c r="B16" s="100"/>
      <c r="C16" s="100"/>
      <c r="D16" s="100"/>
    </row>
    <row r="17" spans="2:15" ht="13">
      <c r="B17" s="100"/>
      <c r="C17" s="100"/>
      <c r="D17" s="100"/>
    </row>
    <row r="18" spans="2:15" ht="13">
      <c r="B18" s="100"/>
      <c r="C18" s="100"/>
      <c r="D18" s="100"/>
    </row>
    <row r="19" spans="2:15" ht="13">
      <c r="B19" s="100"/>
      <c r="C19" s="100"/>
      <c r="D19" s="100"/>
    </row>
    <row r="20" spans="2:15" ht="13">
      <c r="B20" s="100"/>
      <c r="C20" s="100"/>
      <c r="D20" s="100"/>
    </row>
    <row r="21" spans="2:15" s="102" customFormat="1" ht="18">
      <c r="B21" s="101" t="s">
        <v>211</v>
      </c>
      <c r="C21" s="101"/>
      <c r="D21" s="101"/>
    </row>
    <row r="22" spans="2:15" ht="13">
      <c r="B22" s="100"/>
      <c r="C22" s="100"/>
      <c r="D22" s="100"/>
    </row>
    <row r="23" spans="2:15" ht="13">
      <c r="E23" s="103">
        <v>2017</v>
      </c>
      <c r="F23" s="103">
        <v>2018</v>
      </c>
      <c r="G23" s="103">
        <v>2019</v>
      </c>
      <c r="H23" s="103">
        <v>2020</v>
      </c>
      <c r="I23" s="103">
        <v>2021</v>
      </c>
      <c r="J23" s="103">
        <v>2022</v>
      </c>
    </row>
    <row r="24" spans="2:15" ht="13">
      <c r="B24" s="100" t="s">
        <v>212</v>
      </c>
      <c r="C24" s="100"/>
      <c r="D24" s="100"/>
      <c r="E24" s="92">
        <v>0</v>
      </c>
      <c r="F24" s="92">
        <v>1</v>
      </c>
      <c r="G24" s="92">
        <v>2</v>
      </c>
      <c r="H24" s="92">
        <v>3</v>
      </c>
      <c r="I24" s="92">
        <v>4</v>
      </c>
      <c r="J24" s="92">
        <v>5</v>
      </c>
      <c r="K24" s="104"/>
      <c r="L24" s="104"/>
      <c r="M24" s="104"/>
      <c r="N24" s="104"/>
      <c r="O24" s="104"/>
    </row>
    <row r="25" spans="2:15" ht="13">
      <c r="B25" s="105"/>
      <c r="C25" s="105"/>
      <c r="D25" s="105"/>
      <c r="E25" s="104"/>
      <c r="F25" s="104"/>
      <c r="G25" s="104"/>
      <c r="H25" s="104"/>
      <c r="I25" s="104"/>
      <c r="J25" s="104"/>
      <c r="K25" s="104"/>
      <c r="L25" s="104"/>
      <c r="M25" s="104"/>
      <c r="N25" s="104"/>
      <c r="O25" s="104"/>
    </row>
    <row r="26" spans="2:15" ht="13">
      <c r="B26" s="105"/>
      <c r="C26" s="105"/>
      <c r="D26" s="105"/>
      <c r="E26" s="104"/>
      <c r="F26" s="104"/>
      <c r="G26" s="104"/>
      <c r="H26" s="104"/>
      <c r="I26" s="104"/>
      <c r="J26" s="104"/>
      <c r="K26" s="104"/>
      <c r="L26" s="104"/>
      <c r="M26" s="104"/>
      <c r="N26" s="104"/>
      <c r="O26" s="104"/>
    </row>
    <row r="27" spans="2:15" ht="13">
      <c r="B27" s="105" t="s">
        <v>213</v>
      </c>
      <c r="C27" s="105"/>
      <c r="D27" s="106" t="s">
        <v>214</v>
      </c>
      <c r="E27" s="107">
        <f>+'DAV Inputs'!P43</f>
        <v>15192.739019952158</v>
      </c>
      <c r="F27" s="107">
        <f>+'DAV Inputs'!Q43</f>
        <v>16333.768806529022</v>
      </c>
      <c r="G27" s="107">
        <f>+'DAV Inputs'!R43</f>
        <v>16818.046086336235</v>
      </c>
      <c r="H27" s="107">
        <f>+'DAV Inputs'!S43</f>
        <v>18021.344775574154</v>
      </c>
      <c r="I27" s="107">
        <f>+'DAV Inputs'!T43</f>
        <v>19259.429829270885</v>
      </c>
      <c r="J27" s="107">
        <f>+'DAV Inputs'!U43</f>
        <v>18599.583604604133</v>
      </c>
      <c r="K27" s="104"/>
      <c r="L27" s="104"/>
      <c r="M27" s="104"/>
      <c r="N27" s="104"/>
      <c r="O27" s="104"/>
    </row>
    <row r="28" spans="2:15" ht="13">
      <c r="B28" s="105" t="s">
        <v>215</v>
      </c>
      <c r="C28" s="105"/>
      <c r="D28" s="106"/>
      <c r="E28" s="108">
        <v>1</v>
      </c>
      <c r="F28" s="108">
        <v>1</v>
      </c>
      <c r="G28" s="108">
        <v>1</v>
      </c>
      <c r="H28" s="108">
        <v>1</v>
      </c>
      <c r="I28" s="108">
        <v>1</v>
      </c>
      <c r="J28" s="108">
        <v>1</v>
      </c>
    </row>
    <row r="29" spans="2:15" ht="13">
      <c r="B29" s="105" t="s">
        <v>216</v>
      </c>
      <c r="C29" s="105"/>
      <c r="D29" s="106" t="s">
        <v>214</v>
      </c>
      <c r="E29" s="109">
        <f t="shared" ref="E29:H29" si="0">E27*E28</f>
        <v>15192.739019952158</v>
      </c>
      <c r="F29" s="109">
        <f t="shared" si="0"/>
        <v>16333.768806529022</v>
      </c>
      <c r="G29" s="109">
        <f t="shared" si="0"/>
        <v>16818.046086336235</v>
      </c>
      <c r="H29" s="109">
        <f t="shared" si="0"/>
        <v>18021.344775574154</v>
      </c>
      <c r="I29" s="109">
        <f t="shared" ref="I29:J29" si="1">I27*I28</f>
        <v>19259.429829270885</v>
      </c>
      <c r="J29" s="109">
        <f t="shared" si="1"/>
        <v>18599.583604604133</v>
      </c>
    </row>
    <row r="30" spans="2:15" ht="13">
      <c r="B30" s="105" t="s">
        <v>217</v>
      </c>
      <c r="C30" s="105"/>
      <c r="D30" s="106" t="s">
        <v>214</v>
      </c>
      <c r="E30" s="110">
        <f>+'DAV Inputs'!P51</f>
        <v>12250.460939743103</v>
      </c>
      <c r="F30" s="110">
        <f>+'DAV Inputs'!Q51</f>
        <v>14797.29578691918</v>
      </c>
      <c r="G30" s="110">
        <f>+'DAV Inputs'!R51</f>
        <v>14839.940155368362</v>
      </c>
      <c r="H30" s="110">
        <f>+'DAV Inputs'!S51</f>
        <v>15726.61977482088</v>
      </c>
      <c r="I30" s="110">
        <f>+'DAV Inputs'!T51</f>
        <v>19356.859095632848</v>
      </c>
      <c r="J30" s="110">
        <f>+'DAV Inputs'!U51</f>
        <v>21909.235922645854</v>
      </c>
    </row>
    <row r="31" spans="2:15" ht="13">
      <c r="B31" s="100" t="s">
        <v>218</v>
      </c>
      <c r="C31" s="100"/>
      <c r="D31" s="106" t="s">
        <v>214</v>
      </c>
      <c r="E31" s="168">
        <f>E29-E30</f>
        <v>2942.2780802090547</v>
      </c>
      <c r="F31" s="168">
        <f t="shared" ref="F31:H31" si="2">F29-F30</f>
        <v>1536.4730196098426</v>
      </c>
      <c r="G31" s="168">
        <f t="shared" si="2"/>
        <v>1978.1059309678731</v>
      </c>
      <c r="H31" s="168">
        <f t="shared" si="2"/>
        <v>2294.7250007532748</v>
      </c>
      <c r="I31" s="168">
        <f t="shared" ref="I31" si="3">I29-I30</f>
        <v>-97.429266361963528</v>
      </c>
      <c r="J31" s="168">
        <f t="shared" ref="J31" si="4">J29-J30</f>
        <v>-3309.6523180417207</v>
      </c>
      <c r="K31" s="111">
        <f>SUM(E31:J31)</f>
        <v>5344.5004471363609</v>
      </c>
    </row>
    <row r="32" spans="2:15" ht="12.5"/>
    <row r="33" spans="2:12" ht="12.5"/>
    <row r="34" spans="2:12" ht="12.5"/>
    <row r="35" spans="2:12" s="102" customFormat="1" ht="18">
      <c r="B35" s="101" t="s">
        <v>219</v>
      </c>
      <c r="C35" s="101"/>
      <c r="D35" s="101"/>
    </row>
    <row r="36" spans="2:12" ht="12.5"/>
    <row r="37" spans="2:12" ht="13">
      <c r="B37" s="105" t="s">
        <v>220</v>
      </c>
      <c r="C37" s="105"/>
      <c r="D37" s="105"/>
      <c r="E37" s="112">
        <f>E81</f>
        <v>0</v>
      </c>
      <c r="F37" s="112">
        <f t="shared" ref="F37:J37" si="5">F81</f>
        <v>0</v>
      </c>
      <c r="G37" s="112">
        <f t="shared" si="5"/>
        <v>70.578514412547051</v>
      </c>
      <c r="H37" s="112">
        <f t="shared" si="5"/>
        <v>160.82956509046994</v>
      </c>
      <c r="I37" s="112">
        <f t="shared" si="5"/>
        <v>-10.061111644234547</v>
      </c>
      <c r="J37" s="112">
        <f t="shared" si="5"/>
        <v>-447.66735528928234</v>
      </c>
    </row>
    <row r="38" spans="2:12" ht="13">
      <c r="B38" s="105" t="s">
        <v>221</v>
      </c>
      <c r="C38" s="105"/>
      <c r="D38" s="105"/>
      <c r="E38" s="112">
        <f>E110</f>
        <v>0</v>
      </c>
      <c r="F38" s="112">
        <f t="shared" ref="F38:J38" si="6">F110</f>
        <v>0</v>
      </c>
      <c r="G38" s="112">
        <f t="shared" si="6"/>
        <v>0</v>
      </c>
      <c r="H38" s="112">
        <f t="shared" si="6"/>
        <v>0</v>
      </c>
      <c r="I38" s="112">
        <f t="shared" si="6"/>
        <v>0</v>
      </c>
      <c r="J38" s="112">
        <f t="shared" si="6"/>
        <v>0</v>
      </c>
    </row>
    <row r="39" spans="2:12" ht="13">
      <c r="B39" s="105" t="s">
        <v>222</v>
      </c>
      <c r="C39" s="105"/>
      <c r="D39" s="105"/>
      <c r="J39" s="112">
        <f>E161</f>
        <v>46.892999957202896</v>
      </c>
    </row>
    <row r="40" spans="2:12" ht="13">
      <c r="B40" s="105" t="s">
        <v>223</v>
      </c>
      <c r="C40" s="105"/>
      <c r="D40" s="105"/>
      <c r="J40" s="112">
        <f>E203</f>
        <v>63.553206532515581</v>
      </c>
    </row>
    <row r="41" spans="2:12" ht="13">
      <c r="B41" s="105" t="s">
        <v>224</v>
      </c>
      <c r="C41" s="105"/>
      <c r="D41" s="105"/>
      <c r="J41" s="112">
        <f>E236</f>
        <v>455.42898283963194</v>
      </c>
    </row>
    <row r="42" spans="2:12" ht="13">
      <c r="B42" s="105" t="s">
        <v>225</v>
      </c>
      <c r="C42" s="105"/>
      <c r="D42" s="105"/>
      <c r="J42" s="112">
        <f>E254</f>
        <v>391.15905369706104</v>
      </c>
    </row>
    <row r="43" spans="2:12" ht="13">
      <c r="B43" s="105"/>
      <c r="C43" s="105"/>
      <c r="D43" s="105"/>
    </row>
    <row r="44" spans="2:12" ht="13">
      <c r="B44" s="113" t="s">
        <v>226</v>
      </c>
      <c r="C44" s="113"/>
      <c r="D44" s="113"/>
      <c r="E44" s="113"/>
      <c r="F44" s="113"/>
      <c r="G44" s="113"/>
      <c r="H44" s="113"/>
      <c r="I44" s="113"/>
      <c r="J44" s="114">
        <f>E11*(SUM(E37:J37)-SUM(E38:J38)+J39-J40+($E$12*(J41+J42)))</f>
        <v>603.60744253088035</v>
      </c>
      <c r="K44" s="111">
        <f>J44</f>
        <v>603.60744253088035</v>
      </c>
      <c r="L44" s="115">
        <f>K44/K31</f>
        <v>0.11293991805245325</v>
      </c>
    </row>
    <row r="45" spans="2:12" ht="13">
      <c r="B45" s="100"/>
      <c r="C45" s="100"/>
      <c r="D45" s="100"/>
    </row>
    <row r="46" spans="2:12" s="102" customFormat="1" ht="18">
      <c r="B46" s="101" t="s">
        <v>227</v>
      </c>
      <c r="C46" s="101"/>
      <c r="D46" s="101"/>
    </row>
    <row r="47" spans="2:12" ht="12.5"/>
    <row r="48" spans="2:12" ht="12.5"/>
    <row r="49" spans="2:10" ht="12.5"/>
    <row r="50" spans="2:10" ht="12.5"/>
    <row r="51" spans="2:10" ht="12.5"/>
    <row r="52" spans="2:10" ht="12.5"/>
    <row r="53" spans="2:10" ht="12.5"/>
    <row r="54" spans="2:10" ht="12.5"/>
    <row r="55" spans="2:10" ht="12.5"/>
    <row r="56" spans="2:10" s="116" customFormat="1" ht="12.5"/>
    <row r="57" spans="2:10" ht="12.5"/>
    <row r="58" spans="2:10" ht="12.5"/>
    <row r="59" spans="2:10" ht="12.5"/>
    <row r="60" spans="2:10" ht="12.5"/>
    <row r="61" spans="2:10" ht="12.5"/>
    <row r="62" spans="2:10" ht="12.5"/>
    <row r="63" spans="2:10" ht="13">
      <c r="B63" s="117" t="s">
        <v>228</v>
      </c>
      <c r="C63" s="117"/>
      <c r="D63" s="117"/>
    </row>
    <row r="64" spans="2:10" ht="13">
      <c r="B64" s="100" t="s">
        <v>229</v>
      </c>
      <c r="C64" s="100"/>
      <c r="D64" s="100"/>
      <c r="E64" s="92">
        <f>$E$3+1</f>
        <v>6</v>
      </c>
      <c r="F64" s="92">
        <f t="shared" ref="F64:J64" si="7">$E$3+1</f>
        <v>6</v>
      </c>
      <c r="G64" s="92">
        <f t="shared" si="7"/>
        <v>6</v>
      </c>
      <c r="H64" s="92">
        <f>$E$3+1</f>
        <v>6</v>
      </c>
      <c r="I64" s="92">
        <f t="shared" si="7"/>
        <v>6</v>
      </c>
      <c r="J64" s="92">
        <f t="shared" si="7"/>
        <v>6</v>
      </c>
    </row>
    <row r="65" spans="1:15" ht="13">
      <c r="A65" s="118" t="s">
        <v>230</v>
      </c>
      <c r="B65" s="100" t="s">
        <v>231</v>
      </c>
      <c r="C65" s="100"/>
      <c r="D65" s="100"/>
      <c r="E65" s="92">
        <f t="shared" ref="E65:J65" si="8">E24+$E$4-1</f>
        <v>4</v>
      </c>
      <c r="F65" s="92">
        <f t="shared" si="8"/>
        <v>5</v>
      </c>
      <c r="G65" s="92">
        <f t="shared" si="8"/>
        <v>6</v>
      </c>
      <c r="H65" s="92">
        <f t="shared" si="8"/>
        <v>7</v>
      </c>
      <c r="I65" s="92">
        <f t="shared" si="8"/>
        <v>8</v>
      </c>
      <c r="J65" s="92">
        <f t="shared" si="8"/>
        <v>9</v>
      </c>
    </row>
    <row r="66" spans="1:15" ht="13">
      <c r="A66" s="118"/>
      <c r="B66" s="100"/>
      <c r="C66" s="100"/>
      <c r="D66" s="100"/>
      <c r="E66" s="119">
        <f>E65-E64</f>
        <v>-2</v>
      </c>
      <c r="F66" s="119">
        <f t="shared" ref="F66:J66" si="9">F65-F64</f>
        <v>-1</v>
      </c>
      <c r="G66" s="119">
        <f t="shared" si="9"/>
        <v>0</v>
      </c>
      <c r="H66" s="119">
        <f t="shared" si="9"/>
        <v>1</v>
      </c>
      <c r="I66" s="119">
        <f t="shared" si="9"/>
        <v>2</v>
      </c>
      <c r="J66" s="119">
        <f t="shared" si="9"/>
        <v>3</v>
      </c>
    </row>
    <row r="67" spans="1:15" ht="13">
      <c r="B67" s="117" t="s">
        <v>232</v>
      </c>
      <c r="C67" s="117"/>
      <c r="D67" s="117"/>
    </row>
    <row r="68" spans="1:15" ht="13">
      <c r="B68" s="100" t="s">
        <v>233</v>
      </c>
      <c r="C68" s="100"/>
      <c r="D68" s="100"/>
      <c r="E68" s="92">
        <f>IF(E66&lt;0, 0, E64-$E$3)</f>
        <v>0</v>
      </c>
      <c r="F68" s="92">
        <f t="shared" ref="F68:J68" si="10">IF(F66&lt;0, 0, F64-$E$3)</f>
        <v>0</v>
      </c>
      <c r="G68" s="92">
        <f>IF(G66&lt;0, 0, G64-$E$3)</f>
        <v>1</v>
      </c>
      <c r="H68" s="92">
        <f t="shared" si="10"/>
        <v>1</v>
      </c>
      <c r="I68" s="92">
        <f t="shared" si="10"/>
        <v>1</v>
      </c>
      <c r="J68" s="92">
        <f t="shared" si="10"/>
        <v>1</v>
      </c>
    </row>
    <row r="69" spans="1:15" ht="13">
      <c r="B69" s="119"/>
      <c r="C69" s="119"/>
      <c r="D69" s="119"/>
      <c r="E69" s="92">
        <f>IF(OR(E68=0, E$66&lt;E68), 0, E68+1)</f>
        <v>0</v>
      </c>
      <c r="F69" s="92">
        <f t="shared" ref="F69:J72" si="11">IF(OR(F68=0, F$66&lt;F68), 0, F68+1)</f>
        <v>0</v>
      </c>
      <c r="G69" s="92">
        <f t="shared" si="11"/>
        <v>0</v>
      </c>
      <c r="H69" s="92">
        <f t="shared" si="11"/>
        <v>2</v>
      </c>
      <c r="I69" s="92">
        <f t="shared" si="11"/>
        <v>2</v>
      </c>
      <c r="J69" s="92">
        <f t="shared" si="11"/>
        <v>2</v>
      </c>
    </row>
    <row r="70" spans="1:15" ht="13">
      <c r="B70" s="119"/>
      <c r="C70" s="119"/>
      <c r="D70" s="119"/>
      <c r="E70" s="92">
        <f t="shared" ref="E70:E72" si="12">IF(OR(E69=0, E$66&lt;E69), 0, E69+1)</f>
        <v>0</v>
      </c>
      <c r="F70" s="92">
        <f t="shared" si="11"/>
        <v>0</v>
      </c>
      <c r="G70" s="92">
        <f t="shared" si="11"/>
        <v>0</v>
      </c>
      <c r="H70" s="92">
        <f t="shared" si="11"/>
        <v>0</v>
      </c>
      <c r="I70" s="92">
        <f t="shared" si="11"/>
        <v>3</v>
      </c>
      <c r="J70" s="92">
        <f t="shared" si="11"/>
        <v>3</v>
      </c>
    </row>
    <row r="71" spans="1:15" ht="13">
      <c r="B71" s="119"/>
      <c r="C71" s="119"/>
      <c r="D71" s="119"/>
      <c r="E71" s="92">
        <f t="shared" si="12"/>
        <v>0</v>
      </c>
      <c r="F71" s="92">
        <f t="shared" si="11"/>
        <v>0</v>
      </c>
      <c r="G71" s="92">
        <f t="shared" si="11"/>
        <v>0</v>
      </c>
      <c r="H71" s="92">
        <f t="shared" si="11"/>
        <v>0</v>
      </c>
      <c r="I71" s="92">
        <f t="shared" si="11"/>
        <v>0</v>
      </c>
      <c r="J71" s="92">
        <f t="shared" si="11"/>
        <v>4</v>
      </c>
    </row>
    <row r="72" spans="1:15" ht="13">
      <c r="B72" s="119"/>
      <c r="C72" s="119"/>
      <c r="D72" s="119"/>
      <c r="E72" s="92">
        <f t="shared" si="12"/>
        <v>0</v>
      </c>
      <c r="F72" s="92">
        <f t="shared" si="11"/>
        <v>0</v>
      </c>
      <c r="G72" s="92">
        <f t="shared" si="11"/>
        <v>0</v>
      </c>
      <c r="H72" s="92">
        <f t="shared" si="11"/>
        <v>0</v>
      </c>
      <c r="I72" s="92">
        <f t="shared" si="11"/>
        <v>0</v>
      </c>
      <c r="J72" s="92">
        <f t="shared" si="11"/>
        <v>0</v>
      </c>
    </row>
    <row r="73" spans="1:15" ht="12.5"/>
    <row r="74" spans="1:15" ht="13">
      <c r="B74" s="117" t="s">
        <v>234</v>
      </c>
      <c r="C74" s="117"/>
      <c r="D74" s="117"/>
    </row>
    <row r="75" spans="1:15" ht="12.5">
      <c r="E75" s="120">
        <f t="shared" ref="E75:J79" si="13">IF(E68&gt;0, $E$6/((1+$E$6)^E68), 0)</f>
        <v>0</v>
      </c>
      <c r="F75" s="120">
        <f t="shared" si="13"/>
        <v>0</v>
      </c>
      <c r="G75" s="120">
        <f t="shared" si="13"/>
        <v>3.5679845708775311E-2</v>
      </c>
      <c r="H75" s="120">
        <f t="shared" si="13"/>
        <v>3.5679845708775311E-2</v>
      </c>
      <c r="I75" s="120">
        <f t="shared" si="13"/>
        <v>3.5679845708775311E-2</v>
      </c>
      <c r="J75" s="120">
        <f t="shared" si="13"/>
        <v>3.5679845708775311E-2</v>
      </c>
    </row>
    <row r="76" spans="1:15" ht="13">
      <c r="B76" s="119"/>
      <c r="C76" s="119"/>
      <c r="D76" s="119"/>
      <c r="E76" s="120">
        <f t="shared" si="13"/>
        <v>0</v>
      </c>
      <c r="F76" s="120">
        <f t="shared" si="13"/>
        <v>0</v>
      </c>
      <c r="G76" s="120">
        <f t="shared" si="13"/>
        <v>0</v>
      </c>
      <c r="H76" s="120">
        <f t="shared" si="13"/>
        <v>3.4406794318973304E-2</v>
      </c>
      <c r="I76" s="120">
        <f t="shared" si="13"/>
        <v>3.4406794318973304E-2</v>
      </c>
      <c r="J76" s="120">
        <f t="shared" si="13"/>
        <v>3.4406794318973304E-2</v>
      </c>
    </row>
    <row r="77" spans="1:15" ht="13">
      <c r="B77" s="119"/>
      <c r="C77" s="119"/>
      <c r="D77" s="119"/>
      <c r="E77" s="120">
        <f t="shared" si="13"/>
        <v>0</v>
      </c>
      <c r="F77" s="120">
        <f t="shared" si="13"/>
        <v>0</v>
      </c>
      <c r="G77" s="120">
        <f t="shared" si="13"/>
        <v>0</v>
      </c>
      <c r="H77" s="120">
        <f t="shared" si="13"/>
        <v>0</v>
      </c>
      <c r="I77" s="120">
        <f t="shared" si="13"/>
        <v>3.3179165206338769E-2</v>
      </c>
      <c r="J77" s="120">
        <f t="shared" si="13"/>
        <v>3.3179165206338769E-2</v>
      </c>
    </row>
    <row r="78" spans="1:15" ht="13">
      <c r="B78" s="119"/>
      <c r="C78" s="119"/>
      <c r="D78" s="119"/>
      <c r="E78" s="120">
        <f t="shared" si="13"/>
        <v>0</v>
      </c>
      <c r="F78" s="120">
        <f t="shared" si="13"/>
        <v>0</v>
      </c>
      <c r="G78" s="120">
        <f t="shared" si="13"/>
        <v>0</v>
      </c>
      <c r="H78" s="120">
        <f t="shared" si="13"/>
        <v>0</v>
      </c>
      <c r="I78" s="120">
        <f t="shared" si="13"/>
        <v>0</v>
      </c>
      <c r="J78" s="120">
        <f t="shared" si="13"/>
        <v>3.1995337711030643E-2</v>
      </c>
    </row>
    <row r="79" spans="1:15" ht="13">
      <c r="B79" s="119"/>
      <c r="C79" s="119"/>
      <c r="D79" s="119"/>
      <c r="E79" s="120">
        <f t="shared" si="13"/>
        <v>0</v>
      </c>
      <c r="F79" s="120">
        <f t="shared" si="13"/>
        <v>0</v>
      </c>
      <c r="G79" s="120">
        <f t="shared" si="13"/>
        <v>0</v>
      </c>
      <c r="H79" s="120">
        <f t="shared" si="13"/>
        <v>0</v>
      </c>
      <c r="I79" s="120">
        <f t="shared" si="13"/>
        <v>0</v>
      </c>
      <c r="J79" s="120">
        <f t="shared" si="13"/>
        <v>0</v>
      </c>
      <c r="N79" s="112"/>
      <c r="O79" s="112"/>
    </row>
    <row r="80" spans="1:15" ht="12.5"/>
    <row r="81" spans="1:10" ht="13">
      <c r="B81" s="117" t="s">
        <v>220</v>
      </c>
      <c r="C81" s="117"/>
      <c r="D81" s="117"/>
      <c r="E81" s="112">
        <f t="shared" ref="E81:J81" si="14">E$31*SUM(E$75:E$79)</f>
        <v>0</v>
      </c>
      <c r="F81" s="112">
        <f t="shared" si="14"/>
        <v>0</v>
      </c>
      <c r="G81" s="112">
        <f t="shared" si="14"/>
        <v>70.578514412547051</v>
      </c>
      <c r="H81" s="112">
        <f t="shared" si="14"/>
        <v>160.82956509046994</v>
      </c>
      <c r="I81" s="112">
        <f t="shared" si="14"/>
        <v>-10.061111644234547</v>
      </c>
      <c r="J81" s="112">
        <f t="shared" si="14"/>
        <v>-447.66735528928234</v>
      </c>
    </row>
    <row r="82" spans="1:10" ht="12.5"/>
    <row r="83" spans="1:10" s="116" customFormat="1" ht="12.5"/>
    <row r="84" spans="1:10" ht="12.5"/>
    <row r="85" spans="1:10" ht="12.5"/>
    <row r="86" spans="1:10" ht="12.5"/>
    <row r="87" spans="1:10" ht="12.5"/>
    <row r="88" spans="1:10" ht="12.5"/>
    <row r="89" spans="1:10" ht="12.5"/>
    <row r="90" spans="1:10" ht="13">
      <c r="B90" s="117" t="s">
        <v>228</v>
      </c>
      <c r="C90" s="117"/>
      <c r="D90" s="117"/>
    </row>
    <row r="91" spans="1:10" ht="13">
      <c r="A91" s="104"/>
      <c r="B91" s="100" t="s">
        <v>235</v>
      </c>
      <c r="C91" s="100"/>
      <c r="D91" s="100"/>
      <c r="E91" s="92">
        <f t="shared" ref="E91:J91" si="15">E24+$E$4+1</f>
        <v>6</v>
      </c>
      <c r="F91" s="92">
        <f t="shared" si="15"/>
        <v>7</v>
      </c>
      <c r="G91" s="92">
        <f t="shared" si="15"/>
        <v>8</v>
      </c>
      <c r="H91" s="92">
        <f t="shared" si="15"/>
        <v>9</v>
      </c>
      <c r="I91" s="92">
        <f t="shared" si="15"/>
        <v>10</v>
      </c>
      <c r="J91" s="92">
        <f t="shared" si="15"/>
        <v>11</v>
      </c>
    </row>
    <row r="92" spans="1:10" ht="13">
      <c r="A92" s="118" t="s">
        <v>230</v>
      </c>
      <c r="B92" s="100" t="s">
        <v>236</v>
      </c>
      <c r="C92" s="100"/>
      <c r="D92" s="100"/>
      <c r="E92" s="92">
        <f>$E$3</f>
        <v>5</v>
      </c>
      <c r="F92" s="92">
        <f t="shared" ref="F92:J92" si="16">$E$3</f>
        <v>5</v>
      </c>
      <c r="G92" s="92">
        <f t="shared" si="16"/>
        <v>5</v>
      </c>
      <c r="H92" s="92">
        <f t="shared" si="16"/>
        <v>5</v>
      </c>
      <c r="I92" s="92">
        <f t="shared" si="16"/>
        <v>5</v>
      </c>
      <c r="J92" s="92">
        <f t="shared" si="16"/>
        <v>5</v>
      </c>
    </row>
    <row r="93" spans="1:10" ht="13">
      <c r="E93" s="119">
        <f>E92-E91</f>
        <v>-1</v>
      </c>
      <c r="F93" s="119">
        <f t="shared" ref="F93:J93" si="17">F92-F91</f>
        <v>-2</v>
      </c>
      <c r="G93" s="119">
        <f t="shared" si="17"/>
        <v>-3</v>
      </c>
      <c r="H93" s="119">
        <f t="shared" si="17"/>
        <v>-4</v>
      </c>
      <c r="I93" s="119">
        <f t="shared" si="17"/>
        <v>-5</v>
      </c>
      <c r="J93" s="119">
        <f t="shared" si="17"/>
        <v>-6</v>
      </c>
    </row>
    <row r="94" spans="1:10" ht="13">
      <c r="B94" s="117" t="s">
        <v>232</v>
      </c>
      <c r="C94" s="117"/>
      <c r="D94" s="117"/>
    </row>
    <row r="95" spans="1:10" ht="13">
      <c r="B95" s="100" t="s">
        <v>237</v>
      </c>
      <c r="C95" s="100"/>
      <c r="D95" s="100"/>
      <c r="E95" s="121" t="str">
        <f>IF(E93&lt;0, "", $E$3-E91)</f>
        <v/>
      </c>
      <c r="F95" s="121" t="str">
        <f t="shared" ref="F95:J95" si="18">IF(F93&lt;0, "", $E$3-F91)</f>
        <v/>
      </c>
      <c r="G95" s="121" t="str">
        <f t="shared" si="18"/>
        <v/>
      </c>
      <c r="H95" s="121" t="str">
        <f t="shared" si="18"/>
        <v/>
      </c>
      <c r="I95" s="121" t="str">
        <f t="shared" si="18"/>
        <v/>
      </c>
      <c r="J95" s="121" t="str">
        <f t="shared" si="18"/>
        <v/>
      </c>
    </row>
    <row r="96" spans="1:10" ht="13">
      <c r="B96" s="119"/>
      <c r="C96" s="119"/>
      <c r="D96" s="119"/>
      <c r="E96" s="121" t="str">
        <f t="shared" ref="E96:J100" si="19">IF(OR(E$93&lt;0,E95=0, E95=""), "", E95-1)</f>
        <v/>
      </c>
      <c r="F96" s="121" t="str">
        <f t="shared" si="19"/>
        <v/>
      </c>
      <c r="G96" s="121" t="str">
        <f t="shared" si="19"/>
        <v/>
      </c>
      <c r="H96" s="121" t="str">
        <f t="shared" si="19"/>
        <v/>
      </c>
      <c r="I96" s="121" t="str">
        <f t="shared" si="19"/>
        <v/>
      </c>
      <c r="J96" s="121" t="str">
        <f t="shared" si="19"/>
        <v/>
      </c>
    </row>
    <row r="97" spans="2:10" ht="13">
      <c r="B97" s="119"/>
      <c r="C97" s="119"/>
      <c r="D97" s="119"/>
      <c r="E97" s="121" t="str">
        <f t="shared" si="19"/>
        <v/>
      </c>
      <c r="F97" s="121" t="str">
        <f t="shared" si="19"/>
        <v/>
      </c>
      <c r="G97" s="121" t="str">
        <f t="shared" si="19"/>
        <v/>
      </c>
      <c r="H97" s="121" t="str">
        <f t="shared" si="19"/>
        <v/>
      </c>
      <c r="I97" s="121" t="str">
        <f t="shared" si="19"/>
        <v/>
      </c>
      <c r="J97" s="121" t="str">
        <f t="shared" si="19"/>
        <v/>
      </c>
    </row>
    <row r="98" spans="2:10" ht="13">
      <c r="B98" s="119"/>
      <c r="C98" s="119"/>
      <c r="D98" s="119"/>
      <c r="E98" s="121" t="str">
        <f t="shared" si="19"/>
        <v/>
      </c>
      <c r="F98" s="121" t="str">
        <f t="shared" si="19"/>
        <v/>
      </c>
      <c r="G98" s="121" t="str">
        <f t="shared" si="19"/>
        <v/>
      </c>
      <c r="H98" s="121" t="str">
        <f t="shared" si="19"/>
        <v/>
      </c>
      <c r="I98" s="121" t="str">
        <f t="shared" si="19"/>
        <v/>
      </c>
      <c r="J98" s="121" t="str">
        <f t="shared" si="19"/>
        <v/>
      </c>
    </row>
    <row r="99" spans="2:10" ht="13">
      <c r="B99" s="119"/>
      <c r="C99" s="119"/>
      <c r="D99" s="119"/>
      <c r="E99" s="121" t="str">
        <f>IF(OR(E$93&lt;0,E98=0, E98=""), "", E98-1)</f>
        <v/>
      </c>
      <c r="F99" s="121" t="str">
        <f t="shared" si="19"/>
        <v/>
      </c>
      <c r="G99" s="121" t="str">
        <f t="shared" si="19"/>
        <v/>
      </c>
      <c r="H99" s="121" t="str">
        <f t="shared" si="19"/>
        <v/>
      </c>
      <c r="I99" s="121" t="str">
        <f t="shared" si="19"/>
        <v/>
      </c>
      <c r="J99" s="121" t="str">
        <f t="shared" si="19"/>
        <v/>
      </c>
    </row>
    <row r="100" spans="2:10" ht="13">
      <c r="B100" s="119"/>
      <c r="C100" s="119"/>
      <c r="D100" s="119"/>
      <c r="E100" s="121" t="str">
        <f>IF(OR(E$93&lt;0,E99=0, E99=""), "", E99-1)</f>
        <v/>
      </c>
      <c r="F100" s="121" t="str">
        <f t="shared" si="19"/>
        <v/>
      </c>
      <c r="G100" s="121" t="str">
        <f t="shared" si="19"/>
        <v/>
      </c>
      <c r="H100" s="121" t="str">
        <f t="shared" si="19"/>
        <v/>
      </c>
      <c r="I100" s="121" t="str">
        <f t="shared" si="19"/>
        <v/>
      </c>
      <c r="J100" s="121" t="str">
        <f t="shared" si="19"/>
        <v/>
      </c>
    </row>
    <row r="101" spans="2:10" ht="13">
      <c r="B101" s="119"/>
      <c r="C101" s="119"/>
      <c r="D101" s="119"/>
    </row>
    <row r="102" spans="2:10" ht="13">
      <c r="B102" s="117" t="s">
        <v>234</v>
      </c>
      <c r="C102" s="117"/>
      <c r="D102" s="117"/>
    </row>
    <row r="103" spans="2:10" ht="12.5">
      <c r="E103" s="120">
        <f>IFERROR($E$6*((1+$E$6)^E95), 0)</f>
        <v>0</v>
      </c>
      <c r="F103" s="120">
        <f t="shared" ref="F103:J103" si="20">IFERROR($E$6*((1+$E$6)^F95), 0)</f>
        <v>0</v>
      </c>
      <c r="G103" s="120">
        <f t="shared" si="20"/>
        <v>0</v>
      </c>
      <c r="H103" s="120">
        <f t="shared" si="20"/>
        <v>0</v>
      </c>
      <c r="I103" s="120">
        <f t="shared" si="20"/>
        <v>0</v>
      </c>
      <c r="J103" s="120">
        <f t="shared" si="20"/>
        <v>0</v>
      </c>
    </row>
    <row r="104" spans="2:10" ht="13">
      <c r="B104" s="119"/>
      <c r="C104" s="119"/>
      <c r="D104" s="119"/>
      <c r="E104" s="120">
        <f t="shared" ref="E104:J108" si="21">IFERROR($E$6*((1+$E$6)^E96), 0)</f>
        <v>0</v>
      </c>
      <c r="F104" s="120">
        <f t="shared" si="21"/>
        <v>0</v>
      </c>
      <c r="G104" s="120">
        <f t="shared" si="21"/>
        <v>0</v>
      </c>
      <c r="H104" s="120">
        <f t="shared" si="21"/>
        <v>0</v>
      </c>
      <c r="I104" s="120">
        <f t="shared" si="21"/>
        <v>0</v>
      </c>
      <c r="J104" s="120">
        <f t="shared" si="21"/>
        <v>0</v>
      </c>
    </row>
    <row r="105" spans="2:10" ht="13">
      <c r="B105" s="119"/>
      <c r="C105" s="119"/>
      <c r="D105" s="119"/>
      <c r="E105" s="120">
        <f t="shared" si="21"/>
        <v>0</v>
      </c>
      <c r="F105" s="120">
        <f t="shared" si="21"/>
        <v>0</v>
      </c>
      <c r="G105" s="120">
        <f t="shared" si="21"/>
        <v>0</v>
      </c>
      <c r="H105" s="120">
        <f t="shared" si="21"/>
        <v>0</v>
      </c>
      <c r="I105" s="120">
        <f t="shared" si="21"/>
        <v>0</v>
      </c>
      <c r="J105" s="120">
        <f t="shared" si="21"/>
        <v>0</v>
      </c>
    </row>
    <row r="106" spans="2:10" ht="13">
      <c r="B106" s="119"/>
      <c r="C106" s="119"/>
      <c r="D106" s="119"/>
      <c r="E106" s="120">
        <f t="shared" si="21"/>
        <v>0</v>
      </c>
      <c r="F106" s="120">
        <f t="shared" si="21"/>
        <v>0</v>
      </c>
      <c r="G106" s="120">
        <f t="shared" si="21"/>
        <v>0</v>
      </c>
      <c r="H106" s="120">
        <f t="shared" si="21"/>
        <v>0</v>
      </c>
      <c r="I106" s="120">
        <f t="shared" si="21"/>
        <v>0</v>
      </c>
      <c r="J106" s="120">
        <f t="shared" si="21"/>
        <v>0</v>
      </c>
    </row>
    <row r="107" spans="2:10" ht="13">
      <c r="B107" s="119"/>
      <c r="C107" s="119"/>
      <c r="D107" s="119"/>
      <c r="E107" s="120">
        <f t="shared" si="21"/>
        <v>0</v>
      </c>
      <c r="F107" s="120">
        <f t="shared" si="21"/>
        <v>0</v>
      </c>
      <c r="G107" s="120">
        <f t="shared" si="21"/>
        <v>0</v>
      </c>
      <c r="H107" s="120">
        <f t="shared" si="21"/>
        <v>0</v>
      </c>
      <c r="I107" s="120">
        <f t="shared" si="21"/>
        <v>0</v>
      </c>
      <c r="J107" s="120">
        <f t="shared" si="21"/>
        <v>0</v>
      </c>
    </row>
    <row r="108" spans="2:10" ht="13">
      <c r="B108" s="119"/>
      <c r="C108" s="119"/>
      <c r="D108" s="119"/>
      <c r="E108" s="120">
        <f t="shared" si="21"/>
        <v>0</v>
      </c>
      <c r="F108" s="120">
        <f t="shared" si="21"/>
        <v>0</v>
      </c>
      <c r="G108" s="120">
        <f t="shared" si="21"/>
        <v>0</v>
      </c>
      <c r="H108" s="120">
        <f t="shared" si="21"/>
        <v>0</v>
      </c>
      <c r="I108" s="120">
        <f t="shared" si="21"/>
        <v>0</v>
      </c>
      <c r="J108" s="120">
        <f t="shared" si="21"/>
        <v>0</v>
      </c>
    </row>
    <row r="109" spans="2:10" ht="12.5"/>
    <row r="110" spans="2:10" ht="13">
      <c r="B110" s="117" t="s">
        <v>221</v>
      </c>
      <c r="C110" s="117"/>
      <c r="D110" s="117"/>
      <c r="E110" s="92">
        <f t="shared" ref="E110:J110" si="22">E$31*SUM(E$103:E$108)</f>
        <v>0</v>
      </c>
      <c r="F110" s="122">
        <f t="shared" si="22"/>
        <v>0</v>
      </c>
      <c r="G110" s="92">
        <f t="shared" si="22"/>
        <v>0</v>
      </c>
      <c r="H110" s="92">
        <f t="shared" si="22"/>
        <v>0</v>
      </c>
      <c r="I110" s="92">
        <f t="shared" si="22"/>
        <v>0</v>
      </c>
      <c r="J110" s="92">
        <f t="shared" si="22"/>
        <v>0</v>
      </c>
    </row>
    <row r="111" spans="2:10" ht="12.5"/>
    <row r="112" spans="2:10" s="123" customFormat="1" ht="18">
      <c r="B112" s="101" t="s">
        <v>238</v>
      </c>
      <c r="C112" s="101"/>
      <c r="D112" s="101"/>
    </row>
    <row r="113" spans="2:4" ht="12.5"/>
    <row r="114" spans="2:4" ht="12.5"/>
    <row r="115" spans="2:4" ht="12.5"/>
    <row r="116" spans="2:4" ht="12.5"/>
    <row r="117" spans="2:4" ht="12.5"/>
    <row r="118" spans="2:4" ht="12.5"/>
    <row r="119" spans="2:4" ht="12.5"/>
    <row r="120" spans="2:4" ht="12.5"/>
    <row r="121" spans="2:4" ht="12.5"/>
    <row r="122" spans="2:4" s="116" customFormat="1" ht="12.5"/>
    <row r="123" spans="2:4" ht="12.5"/>
    <row r="124" spans="2:4" ht="12.5"/>
    <row r="125" spans="2:4" ht="12.5"/>
    <row r="126" spans="2:4" ht="12.5"/>
    <row r="127" spans="2:4" ht="12.5"/>
    <row r="128" spans="2:4" ht="13">
      <c r="B128" s="117" t="s">
        <v>228</v>
      </c>
      <c r="C128" s="117"/>
      <c r="D128" s="117"/>
    </row>
    <row r="129" spans="1:5" ht="13">
      <c r="A129" s="104"/>
      <c r="B129" s="100" t="s">
        <v>239</v>
      </c>
      <c r="C129" s="100"/>
      <c r="D129" s="100"/>
      <c r="E129" s="92">
        <f>E3-E4+1</f>
        <v>1</v>
      </c>
    </row>
    <row r="130" spans="1:5" ht="13">
      <c r="A130" s="118" t="s">
        <v>230</v>
      </c>
      <c r="B130" s="100" t="s">
        <v>240</v>
      </c>
      <c r="C130" s="100"/>
      <c r="D130" s="100"/>
      <c r="E130" s="92">
        <f>E3</f>
        <v>5</v>
      </c>
    </row>
    <row r="131" spans="1:5" ht="13">
      <c r="E131" s="119">
        <f>E130-E129</f>
        <v>4</v>
      </c>
    </row>
    <row r="132" spans="1:5" ht="12.5"/>
    <row r="133" spans="1:5" ht="13">
      <c r="B133" s="117" t="s">
        <v>212</v>
      </c>
      <c r="C133" s="117"/>
      <c r="D133" s="117"/>
      <c r="E133" s="121">
        <f>E129</f>
        <v>1</v>
      </c>
    </row>
    <row r="134" spans="1:5" ht="12.5">
      <c r="E134" s="121">
        <f>IF(E133&lt;$E$130, E133+1, "")</f>
        <v>2</v>
      </c>
    </row>
    <row r="135" spans="1:5" ht="12.5">
      <c r="E135" s="121">
        <f>IF(E134&lt;$E$130, E134+1, "")</f>
        <v>3</v>
      </c>
    </row>
    <row r="136" spans="1:5" ht="12.5">
      <c r="E136" s="121">
        <f>IF(E135&lt;$E$130, E135+1, "")</f>
        <v>4</v>
      </c>
    </row>
    <row r="137" spans="1:5" ht="12.5">
      <c r="E137" s="121">
        <f>IF(E136&lt;$E$130, E136+1, "")</f>
        <v>5</v>
      </c>
    </row>
    <row r="138" spans="1:5" ht="12.5">
      <c r="E138" s="121" t="str">
        <f>IF(E137&lt;$E$130, E137+1, "")</f>
        <v/>
      </c>
    </row>
    <row r="139" spans="1:5" ht="12.5"/>
    <row r="140" spans="1:5" ht="13">
      <c r="B140" s="117" t="s">
        <v>241</v>
      </c>
      <c r="C140" s="117"/>
      <c r="D140" s="117"/>
      <c r="E140" s="121">
        <f t="shared" ref="E140:E145" si="23">IFERROR(E133+$E$4-$E$3, "")</f>
        <v>1</v>
      </c>
    </row>
    <row r="141" spans="1:5" ht="13">
      <c r="B141" s="117"/>
      <c r="C141" s="117"/>
      <c r="D141" s="117"/>
      <c r="E141" s="121">
        <f t="shared" si="23"/>
        <v>2</v>
      </c>
    </row>
    <row r="142" spans="1:5" ht="12.5">
      <c r="E142" s="121">
        <f t="shared" si="23"/>
        <v>3</v>
      </c>
    </row>
    <row r="143" spans="1:5" ht="12.5">
      <c r="E143" s="121">
        <f t="shared" si="23"/>
        <v>4</v>
      </c>
    </row>
    <row r="144" spans="1:5" ht="12.5">
      <c r="E144" s="121">
        <f t="shared" si="23"/>
        <v>5</v>
      </c>
    </row>
    <row r="145" spans="2:5" ht="12.5">
      <c r="E145" s="121" t="str">
        <f t="shared" si="23"/>
        <v/>
      </c>
    </row>
    <row r="146" spans="2:5" ht="12.5"/>
    <row r="147" spans="2:5" ht="13">
      <c r="B147" s="117" t="s">
        <v>242</v>
      </c>
      <c r="C147" s="117"/>
      <c r="D147" s="117"/>
      <c r="E147" s="124">
        <f>IFERROR(($E$6*$E$8)/((1+$E$6)^E140), "")</f>
        <v>1.7839922854387655E-2</v>
      </c>
    </row>
    <row r="148" spans="2:5" ht="12.5">
      <c r="E148" s="131">
        <f t="shared" ref="E148:E152" si="24">IFERROR(($E$6*$E$8)/((1+$E$6)^E141), "")</f>
        <v>1.7203397159486652E-2</v>
      </c>
    </row>
    <row r="149" spans="2:5" ht="13">
      <c r="B149" s="117"/>
      <c r="C149" s="117"/>
      <c r="D149" s="117"/>
      <c r="E149" s="124">
        <f t="shared" si="24"/>
        <v>1.6589582603169385E-2</v>
      </c>
    </row>
    <row r="150" spans="2:5" ht="12.5">
      <c r="E150" s="124">
        <f t="shared" si="24"/>
        <v>1.5997668855515321E-2</v>
      </c>
    </row>
    <row r="151" spans="2:5" ht="12.5">
      <c r="E151" s="124">
        <f t="shared" si="24"/>
        <v>1.5426874499050454E-2</v>
      </c>
    </row>
    <row r="152" spans="2:5" ht="12.5">
      <c r="E152" s="124" t="str">
        <f t="shared" si="24"/>
        <v/>
      </c>
    </row>
    <row r="153" spans="2:5" ht="12.5"/>
    <row r="154" spans="2:5" ht="13">
      <c r="B154" s="117" t="s">
        <v>243</v>
      </c>
      <c r="C154" s="117"/>
      <c r="D154" s="117"/>
      <c r="E154" s="125">
        <f t="shared" ref="E154:E159" si="25">IFERROR(INDEX($E$31:$J$31, 1, MATCH($E133,$E$24:$J$24,0))*E147, "")</f>
        <v>27.410560137687643</v>
      </c>
    </row>
    <row r="155" spans="2:5" ht="12.5">
      <c r="E155" s="125">
        <f t="shared" si="25"/>
        <v>34.030141953976404</v>
      </c>
    </row>
    <row r="156" spans="2:5" ht="12.5">
      <c r="E156" s="125">
        <f>IFERROR(INDEX($E$31:$J$31, 1, MATCH($E135,$E$24:$J$24,0))*E149, "")</f>
        <v>38.068529951554382</v>
      </c>
    </row>
    <row r="157" spans="2:5" ht="12.5">
      <c r="E157" s="125">
        <f t="shared" si="25"/>
        <v>-1.5586411400944904</v>
      </c>
    </row>
    <row r="158" spans="2:5" ht="12.5">
      <c r="E158" s="125">
        <f t="shared" si="25"/>
        <v>-51.057590945921042</v>
      </c>
    </row>
    <row r="159" spans="2:5" ht="12.5">
      <c r="E159" s="125" t="str">
        <f t="shared" si="25"/>
        <v/>
      </c>
    </row>
    <row r="160" spans="2:5" ht="12.5"/>
    <row r="161" spans="1:5" ht="13">
      <c r="B161" s="117" t="s">
        <v>222</v>
      </c>
      <c r="C161" s="117"/>
      <c r="D161" s="117"/>
      <c r="E161" s="125">
        <f>SUM(E154:E159)</f>
        <v>46.892999957202896</v>
      </c>
    </row>
    <row r="162" spans="1:5" ht="12.5"/>
    <row r="163" spans="1:5" ht="12.5"/>
    <row r="164" spans="1:5" s="116" customFormat="1" ht="12.5"/>
    <row r="165" spans="1:5" ht="12.5"/>
    <row r="166" spans="1:5" ht="12.5"/>
    <row r="167" spans="1:5" ht="12.5"/>
    <row r="168" spans="1:5" ht="12.5">
      <c r="A168" s="104"/>
    </row>
    <row r="169" spans="1:5" ht="12.5"/>
    <row r="170" spans="1:5" ht="13">
      <c r="B170" s="117" t="s">
        <v>228</v>
      </c>
      <c r="C170" s="117"/>
      <c r="D170" s="117"/>
    </row>
    <row r="171" spans="1:5" ht="13">
      <c r="A171" s="104"/>
      <c r="B171" s="100" t="s">
        <v>244</v>
      </c>
      <c r="C171" s="100"/>
      <c r="D171" s="100"/>
      <c r="E171" s="92">
        <v>0</v>
      </c>
    </row>
    <row r="172" spans="1:5" ht="13">
      <c r="A172" s="118" t="s">
        <v>230</v>
      </c>
      <c r="B172" s="100" t="s">
        <v>245</v>
      </c>
      <c r="C172" s="100"/>
      <c r="D172" s="100"/>
      <c r="E172" s="92">
        <f>$E$3-$E$4</f>
        <v>0</v>
      </c>
    </row>
    <row r="173" spans="1:5" ht="13">
      <c r="E173" s="119">
        <f>E172-E171</f>
        <v>0</v>
      </c>
    </row>
    <row r="174" spans="1:5" ht="12.5"/>
    <row r="175" spans="1:5" ht="13">
      <c r="B175" s="117" t="s">
        <v>212</v>
      </c>
      <c r="C175" s="117"/>
      <c r="D175" s="117"/>
      <c r="E175" s="121">
        <f>E171</f>
        <v>0</v>
      </c>
    </row>
    <row r="176" spans="1:5" ht="12.5">
      <c r="E176" s="121" t="str">
        <f>IF($E$173&gt;E175,E175+1, "")</f>
        <v/>
      </c>
    </row>
    <row r="177" spans="2:5" ht="12.5">
      <c r="E177" s="121" t="str">
        <f t="shared" ref="E177:E180" si="26">IF($E$173&gt;E176,E176+1, "")</f>
        <v/>
      </c>
    </row>
    <row r="178" spans="2:5" ht="12.5">
      <c r="E178" s="121" t="str">
        <f t="shared" si="26"/>
        <v/>
      </c>
    </row>
    <row r="179" spans="2:5" ht="12.5">
      <c r="E179" s="121" t="str">
        <f t="shared" si="26"/>
        <v/>
      </c>
    </row>
    <row r="180" spans="2:5" ht="12.5">
      <c r="E180" s="121" t="str">
        <f t="shared" si="26"/>
        <v/>
      </c>
    </row>
    <row r="181" spans="2:5" ht="12.5"/>
    <row r="182" spans="2:5" ht="13">
      <c r="B182" s="117" t="s">
        <v>246</v>
      </c>
      <c r="C182" s="117"/>
      <c r="D182" s="117"/>
      <c r="E182" s="121">
        <f>IFERROR($E$3-(E175+$E$4), "")</f>
        <v>0</v>
      </c>
    </row>
    <row r="183" spans="2:5" ht="12.5">
      <c r="E183" s="121" t="str">
        <f t="shared" ref="E183:E187" si="27">IFERROR($E$3-(E176+$E$4), "")</f>
        <v/>
      </c>
    </row>
    <row r="184" spans="2:5" ht="12.5">
      <c r="E184" s="121" t="str">
        <f t="shared" si="27"/>
        <v/>
      </c>
    </row>
    <row r="185" spans="2:5" ht="12.5">
      <c r="E185" s="121" t="str">
        <f t="shared" si="27"/>
        <v/>
      </c>
    </row>
    <row r="186" spans="2:5" ht="12.5">
      <c r="E186" s="121" t="str">
        <f t="shared" si="27"/>
        <v/>
      </c>
    </row>
    <row r="187" spans="2:5" ht="12.5">
      <c r="E187" s="121" t="str">
        <f t="shared" si="27"/>
        <v/>
      </c>
    </row>
    <row r="188" spans="2:5" ht="12.5"/>
    <row r="189" spans="2:5" ht="13">
      <c r="B189" s="117" t="s">
        <v>242</v>
      </c>
      <c r="C189" s="117"/>
      <c r="D189" s="117"/>
      <c r="E189" s="124">
        <f>IFERROR($E$7*$E$9*((1+$E$7)^$E182), "")</f>
        <v>2.1600000000000001E-2</v>
      </c>
    </row>
    <row r="190" spans="2:5" ht="12.5">
      <c r="E190" s="124" t="str">
        <f t="shared" ref="E190:E194" si="28">IFERROR($E$7*$E$9*((1+$E$7)^$E183), "")</f>
        <v/>
      </c>
    </row>
    <row r="191" spans="2:5" ht="12.5">
      <c r="E191" s="124" t="str">
        <f t="shared" si="28"/>
        <v/>
      </c>
    </row>
    <row r="192" spans="2:5" ht="12.5">
      <c r="E192" s="121" t="str">
        <f t="shared" si="28"/>
        <v/>
      </c>
    </row>
    <row r="193" spans="2:5" ht="12.5">
      <c r="E193" s="121" t="str">
        <f t="shared" si="28"/>
        <v/>
      </c>
    </row>
    <row r="194" spans="2:5" ht="12.5">
      <c r="E194" s="121" t="str">
        <f t="shared" si="28"/>
        <v/>
      </c>
    </row>
    <row r="195" spans="2:5" ht="12.5"/>
    <row r="196" spans="2:5" ht="13">
      <c r="B196" s="117" t="s">
        <v>243</v>
      </c>
      <c r="C196" s="117"/>
      <c r="D196" s="117"/>
      <c r="E196" s="125">
        <f t="shared" ref="E196:E201" si="29">IFERROR(INDEX($E$31:$J$31, 1, MATCH($E175,$E$24:$J$24,0))*E189, "")</f>
        <v>63.553206532515581</v>
      </c>
    </row>
    <row r="197" spans="2:5" ht="12.5">
      <c r="E197" s="125" t="str">
        <f t="shared" si="29"/>
        <v/>
      </c>
    </row>
    <row r="198" spans="2:5" ht="12.5">
      <c r="E198" s="125" t="str">
        <f t="shared" si="29"/>
        <v/>
      </c>
    </row>
    <row r="199" spans="2:5" ht="12.5">
      <c r="E199" s="125" t="str">
        <f t="shared" si="29"/>
        <v/>
      </c>
    </row>
    <row r="200" spans="2:5" ht="12.5">
      <c r="E200" s="125" t="str">
        <f t="shared" si="29"/>
        <v/>
      </c>
    </row>
    <row r="201" spans="2:5" ht="12.5">
      <c r="E201" s="125" t="str">
        <f t="shared" si="29"/>
        <v/>
      </c>
    </row>
    <row r="202" spans="2:5" ht="12.5">
      <c r="E202" s="112"/>
    </row>
    <row r="203" spans="2:5" ht="13">
      <c r="B203" s="117" t="s">
        <v>223</v>
      </c>
      <c r="C203" s="117"/>
      <c r="D203" s="117"/>
      <c r="E203" s="125">
        <f>SUM(E196:E201)</f>
        <v>63.553206532515581</v>
      </c>
    </row>
    <row r="204" spans="2:5" ht="12.5"/>
    <row r="205" spans="2:5" s="123" customFormat="1" ht="18">
      <c r="B205" s="101" t="s">
        <v>247</v>
      </c>
      <c r="C205" s="101"/>
      <c r="D205" s="101"/>
    </row>
    <row r="206" spans="2:5" ht="12.5"/>
    <row r="207" spans="2:5" ht="12.5"/>
    <row r="208" spans="2:5" ht="12.5"/>
    <row r="209" spans="2:5" ht="12.5"/>
    <row r="210" spans="2:5" ht="12.5"/>
    <row r="211" spans="2:5" ht="12.5"/>
    <row r="212" spans="2:5" ht="12.5"/>
    <row r="213" spans="2:5" ht="12.5"/>
    <row r="214" spans="2:5" ht="12.5"/>
    <row r="215" spans="2:5" ht="12.5"/>
    <row r="216" spans="2:5" ht="12.5"/>
    <row r="217" spans="2:5" ht="12.5"/>
    <row r="218" spans="2:5" ht="13">
      <c r="B218" s="117" t="s">
        <v>248</v>
      </c>
      <c r="C218" s="117"/>
      <c r="D218" s="117"/>
      <c r="E218" s="129">
        <f>E4/E5</f>
        <v>0.15151515151515152</v>
      </c>
    </row>
    <row r="219" spans="2:5" ht="12.5"/>
    <row r="220" spans="2:5" s="116" customFormat="1" ht="15.5">
      <c r="B220" s="126" t="s">
        <v>224</v>
      </c>
      <c r="C220" s="126"/>
      <c r="D220" s="126"/>
    </row>
    <row r="221" spans="2:5" ht="12.5"/>
    <row r="222" spans="2:5" ht="13">
      <c r="B222" s="117" t="s">
        <v>249</v>
      </c>
      <c r="C222" s="117"/>
      <c r="D222" s="117"/>
      <c r="E222" s="127">
        <f t="shared" ref="E222:E227" si="30">IFERROR($E$218*(1+$E$7*$E$9)*((1+$E$7)^E182), "")</f>
        <v>0.15478787878787881</v>
      </c>
    </row>
    <row r="223" spans="2:5" ht="12.5">
      <c r="E223" s="125" t="str">
        <f t="shared" si="30"/>
        <v/>
      </c>
    </row>
    <row r="224" spans="2:5" ht="12.5">
      <c r="E224" s="125" t="str">
        <f t="shared" si="30"/>
        <v/>
      </c>
    </row>
    <row r="225" spans="2:5" ht="12.5">
      <c r="E225" s="125" t="str">
        <f t="shared" si="30"/>
        <v/>
      </c>
    </row>
    <row r="226" spans="2:5" ht="12.5">
      <c r="E226" s="125" t="str">
        <f t="shared" si="30"/>
        <v/>
      </c>
    </row>
    <row r="227" spans="2:5" ht="12.5">
      <c r="E227" s="125" t="str">
        <f t="shared" si="30"/>
        <v/>
      </c>
    </row>
    <row r="228" spans="2:5" ht="12.5"/>
    <row r="229" spans="2:5" ht="13">
      <c r="B229" s="117" t="s">
        <v>243</v>
      </c>
      <c r="C229" s="117"/>
      <c r="D229" s="117"/>
      <c r="E229" s="125">
        <f t="shared" ref="E229:E234" si="31">IFERROR(INDEX($E$31:$J$31, 1, MATCH($E175,$E$24:$J$24,0))*E222, "")</f>
        <v>455.42898283963194</v>
      </c>
    </row>
    <row r="230" spans="2:5" ht="12.5">
      <c r="E230" s="125" t="str">
        <f t="shared" si="31"/>
        <v/>
      </c>
    </row>
    <row r="231" spans="2:5" ht="12.5">
      <c r="E231" s="125" t="str">
        <f t="shared" si="31"/>
        <v/>
      </c>
    </row>
    <row r="232" spans="2:5" ht="12.5">
      <c r="E232" s="125" t="str">
        <f t="shared" si="31"/>
        <v/>
      </c>
    </row>
    <row r="233" spans="2:5" ht="12.5">
      <c r="E233" s="125" t="str">
        <f t="shared" si="31"/>
        <v/>
      </c>
    </row>
    <row r="234" spans="2:5" ht="12.5">
      <c r="E234" s="125" t="str">
        <f t="shared" si="31"/>
        <v/>
      </c>
    </row>
    <row r="235" spans="2:5" ht="12.5"/>
    <row r="236" spans="2:5" ht="13">
      <c r="B236" s="117" t="s">
        <v>224</v>
      </c>
      <c r="C236" s="117"/>
      <c r="D236" s="117"/>
      <c r="E236" s="125">
        <f>SUM(E229:E234)</f>
        <v>455.42898283963194</v>
      </c>
    </row>
    <row r="237" spans="2:5" ht="12.5"/>
    <row r="238" spans="2:5" s="116" customFormat="1" ht="15.5">
      <c r="B238" s="126" t="s">
        <v>225</v>
      </c>
      <c r="C238" s="126"/>
      <c r="D238" s="126"/>
    </row>
    <row r="239" spans="2:5" ht="12.5"/>
    <row r="240" spans="2:5" ht="13">
      <c r="B240" s="117" t="s">
        <v>249</v>
      </c>
      <c r="C240" s="117"/>
      <c r="D240" s="117"/>
      <c r="E240" s="125">
        <f t="shared" ref="E240:E245" si="32">IFERROR($E$218*((1+$E$6*$E$8)/((1+$E$6)^E140)), "")</f>
        <v>0.14881213290085035</v>
      </c>
    </row>
    <row r="241" spans="2:5" ht="12.5">
      <c r="E241" s="130">
        <f t="shared" si="32"/>
        <v>0.14350253895935428</v>
      </c>
    </row>
    <row r="242" spans="2:5" ht="12.5">
      <c r="E242" s="130">
        <f t="shared" si="32"/>
        <v>0.138382390510467</v>
      </c>
    </row>
    <row r="243" spans="2:5" ht="12.5">
      <c r="E243" s="125">
        <f t="shared" si="32"/>
        <v>0.13344492816824205</v>
      </c>
    </row>
    <row r="244" spans="2:5" ht="12.5">
      <c r="E244" s="125">
        <f t="shared" si="32"/>
        <v>0.12868363372058059</v>
      </c>
    </row>
    <row r="245" spans="2:5" ht="12.5">
      <c r="E245" s="125" t="str">
        <f t="shared" si="32"/>
        <v/>
      </c>
    </row>
    <row r="246" spans="2:5" ht="12.5"/>
    <row r="247" spans="2:5" ht="13">
      <c r="B247" s="117" t="s">
        <v>243</v>
      </c>
      <c r="C247" s="117"/>
      <c r="D247" s="117"/>
      <c r="E247" s="125">
        <f t="shared" ref="E247:E252" si="33">IFERROR(INDEX($E$31:$J$31, 1, MATCH($E133,$E$24:$J$24,0))*E240, "")</f>
        <v>228.64582719275074</v>
      </c>
    </row>
    <row r="248" spans="2:5" ht="12.5">
      <c r="E248" s="125">
        <f t="shared" si="33"/>
        <v>283.86322342444697</v>
      </c>
    </row>
    <row r="249" spans="2:5" ht="12.5">
      <c r="E249" s="125">
        <f>IFERROR(INDEX($E$31:$J$31, 1, MATCH($E135,$E$24:$J$24,0))*E242, "")</f>
        <v>317.54953116837135</v>
      </c>
    </row>
    <row r="250" spans="2:5" ht="12.5">
      <c r="E250" s="125">
        <f t="shared" si="33"/>
        <v>-13.001441451156744</v>
      </c>
    </row>
    <row r="251" spans="2:5" ht="12.5">
      <c r="E251" s="125">
        <f t="shared" si="33"/>
        <v>-425.8980866373513</v>
      </c>
    </row>
    <row r="252" spans="2:5" ht="12.5">
      <c r="E252" s="125" t="str">
        <f t="shared" si="33"/>
        <v/>
      </c>
    </row>
    <row r="253" spans="2:5" ht="12.5"/>
    <row r="254" spans="2:5" ht="13">
      <c r="B254" s="117" t="s">
        <v>225</v>
      </c>
      <c r="C254" s="117"/>
      <c r="D254" s="117"/>
      <c r="E254" s="125">
        <f>SUM(E247:E252)</f>
        <v>391.15905369706104</v>
      </c>
    </row>
  </sheetData>
  <mergeCells count="9">
    <mergeCell ref="C9:D9"/>
    <mergeCell ref="C11:D11"/>
    <mergeCell ref="C12:D12"/>
    <mergeCell ref="C3:D3"/>
    <mergeCell ref="C4:D4"/>
    <mergeCell ref="C5:D5"/>
    <mergeCell ref="C6:D6"/>
    <mergeCell ref="C7:D7"/>
    <mergeCell ref="C8:D8"/>
  </mergeCells>
  <pageMargins left="0.75" right="0.75" top="1" bottom="1" header="0.5" footer="0.5"/>
  <pageSetup paperSize="9" scale="43" orientation="portrait" r:id="rId1"/>
  <headerFooter alignWithMargins="0"/>
  <rowBreaks count="2" manualBreakCount="2">
    <brk id="111" max="14" man="1"/>
    <brk id="204"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55"/>
  <sheetViews>
    <sheetView zoomScaleNormal="100" zoomScaleSheetLayoutView="70" workbookViewId="0">
      <pane xSplit="3" ySplit="2" topLeftCell="D29" activePane="bottomRight" state="frozen"/>
      <selection pane="topRight" activeCell="D1" sqref="D1"/>
      <selection pane="bottomLeft" activeCell="A8" sqref="A8"/>
      <selection pane="bottomRight" activeCell="U34" sqref="U34"/>
    </sheetView>
  </sheetViews>
  <sheetFormatPr defaultColWidth="9.08984375" defaultRowHeight="13"/>
  <cols>
    <col min="1" max="1" width="32" style="35" bestFit="1" customWidth="1"/>
    <col min="2" max="2" width="2.81640625" style="33" bestFit="1" customWidth="1"/>
    <col min="3" max="3" width="2.36328125" style="33" bestFit="1" customWidth="1"/>
    <col min="4" max="4" width="4.36328125" style="33" bestFit="1" customWidth="1"/>
    <col min="5" max="11" width="5.08984375" style="33" bestFit="1" customWidth="1"/>
    <col min="12" max="14" width="6.08984375" style="33" bestFit="1" customWidth="1"/>
    <col min="15" max="44" width="6.08984375" style="41" bestFit="1" customWidth="1"/>
    <col min="45" max="16384" width="9.08984375" style="35"/>
  </cols>
  <sheetData>
    <row r="1" spans="1:49" s="28" customFormat="1">
      <c r="A1" s="61" t="s">
        <v>53</v>
      </c>
      <c r="B1" s="38"/>
      <c r="C1" s="39"/>
      <c r="D1" s="39">
        <v>2005</v>
      </c>
      <c r="E1" s="209">
        <f>Inputs!E1</f>
        <v>2006</v>
      </c>
      <c r="F1" s="209">
        <f>Inputs!F1</f>
        <v>2007</v>
      </c>
      <c r="G1" s="209">
        <f>Inputs!G1</f>
        <v>2008</v>
      </c>
      <c r="H1" s="209">
        <f>Inputs!H1</f>
        <v>2009</v>
      </c>
      <c r="I1" s="209">
        <f>Inputs!I1</f>
        <v>2010</v>
      </c>
      <c r="J1" s="209">
        <f>Inputs!J1</f>
        <v>2011</v>
      </c>
      <c r="K1" s="209">
        <f>Inputs!K1</f>
        <v>2012</v>
      </c>
      <c r="L1" s="209">
        <f>Inputs!L1</f>
        <v>2013</v>
      </c>
      <c r="M1" s="209">
        <f>Inputs!M1</f>
        <v>2014</v>
      </c>
      <c r="N1" s="209">
        <f>Inputs!N1</f>
        <v>2015</v>
      </c>
      <c r="O1" s="209">
        <f>Inputs!O1</f>
        <v>2016</v>
      </c>
      <c r="P1" s="209">
        <f>Inputs!P1</f>
        <v>2017</v>
      </c>
      <c r="Q1" s="209">
        <f>Inputs!Q1</f>
        <v>2018</v>
      </c>
      <c r="R1" s="209">
        <f>Inputs!R1</f>
        <v>2019</v>
      </c>
      <c r="S1" s="209">
        <f>Inputs!S1</f>
        <v>2020</v>
      </c>
      <c r="T1" s="209">
        <f>Inputs!T1</f>
        <v>2021</v>
      </c>
      <c r="U1" s="209">
        <f>Inputs!U1</f>
        <v>2022</v>
      </c>
      <c r="V1" s="209">
        <f>Inputs!V1</f>
        <v>2023</v>
      </c>
      <c r="W1" s="209">
        <f>Inputs!W1</f>
        <v>2024</v>
      </c>
      <c r="X1" s="209">
        <f>Inputs!X1</f>
        <v>2025</v>
      </c>
      <c r="Y1" s="209">
        <f>Inputs!Y1</f>
        <v>2026</v>
      </c>
      <c r="Z1" s="209">
        <f>Inputs!Z1</f>
        <v>2027</v>
      </c>
      <c r="AA1" s="209">
        <f>Inputs!AA1</f>
        <v>2028</v>
      </c>
      <c r="AB1" s="209">
        <f>Inputs!AB1</f>
        <v>2029</v>
      </c>
      <c r="AC1" s="209">
        <f>Inputs!AC1</f>
        <v>2030</v>
      </c>
      <c r="AD1" s="209">
        <f>Inputs!AD1</f>
        <v>2031</v>
      </c>
      <c r="AE1" s="209">
        <f>Inputs!AE1</f>
        <v>2032</v>
      </c>
      <c r="AF1" s="209">
        <f>Inputs!AF1</f>
        <v>2033</v>
      </c>
      <c r="AG1" s="209">
        <f>Inputs!AG1</f>
        <v>2034</v>
      </c>
      <c r="AH1" s="209">
        <f>Inputs!AH1</f>
        <v>2035</v>
      </c>
      <c r="AI1" s="209">
        <f>Inputs!AI1</f>
        <v>2036</v>
      </c>
      <c r="AJ1" s="209">
        <f>Inputs!AJ1</f>
        <v>2037</v>
      </c>
      <c r="AK1" s="209">
        <f>Inputs!AK1</f>
        <v>2038</v>
      </c>
      <c r="AL1" s="209">
        <f>Inputs!AL1</f>
        <v>2039</v>
      </c>
      <c r="AM1" s="209">
        <f>Inputs!AM1</f>
        <v>2040</v>
      </c>
      <c r="AN1" s="209">
        <f>Inputs!AN1</f>
        <v>2041</v>
      </c>
      <c r="AO1" s="209">
        <f>Inputs!AO1</f>
        <v>2042</v>
      </c>
      <c r="AP1" s="209">
        <f>Inputs!AP1</f>
        <v>2043</v>
      </c>
      <c r="AQ1" s="209">
        <f>Inputs!AQ1</f>
        <v>2044</v>
      </c>
      <c r="AR1" s="209">
        <f>Inputs!AR1</f>
        <v>2045</v>
      </c>
      <c r="AS1" s="40"/>
      <c r="AT1" s="40"/>
      <c r="AU1" s="40"/>
      <c r="AV1" s="40"/>
      <c r="AW1" s="40"/>
    </row>
    <row r="2" spans="1:49">
      <c r="A2" s="37"/>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49">
      <c r="A3" s="188" t="s">
        <v>283</v>
      </c>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9">
      <c r="A4" s="37"/>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row>
    <row r="5" spans="1:49">
      <c r="A5" s="27" t="s">
        <v>57</v>
      </c>
      <c r="C5" s="21"/>
      <c r="D5" s="21"/>
      <c r="E5" s="21">
        <f>D28</f>
        <v>2627.7539999999999</v>
      </c>
      <c r="F5" s="21">
        <f>E28</f>
        <v>14122.417595244809</v>
      </c>
      <c r="G5" s="21">
        <f t="shared" ref="G5:U5" si="0">F28</f>
        <v>28834.138056969015</v>
      </c>
      <c r="H5" s="21">
        <f t="shared" si="0"/>
        <v>42996.071402474765</v>
      </c>
      <c r="I5" s="21">
        <f t="shared" si="0"/>
        <v>54897.0869821858</v>
      </c>
      <c r="J5" s="21">
        <f t="shared" si="0"/>
        <v>65383.789902065859</v>
      </c>
      <c r="K5" s="21">
        <f t="shared" si="0"/>
        <v>77535.44288204686</v>
      </c>
      <c r="L5" s="21">
        <f t="shared" si="0"/>
        <v>91512.153402134543</v>
      </c>
      <c r="M5" s="21">
        <f t="shared" si="0"/>
        <v>100511.72570609284</v>
      </c>
      <c r="N5" s="21">
        <f t="shared" si="0"/>
        <v>109256.08586179114</v>
      </c>
      <c r="O5" s="21">
        <f t="shared" si="0"/>
        <v>118520.00621135575</v>
      </c>
      <c r="P5" s="21">
        <f t="shared" si="0"/>
        <v>126071.03163304125</v>
      </c>
      <c r="Q5" s="21">
        <f t="shared" si="0"/>
        <v>135073.0640657249</v>
      </c>
      <c r="R5" s="21">
        <f t="shared" si="0"/>
        <v>146501.50726363555</v>
      </c>
      <c r="S5" s="21">
        <f t="shared" si="0"/>
        <v>157501.19270059562</v>
      </c>
      <c r="T5" s="21">
        <f t="shared" si="0"/>
        <v>168993.72193628378</v>
      </c>
      <c r="U5" s="21">
        <f t="shared" si="0"/>
        <v>184038.47727192746</v>
      </c>
    </row>
    <row r="6" spans="1:49">
      <c r="A6" s="27" t="s">
        <v>56</v>
      </c>
      <c r="C6" s="22"/>
      <c r="D6" s="22"/>
      <c r="E6" s="22"/>
      <c r="F6" s="22"/>
      <c r="G6" s="22"/>
      <c r="H6" s="22"/>
      <c r="I6" s="22"/>
      <c r="J6" s="22"/>
      <c r="K6" s="22"/>
      <c r="L6" s="22"/>
      <c r="M6" s="22">
        <f>'DAV Inputs'!M54</f>
        <v>3855.2710135588914</v>
      </c>
      <c r="N6" s="22">
        <f>'DAV Inputs'!N54</f>
        <v>1409.4092158707663</v>
      </c>
      <c r="O6" s="22">
        <f>'DAV Inputs'!O54</f>
        <v>-638.30330575291919</v>
      </c>
      <c r="P6" s="22">
        <f>'DAV Inputs'!P54</f>
        <v>-3368.6785363643503</v>
      </c>
      <c r="Q6" s="22">
        <f>'DAV Inputs'!Q54</f>
        <v>-1759.1415704986139</v>
      </c>
      <c r="R6" s="22">
        <f>'DAV Inputs'!R54</f>
        <v>-2264.7767514323568</v>
      </c>
      <c r="S6" s="22">
        <f>'DAV Inputs'!S54</f>
        <v>-2627.2808504718123</v>
      </c>
      <c r="T6" s="22">
        <f>'DAV Inputs'!T54</f>
        <v>111.54889832300978</v>
      </c>
      <c r="U6" s="22">
        <f>'DAV Inputs'!U54</f>
        <v>3789.2933375704197</v>
      </c>
    </row>
    <row r="7" spans="1:49">
      <c r="A7" s="27" t="s">
        <v>56</v>
      </c>
      <c r="C7" s="22"/>
      <c r="D7" s="22"/>
      <c r="E7" s="22"/>
      <c r="F7" s="22"/>
      <c r="G7" s="22"/>
      <c r="H7" s="22"/>
      <c r="I7" s="22"/>
      <c r="J7" s="22"/>
      <c r="K7" s="22"/>
      <c r="L7" s="22"/>
      <c r="M7" s="22"/>
      <c r="N7" s="22"/>
      <c r="O7" s="22">
        <f>+'CRI GD14'!G44*'DAV Inputs'!B45/'DAV Inputs'!B27</f>
        <v>-1356.850621639567</v>
      </c>
      <c r="P7" s="22"/>
      <c r="Q7" s="22"/>
      <c r="R7" s="22"/>
      <c r="S7" s="22"/>
      <c r="T7" s="22"/>
      <c r="U7" s="22">
        <f>+'CRI GD17'!K44*'DAV Inputs'!B45/'DAV Inputs'!B27</f>
        <v>691.08336486641031</v>
      </c>
    </row>
    <row r="8" spans="1:49">
      <c r="A8" s="27" t="s">
        <v>17</v>
      </c>
      <c r="C8" s="22"/>
      <c r="D8" s="22"/>
      <c r="E8" s="207">
        <f>SUM(E5:E7)</f>
        <v>2627.7539999999999</v>
      </c>
      <c r="F8" s="207">
        <f t="shared" ref="F8:U8" si="1">SUM(F5:F7)</f>
        <v>14122.417595244809</v>
      </c>
      <c r="G8" s="207">
        <f t="shared" si="1"/>
        <v>28834.138056969015</v>
      </c>
      <c r="H8" s="207">
        <f t="shared" si="1"/>
        <v>42996.071402474765</v>
      </c>
      <c r="I8" s="207">
        <f t="shared" si="1"/>
        <v>54897.0869821858</v>
      </c>
      <c r="J8" s="207">
        <f t="shared" si="1"/>
        <v>65383.789902065859</v>
      </c>
      <c r="K8" s="207">
        <f t="shared" si="1"/>
        <v>77535.44288204686</v>
      </c>
      <c r="L8" s="207">
        <f t="shared" si="1"/>
        <v>91512.153402134543</v>
      </c>
      <c r="M8" s="207">
        <f t="shared" si="1"/>
        <v>104366.99671965172</v>
      </c>
      <c r="N8" s="207">
        <f t="shared" si="1"/>
        <v>110665.49507766191</v>
      </c>
      <c r="O8" s="207">
        <f t="shared" si="1"/>
        <v>116524.85228396326</v>
      </c>
      <c r="P8" s="207">
        <f t="shared" si="1"/>
        <v>122702.3530966769</v>
      </c>
      <c r="Q8" s="207">
        <f t="shared" si="1"/>
        <v>133313.92249522629</v>
      </c>
      <c r="R8" s="207">
        <f t="shared" si="1"/>
        <v>144236.73051220318</v>
      </c>
      <c r="S8" s="207">
        <f t="shared" si="1"/>
        <v>154873.91185012381</v>
      </c>
      <c r="T8" s="207">
        <f t="shared" si="1"/>
        <v>169105.27083460678</v>
      </c>
      <c r="U8" s="207">
        <f t="shared" si="1"/>
        <v>188518.85397436429</v>
      </c>
    </row>
    <row r="9" spans="1:49">
      <c r="A9" s="37"/>
      <c r="C9" s="22"/>
      <c r="D9" s="22"/>
      <c r="E9" s="22"/>
      <c r="F9" s="22"/>
      <c r="G9" s="22"/>
      <c r="H9" s="22"/>
      <c r="I9" s="22"/>
      <c r="J9" s="22"/>
      <c r="K9" s="22"/>
      <c r="L9" s="22"/>
      <c r="M9" s="22"/>
      <c r="N9" s="22"/>
      <c r="O9" s="44"/>
      <c r="P9" s="45"/>
      <c r="Q9" s="45"/>
      <c r="R9" s="45"/>
      <c r="S9" s="45"/>
      <c r="T9" s="45"/>
      <c r="U9" s="45"/>
    </row>
    <row r="10" spans="1:49">
      <c r="A10" s="29" t="s">
        <v>129</v>
      </c>
      <c r="B10" s="36"/>
      <c r="E10" s="33">
        <v>10935.721033239943</v>
      </c>
      <c r="F10" s="33">
        <v>14509.742448753132</v>
      </c>
      <c r="G10" s="33">
        <v>12614.327610671904</v>
      </c>
      <c r="H10" s="33">
        <v>12676.037465623031</v>
      </c>
      <c r="I10" s="33">
        <v>11562.195421637156</v>
      </c>
      <c r="J10" s="33">
        <v>13424.384951899361</v>
      </c>
      <c r="K10" s="33">
        <v>15360.720465620854</v>
      </c>
      <c r="L10" s="33">
        <v>10844.045983633243</v>
      </c>
      <c r="M10" s="33">
        <f>+'DAV Inputs'!M46</f>
        <v>7231.6027682982922</v>
      </c>
      <c r="N10" s="33">
        <f>+'DAV Inputs'!N46</f>
        <v>10790.025915707825</v>
      </c>
      <c r="O10" s="33">
        <f>+'DAV Inputs'!O46</f>
        <v>12816.593334427425</v>
      </c>
      <c r="P10" s="33">
        <f>+'DAV Inputs'!P46</f>
        <v>15278.070087669961</v>
      </c>
      <c r="Q10" s="33">
        <f>+'DAV Inputs'!Q46</f>
        <v>17047.302324190721</v>
      </c>
      <c r="R10" s="33">
        <f>+'DAV Inputs'!R46</f>
        <v>17326.032756900746</v>
      </c>
      <c r="S10" s="33">
        <f>+'DAV Inputs'!S46</f>
        <v>18746.976537124978</v>
      </c>
      <c r="T10" s="33">
        <f>+'DAV Inputs'!T46</f>
        <v>20211.328930585958</v>
      </c>
      <c r="U10" s="33">
        <f>+'DAV Inputs'!U46</f>
        <v>19468.044460120946</v>
      </c>
    </row>
    <row r="11" spans="1:49">
      <c r="A11" s="29" t="s">
        <v>130</v>
      </c>
      <c r="B11" s="36"/>
      <c r="E11" s="33">
        <v>555.34908626157392</v>
      </c>
      <c r="F11" s="33">
        <v>1038.7870804009583</v>
      </c>
      <c r="G11" s="33">
        <v>2201.8993491767847</v>
      </c>
      <c r="H11" s="33">
        <v>1126.6533649121159</v>
      </c>
      <c r="I11" s="33">
        <v>1209.9226780680633</v>
      </c>
      <c r="J11" s="33">
        <v>1570.1066158746826</v>
      </c>
      <c r="K11" s="33">
        <v>1706.043308373901</v>
      </c>
      <c r="L11" s="33">
        <v>1444.7424807921855</v>
      </c>
      <c r="M11" s="33">
        <f>+'DAV Inputs'!M47</f>
        <v>1239.9649129392319</v>
      </c>
      <c r="N11" s="33">
        <f>+'DAV Inputs'!N47</f>
        <v>1150.2207023807687</v>
      </c>
      <c r="O11" s="33">
        <f>+'DAV Inputs'!O47</f>
        <v>1219.7325891698536</v>
      </c>
      <c r="P11" s="33">
        <f>+'DAV Inputs'!P47</f>
        <v>1454.0146486488875</v>
      </c>
      <c r="Q11" s="33">
        <f>+'DAV Inputs'!Q47</f>
        <v>1508.4271207644231</v>
      </c>
      <c r="R11" s="33">
        <f>+'DAV Inputs'!R47</f>
        <v>1786.7070289204942</v>
      </c>
      <c r="S11" s="33">
        <f>+'DAV Inputs'!S47</f>
        <v>1744.3782871221335</v>
      </c>
      <c r="T11" s="33">
        <f>+'DAV Inputs'!T47</f>
        <v>1709.1083348227944</v>
      </c>
      <c r="U11" s="33">
        <f>+'DAV Inputs'!U47</f>
        <v>1697.7707545040564</v>
      </c>
    </row>
    <row r="12" spans="1:49">
      <c r="A12" s="29" t="s">
        <v>131</v>
      </c>
      <c r="B12" s="36"/>
      <c r="E12" s="33">
        <v>474.62952998965875</v>
      </c>
      <c r="F12" s="33">
        <v>82.778775077559459</v>
      </c>
      <c r="G12" s="33">
        <v>909.30713547052744</v>
      </c>
      <c r="H12" s="33">
        <v>67.420824946751651</v>
      </c>
      <c r="I12" s="33">
        <v>66.746616697284139</v>
      </c>
      <c r="J12" s="33">
        <v>-181.64912384922843</v>
      </c>
      <c r="K12" s="33">
        <v>65.418359025008186</v>
      </c>
      <c r="L12" s="33">
        <v>64.764175434758101</v>
      </c>
      <c r="M12" s="33">
        <f>+'DAV Inputs'!M48</f>
        <v>172.8730286268223</v>
      </c>
      <c r="N12" s="33">
        <f>+'DAV Inputs'!N48</f>
        <v>56.760197775030903</v>
      </c>
      <c r="O12" s="33">
        <f>+'DAV Inputs'!O48</f>
        <v>37.437577255871453</v>
      </c>
      <c r="P12" s="33">
        <f>+'DAV Inputs'!P48</f>
        <v>662.41450879044044</v>
      </c>
      <c r="Q12" s="33">
        <f>+'DAV Inputs'!Q48</f>
        <v>145.15976283257845</v>
      </c>
      <c r="R12" s="33">
        <f>+'DAV Inputs'!R48</f>
        <v>142.60907318325579</v>
      </c>
      <c r="S12" s="33">
        <f>+'DAV Inputs'!S48</f>
        <v>141.67702622470014</v>
      </c>
      <c r="T12" s="33">
        <f>+'DAV Inputs'!T48</f>
        <v>130.10524615100277</v>
      </c>
      <c r="U12" s="33">
        <f>+'DAV Inputs'!U48</f>
        <v>129.25492017762414</v>
      </c>
    </row>
    <row r="13" spans="1:49">
      <c r="A13" s="27"/>
      <c r="C13" s="22"/>
      <c r="D13" s="22"/>
      <c r="E13" s="207">
        <f t="shared" ref="E13:U13" si="2">SUM(E10:E12)</f>
        <v>11965.699649491176</v>
      </c>
      <c r="F13" s="207">
        <f t="shared" si="2"/>
        <v>15631.308304231648</v>
      </c>
      <c r="G13" s="207">
        <f t="shared" si="2"/>
        <v>15725.534095319217</v>
      </c>
      <c r="H13" s="207">
        <f t="shared" si="2"/>
        <v>13870.111655481898</v>
      </c>
      <c r="I13" s="207">
        <f t="shared" si="2"/>
        <v>12838.864716402504</v>
      </c>
      <c r="J13" s="207">
        <f t="shared" si="2"/>
        <v>14812.842443924814</v>
      </c>
      <c r="K13" s="207">
        <f t="shared" si="2"/>
        <v>17132.182133019764</v>
      </c>
      <c r="L13" s="207">
        <f t="shared" si="2"/>
        <v>12353.552639860187</v>
      </c>
      <c r="M13" s="207">
        <f t="shared" ref="M13:O13" si="3">SUM(M10:M12)</f>
        <v>8644.440709864346</v>
      </c>
      <c r="N13" s="207">
        <f t="shared" si="3"/>
        <v>11997.006815863624</v>
      </c>
      <c r="O13" s="207">
        <f t="shared" si="3"/>
        <v>14073.763500853149</v>
      </c>
      <c r="P13" s="207">
        <f t="shared" si="2"/>
        <v>17394.499245109288</v>
      </c>
      <c r="Q13" s="207">
        <f t="shared" si="2"/>
        <v>18700.889207787724</v>
      </c>
      <c r="R13" s="207">
        <f t="shared" si="2"/>
        <v>19255.348859004494</v>
      </c>
      <c r="S13" s="207">
        <f t="shared" si="2"/>
        <v>20633.031850471813</v>
      </c>
      <c r="T13" s="207">
        <f t="shared" si="2"/>
        <v>22050.542511559757</v>
      </c>
      <c r="U13" s="207">
        <f t="shared" si="2"/>
        <v>21295.070134802627</v>
      </c>
    </row>
    <row r="14" spans="1:49">
      <c r="A14" s="29"/>
      <c r="B14" s="36"/>
      <c r="P14" s="43"/>
      <c r="Q14" s="43"/>
      <c r="R14" s="43"/>
      <c r="S14" s="43"/>
      <c r="T14" s="43"/>
      <c r="U14" s="43"/>
    </row>
    <row r="15" spans="1:49">
      <c r="A15" s="29" t="s">
        <v>132</v>
      </c>
      <c r="B15" s="36"/>
      <c r="C15" s="36">
        <v>40</v>
      </c>
      <c r="D15" s="36"/>
      <c r="E15" s="43">
        <f t="shared" ref="E15:U15" si="4">E10/$C15</f>
        <v>273.39302583099857</v>
      </c>
      <c r="F15" s="43">
        <f t="shared" si="4"/>
        <v>362.74356121882829</v>
      </c>
      <c r="G15" s="43">
        <f t="shared" si="4"/>
        <v>315.35819026679758</v>
      </c>
      <c r="H15" s="43">
        <f t="shared" si="4"/>
        <v>316.90093664057576</v>
      </c>
      <c r="I15" s="43">
        <f t="shared" si="4"/>
        <v>289.05488554092892</v>
      </c>
      <c r="J15" s="43">
        <f t="shared" si="4"/>
        <v>335.60962379748401</v>
      </c>
      <c r="K15" s="43">
        <f t="shared" si="4"/>
        <v>384.01801164052137</v>
      </c>
      <c r="L15" s="43">
        <f t="shared" si="4"/>
        <v>271.10114959083108</v>
      </c>
      <c r="M15" s="43">
        <f t="shared" si="4"/>
        <v>180.79006920745729</v>
      </c>
      <c r="N15" s="43">
        <f t="shared" si="4"/>
        <v>269.75064789269561</v>
      </c>
      <c r="O15" s="43">
        <f t="shared" si="4"/>
        <v>320.41483336068563</v>
      </c>
      <c r="P15" s="43">
        <f t="shared" si="4"/>
        <v>381.95175219174905</v>
      </c>
      <c r="Q15" s="43">
        <f t="shared" si="4"/>
        <v>426.18255810476802</v>
      </c>
      <c r="R15" s="43">
        <f t="shared" si="4"/>
        <v>433.15081892251862</v>
      </c>
      <c r="S15" s="43">
        <f t="shared" si="4"/>
        <v>468.67441342812447</v>
      </c>
      <c r="T15" s="43">
        <f t="shared" si="4"/>
        <v>505.28322326464894</v>
      </c>
      <c r="U15" s="43">
        <f t="shared" si="4"/>
        <v>486.70111150302364</v>
      </c>
    </row>
    <row r="16" spans="1:49">
      <c r="A16" s="29" t="s">
        <v>133</v>
      </c>
      <c r="B16" s="36"/>
      <c r="C16" s="36">
        <v>15</v>
      </c>
      <c r="D16" s="36"/>
      <c r="E16" s="43">
        <f t="shared" ref="E16:U16" si="5">E11/$C16</f>
        <v>37.023272417438264</v>
      </c>
      <c r="F16" s="43">
        <f t="shared" si="5"/>
        <v>69.252472026730558</v>
      </c>
      <c r="G16" s="43">
        <f t="shared" si="5"/>
        <v>146.79328994511897</v>
      </c>
      <c r="H16" s="43">
        <f t="shared" si="5"/>
        <v>75.110224327474398</v>
      </c>
      <c r="I16" s="43">
        <f t="shared" si="5"/>
        <v>80.661511871204226</v>
      </c>
      <c r="J16" s="43">
        <f t="shared" si="5"/>
        <v>104.67377439164551</v>
      </c>
      <c r="K16" s="43">
        <f t="shared" si="5"/>
        <v>113.73622055826007</v>
      </c>
      <c r="L16" s="43">
        <f t="shared" si="5"/>
        <v>96.316165386145698</v>
      </c>
      <c r="M16" s="43">
        <f t="shared" si="5"/>
        <v>82.664327529282133</v>
      </c>
      <c r="N16" s="43">
        <f t="shared" si="5"/>
        <v>76.681380158717914</v>
      </c>
      <c r="O16" s="43">
        <f t="shared" si="5"/>
        <v>81.315505944656906</v>
      </c>
      <c r="P16" s="43">
        <f t="shared" si="5"/>
        <v>96.93430990992583</v>
      </c>
      <c r="Q16" s="43">
        <f t="shared" si="5"/>
        <v>100.56180805096155</v>
      </c>
      <c r="R16" s="43">
        <f t="shared" si="5"/>
        <v>119.11380192803294</v>
      </c>
      <c r="S16" s="43">
        <f t="shared" si="5"/>
        <v>116.29188580814224</v>
      </c>
      <c r="T16" s="43">
        <f t="shared" si="5"/>
        <v>113.94055565485296</v>
      </c>
      <c r="U16" s="43">
        <f t="shared" si="5"/>
        <v>113.18471696693709</v>
      </c>
    </row>
    <row r="17" spans="1:44">
      <c r="A17" s="29" t="s">
        <v>134</v>
      </c>
      <c r="B17" s="36"/>
      <c r="C17" s="36">
        <v>5</v>
      </c>
      <c r="D17" s="36"/>
      <c r="E17" s="43">
        <f>E12/$C17</f>
        <v>94.92590599793175</v>
      </c>
      <c r="F17" s="43">
        <f>F12/$C17</f>
        <v>16.555755015511892</v>
      </c>
      <c r="G17" s="43">
        <f>G12/$C17</f>
        <v>181.86142709410549</v>
      </c>
      <c r="H17" s="43">
        <f>H12/$C17</f>
        <v>13.484164989350329</v>
      </c>
      <c r="I17" s="43">
        <f>I12/$C17</f>
        <v>13.349323339456827</v>
      </c>
      <c r="J17" s="43">
        <f t="shared" ref="J17:K17" si="6">J12/$C17</f>
        <v>-36.329824769845686</v>
      </c>
      <c r="K17" s="43">
        <f t="shared" si="6"/>
        <v>13.083671805001638</v>
      </c>
      <c r="L17" s="43">
        <f t="shared" ref="L17:U17" si="7">L12/$C17</f>
        <v>12.95283508695162</v>
      </c>
      <c r="M17" s="43">
        <f t="shared" si="7"/>
        <v>34.574605725364464</v>
      </c>
      <c r="N17" s="43">
        <f t="shared" si="7"/>
        <v>11.352039555006181</v>
      </c>
      <c r="O17" s="43">
        <f t="shared" si="7"/>
        <v>7.487515451174291</v>
      </c>
      <c r="P17" s="43">
        <f t="shared" si="7"/>
        <v>132.48290175808808</v>
      </c>
      <c r="Q17" s="43">
        <f t="shared" si="7"/>
        <v>29.031952566515692</v>
      </c>
      <c r="R17" s="43">
        <f t="shared" si="7"/>
        <v>28.521814636651158</v>
      </c>
      <c r="S17" s="43">
        <f t="shared" si="7"/>
        <v>28.335405244940027</v>
      </c>
      <c r="T17" s="43">
        <f t="shared" si="7"/>
        <v>26.021049230200553</v>
      </c>
      <c r="U17" s="43">
        <f t="shared" si="7"/>
        <v>25.850984035524828</v>
      </c>
    </row>
    <row r="18" spans="1:44">
      <c r="A18" s="29" t="s">
        <v>180</v>
      </c>
      <c r="B18" s="36"/>
      <c r="C18" s="36">
        <v>33</v>
      </c>
      <c r="D18" s="36"/>
      <c r="E18" s="43">
        <f t="shared" ref="E18:T18" si="8">(E6+E7)/$C$18</f>
        <v>0</v>
      </c>
      <c r="F18" s="43">
        <f t="shared" si="8"/>
        <v>0</v>
      </c>
      <c r="G18" s="43">
        <f t="shared" si="8"/>
        <v>0</v>
      </c>
      <c r="H18" s="43">
        <f t="shared" si="8"/>
        <v>0</v>
      </c>
      <c r="I18" s="43">
        <f t="shared" si="8"/>
        <v>0</v>
      </c>
      <c r="J18" s="43">
        <f t="shared" si="8"/>
        <v>0</v>
      </c>
      <c r="K18" s="43">
        <f t="shared" si="8"/>
        <v>0</v>
      </c>
      <c r="L18" s="43">
        <f t="shared" si="8"/>
        <v>0</v>
      </c>
      <c r="M18" s="43">
        <f t="shared" si="8"/>
        <v>116.82639435026944</v>
      </c>
      <c r="N18" s="43">
        <f t="shared" si="8"/>
        <v>42.709370177902009</v>
      </c>
      <c r="O18" s="43">
        <f t="shared" si="8"/>
        <v>-60.459209920984428</v>
      </c>
      <c r="P18" s="43">
        <f t="shared" si="8"/>
        <v>-102.08116776861668</v>
      </c>
      <c r="Q18" s="43">
        <f t="shared" si="8"/>
        <v>-53.307320318139816</v>
      </c>
      <c r="R18" s="43">
        <f t="shared" si="8"/>
        <v>-68.62959852825324</v>
      </c>
      <c r="S18" s="43">
        <f t="shared" si="8"/>
        <v>-79.614571226418548</v>
      </c>
      <c r="T18" s="43">
        <f t="shared" si="8"/>
        <v>3.3802696461518114</v>
      </c>
      <c r="U18" s="43">
        <f>(U6+U7)/$C$18</f>
        <v>135.76899098293424</v>
      </c>
    </row>
    <row r="19" spans="1:44">
      <c r="A19" s="27"/>
      <c r="C19" s="22"/>
      <c r="D19" s="22"/>
      <c r="E19" s="207">
        <f t="shared" ref="E19:U19" si="9">SUM(E15:E18)</f>
        <v>405.34220424636857</v>
      </c>
      <c r="F19" s="207">
        <f t="shared" si="9"/>
        <v>448.55178826107078</v>
      </c>
      <c r="G19" s="207">
        <f t="shared" si="9"/>
        <v>644.01290730602204</v>
      </c>
      <c r="H19" s="207">
        <f t="shared" si="9"/>
        <v>405.4953259574005</v>
      </c>
      <c r="I19" s="207">
        <f t="shared" si="9"/>
        <v>383.06572075158994</v>
      </c>
      <c r="J19" s="207">
        <f t="shared" si="9"/>
        <v>403.95357341928383</v>
      </c>
      <c r="K19" s="207">
        <f t="shared" si="9"/>
        <v>510.83790400378308</v>
      </c>
      <c r="L19" s="207">
        <f t="shared" si="9"/>
        <v>380.37015006392841</v>
      </c>
      <c r="M19" s="207">
        <f t="shared" si="9"/>
        <v>414.85539681237333</v>
      </c>
      <c r="N19" s="207">
        <f t="shared" si="9"/>
        <v>400.49343778432171</v>
      </c>
      <c r="O19" s="207">
        <f t="shared" si="9"/>
        <v>348.75864483553244</v>
      </c>
      <c r="P19" s="207">
        <f t="shared" si="9"/>
        <v>509.28779609114628</v>
      </c>
      <c r="Q19" s="207">
        <f t="shared" si="9"/>
        <v>502.46899840410543</v>
      </c>
      <c r="R19" s="207">
        <f t="shared" si="9"/>
        <v>512.15683695894938</v>
      </c>
      <c r="S19" s="207">
        <f t="shared" si="9"/>
        <v>533.68713325478814</v>
      </c>
      <c r="T19" s="207">
        <f t="shared" si="9"/>
        <v>648.62509779585423</v>
      </c>
      <c r="U19" s="207">
        <f t="shared" si="9"/>
        <v>761.50580348841982</v>
      </c>
    </row>
    <row r="20" spans="1:44">
      <c r="A20" s="37"/>
      <c r="O20" s="43"/>
      <c r="P20" s="42"/>
      <c r="Q20" s="42"/>
      <c r="R20" s="42"/>
      <c r="S20" s="42"/>
      <c r="T20" s="42"/>
      <c r="U20" s="42"/>
    </row>
    <row r="21" spans="1:44">
      <c r="A21" s="27" t="s">
        <v>138</v>
      </c>
      <c r="B21" s="36"/>
      <c r="C21" s="22">
        <v>40</v>
      </c>
      <c r="D21" s="22"/>
      <c r="E21" s="43">
        <f t="shared" ref="E21:U21" si="10">$E$5/$C$21</f>
        <v>65.693849999999998</v>
      </c>
      <c r="F21" s="43">
        <f t="shared" si="10"/>
        <v>65.693849999999998</v>
      </c>
      <c r="G21" s="43">
        <f t="shared" si="10"/>
        <v>65.693849999999998</v>
      </c>
      <c r="H21" s="43">
        <f t="shared" si="10"/>
        <v>65.693849999999998</v>
      </c>
      <c r="I21" s="43">
        <f t="shared" si="10"/>
        <v>65.693849999999998</v>
      </c>
      <c r="J21" s="43">
        <f t="shared" si="10"/>
        <v>65.693849999999998</v>
      </c>
      <c r="K21" s="43">
        <f t="shared" si="10"/>
        <v>65.693849999999998</v>
      </c>
      <c r="L21" s="43">
        <f t="shared" si="10"/>
        <v>65.693849999999998</v>
      </c>
      <c r="M21" s="43">
        <f t="shared" si="10"/>
        <v>65.693849999999998</v>
      </c>
      <c r="N21" s="43">
        <f t="shared" si="10"/>
        <v>65.693849999999998</v>
      </c>
      <c r="O21" s="43">
        <f t="shared" si="10"/>
        <v>65.693849999999998</v>
      </c>
      <c r="P21" s="43">
        <f t="shared" si="10"/>
        <v>65.693849999999998</v>
      </c>
      <c r="Q21" s="43">
        <f t="shared" si="10"/>
        <v>65.693849999999998</v>
      </c>
      <c r="R21" s="43">
        <f t="shared" si="10"/>
        <v>65.693849999999998</v>
      </c>
      <c r="S21" s="43">
        <f t="shared" si="10"/>
        <v>65.693849999999998</v>
      </c>
      <c r="T21" s="43">
        <f t="shared" si="10"/>
        <v>65.693849999999998</v>
      </c>
      <c r="U21" s="43">
        <f t="shared" si="10"/>
        <v>65.693849999999998</v>
      </c>
    </row>
    <row r="22" spans="1:44">
      <c r="A22" s="29" t="s">
        <v>135</v>
      </c>
      <c r="B22" s="22"/>
      <c r="C22" s="22"/>
      <c r="D22" s="22"/>
      <c r="E22" s="186">
        <f>E15</f>
        <v>273.39302583099857</v>
      </c>
      <c r="F22" s="186">
        <f>SUM($E$15:F$15)</f>
        <v>636.13658704982686</v>
      </c>
      <c r="G22" s="186">
        <f>SUM($E$15:G$15)</f>
        <v>951.49477731662444</v>
      </c>
      <c r="H22" s="186">
        <f>SUM($E$15:H$15)</f>
        <v>1268.3957139572003</v>
      </c>
      <c r="I22" s="186">
        <f>SUM($E$15:I$15)</f>
        <v>1557.4505994981291</v>
      </c>
      <c r="J22" s="186">
        <f>SUM($E$15:J$15)</f>
        <v>1893.060223295613</v>
      </c>
      <c r="K22" s="186">
        <f>SUM($E$15:K$15)</f>
        <v>2277.0782349361343</v>
      </c>
      <c r="L22" s="186">
        <f>SUM($E$15:L$15)</f>
        <v>2548.1793845269654</v>
      </c>
      <c r="M22" s="186">
        <f>SUM($E$15:M$15)</f>
        <v>2728.9694537344226</v>
      </c>
      <c r="N22" s="186">
        <f>SUM($E$15:N$15)</f>
        <v>2998.7201016271183</v>
      </c>
      <c r="O22" s="186">
        <f>SUM($E$15:O$15)</f>
        <v>3319.1349349878037</v>
      </c>
      <c r="P22" s="186">
        <f>SUM($E$15:P$15)</f>
        <v>3701.0866871795529</v>
      </c>
      <c r="Q22" s="186">
        <f>SUM($E$15:Q$15)</f>
        <v>4127.2692452843212</v>
      </c>
      <c r="R22" s="186">
        <f>SUM($E$15:R$15)</f>
        <v>4560.4200642068399</v>
      </c>
      <c r="S22" s="186">
        <f>SUM($E$15:S$15)</f>
        <v>5029.0944776349643</v>
      </c>
      <c r="T22" s="186">
        <f>SUM($E$15:T$15)</f>
        <v>5534.377700899613</v>
      </c>
      <c r="U22" s="186">
        <f>SUM($E$15:U$15)</f>
        <v>6021.0788124026367</v>
      </c>
    </row>
    <row r="23" spans="1:44">
      <c r="A23" s="29" t="s">
        <v>136</v>
      </c>
      <c r="B23" s="22"/>
      <c r="C23" s="22"/>
      <c r="D23" s="22"/>
      <c r="E23" s="186">
        <f>E16</f>
        <v>37.023272417438264</v>
      </c>
      <c r="F23" s="186">
        <f>SUM($E$16:F$16)</f>
        <v>106.27574444416882</v>
      </c>
      <c r="G23" s="186">
        <f>SUM($E$16:G$16)</f>
        <v>253.06903438928779</v>
      </c>
      <c r="H23" s="186">
        <f>SUM($E$16:H$16)</f>
        <v>328.17925871676221</v>
      </c>
      <c r="I23" s="186">
        <f>SUM($E$16:I$16)</f>
        <v>408.8407705879664</v>
      </c>
      <c r="J23" s="186">
        <f>SUM($E$16:J$16)</f>
        <v>513.51454497961186</v>
      </c>
      <c r="K23" s="186">
        <f>SUM($E$16:K$16)</f>
        <v>627.25076553787198</v>
      </c>
      <c r="L23" s="186">
        <f>SUM($E$16:L$16)</f>
        <v>723.5669309240177</v>
      </c>
      <c r="M23" s="186">
        <f>SUM($E$16:M$16)</f>
        <v>806.2312584532998</v>
      </c>
      <c r="N23" s="186">
        <f>SUM($E$16:N$16)</f>
        <v>882.91263861201776</v>
      </c>
      <c r="O23" s="186">
        <f>SUM($E$16:O$16)</f>
        <v>964.22814455667469</v>
      </c>
      <c r="P23" s="186">
        <f>SUM($E$16:P$16)</f>
        <v>1061.1624544666006</v>
      </c>
      <c r="Q23" s="186">
        <f>SUM($E$16:Q$16)</f>
        <v>1161.7242625175622</v>
      </c>
      <c r="R23" s="186">
        <f>SUM($E$16:R$16)</f>
        <v>1280.8380644455951</v>
      </c>
      <c r="S23" s="186">
        <f>SUM($E$16:S$16)</f>
        <v>1397.1299502537374</v>
      </c>
      <c r="T23" s="186">
        <f>SUM(F$16:T$16)</f>
        <v>1474.0472334911519</v>
      </c>
      <c r="U23" s="186">
        <f t="shared" ref="U23" si="11">SUM(G$16:U$16)</f>
        <v>1517.9794784313583</v>
      </c>
    </row>
    <row r="24" spans="1:44">
      <c r="A24" s="29" t="s">
        <v>137</v>
      </c>
      <c r="B24" s="22"/>
      <c r="C24" s="22"/>
      <c r="D24" s="22"/>
      <c r="E24" s="186">
        <f>E17</f>
        <v>94.92590599793175</v>
      </c>
      <c r="F24" s="186">
        <f>SUM($E$17:F$17)</f>
        <v>111.48166101344364</v>
      </c>
      <c r="G24" s="186">
        <f>SUM($E$17:G$17)</f>
        <v>293.34308810754914</v>
      </c>
      <c r="H24" s="186">
        <f>SUM($E$17:H$17)</f>
        <v>306.82725309689948</v>
      </c>
      <c r="I24" s="186">
        <f>SUM($E$17:I$17)</f>
        <v>320.1765764363563</v>
      </c>
      <c r="J24" s="186">
        <f t="shared" ref="J24:O24" si="12">SUM(F$17:J$17)</f>
        <v>188.92084566857883</v>
      </c>
      <c r="K24" s="186">
        <f t="shared" si="12"/>
        <v>185.44876245806859</v>
      </c>
      <c r="L24" s="186">
        <f t="shared" si="12"/>
        <v>16.540170450914729</v>
      </c>
      <c r="M24" s="186">
        <f t="shared" si="12"/>
        <v>37.63061118692886</v>
      </c>
      <c r="N24" s="186">
        <f t="shared" si="12"/>
        <v>35.633327402478216</v>
      </c>
      <c r="O24" s="186">
        <f t="shared" si="12"/>
        <v>79.450667623498191</v>
      </c>
      <c r="P24" s="186">
        <f t="shared" ref="P24" si="13">SUM(L$17:P$17)</f>
        <v>198.84989757658462</v>
      </c>
      <c r="Q24" s="186">
        <f>SUM(M$17:Q$17)</f>
        <v>214.9290150561487</v>
      </c>
      <c r="R24" s="186">
        <f t="shared" ref="R24" si="14">SUM(N$17:R$17)</f>
        <v>208.87622396743538</v>
      </c>
      <c r="S24" s="186">
        <f t="shared" ref="S24" si="15">SUM(O$17:S$17)</f>
        <v>225.85958965736924</v>
      </c>
      <c r="T24" s="186">
        <f>SUM(P$17:T$17)</f>
        <v>244.39312343639551</v>
      </c>
      <c r="U24" s="186">
        <f t="shared" ref="U24" si="16">SUM(Q$17:U$17)</f>
        <v>137.76120571383225</v>
      </c>
    </row>
    <row r="25" spans="1:44">
      <c r="A25" s="29" t="s">
        <v>180</v>
      </c>
      <c r="B25" s="22"/>
      <c r="C25" s="22"/>
      <c r="D25" s="22"/>
      <c r="E25" s="186"/>
      <c r="F25" s="186"/>
      <c r="G25" s="186"/>
      <c r="H25" s="186"/>
      <c r="I25" s="186"/>
      <c r="J25" s="186"/>
      <c r="K25" s="186"/>
      <c r="L25" s="186"/>
      <c r="M25" s="186">
        <f>SUM($M$18:M18)</f>
        <v>116.82639435026944</v>
      </c>
      <c r="N25" s="186">
        <f>SUM($M$18:N18)</f>
        <v>159.53576452817146</v>
      </c>
      <c r="O25" s="186">
        <f>SUM($M$18:O18)</f>
        <v>99.076554607187035</v>
      </c>
      <c r="P25" s="186">
        <f>SUM($M$18:P18)</f>
        <v>-3.0046131614296456</v>
      </c>
      <c r="Q25" s="186">
        <f>SUM($M$18:Q18)</f>
        <v>-56.311933479569461</v>
      </c>
      <c r="R25" s="186">
        <f>SUM($M$18:R18)</f>
        <v>-124.9415320078227</v>
      </c>
      <c r="S25" s="186">
        <f>SUM($M$18:S18)</f>
        <v>-204.55610323424125</v>
      </c>
      <c r="T25" s="186">
        <f>SUM($M$18:T18)</f>
        <v>-201.17583358808943</v>
      </c>
      <c r="U25" s="186">
        <f>SUM($M$18:U18)</f>
        <v>-65.406842605155191</v>
      </c>
    </row>
    <row r="26" spans="1:44">
      <c r="A26" s="27"/>
      <c r="C26" s="22"/>
      <c r="D26" s="22"/>
      <c r="E26" s="207">
        <f t="shared" ref="E26:U26" si="17">SUM(E21:E25)</f>
        <v>471.03605424636856</v>
      </c>
      <c r="F26" s="207">
        <f t="shared" si="17"/>
        <v>919.58784250743929</v>
      </c>
      <c r="G26" s="207">
        <f t="shared" si="17"/>
        <v>1563.6007498134613</v>
      </c>
      <c r="H26" s="207">
        <f t="shared" si="17"/>
        <v>1969.0960757708622</v>
      </c>
      <c r="I26" s="207">
        <f t="shared" si="17"/>
        <v>2352.1617965224518</v>
      </c>
      <c r="J26" s="207">
        <f t="shared" si="17"/>
        <v>2661.1894639438037</v>
      </c>
      <c r="K26" s="207">
        <f t="shared" si="17"/>
        <v>3155.471612932075</v>
      </c>
      <c r="L26" s="207">
        <f t="shared" si="17"/>
        <v>3353.9803359018979</v>
      </c>
      <c r="M26" s="207">
        <f t="shared" si="17"/>
        <v>3755.3515677249206</v>
      </c>
      <c r="N26" s="207">
        <f t="shared" si="17"/>
        <v>4142.4956821697861</v>
      </c>
      <c r="O26" s="207">
        <f t="shared" si="17"/>
        <v>4527.5841517751633</v>
      </c>
      <c r="P26" s="207">
        <f t="shared" si="17"/>
        <v>5023.7882760613084</v>
      </c>
      <c r="Q26" s="207">
        <f t="shared" si="17"/>
        <v>5513.3044393784621</v>
      </c>
      <c r="R26" s="207">
        <f t="shared" si="17"/>
        <v>5990.8866706120471</v>
      </c>
      <c r="S26" s="207">
        <f t="shared" si="17"/>
        <v>6513.2217643118292</v>
      </c>
      <c r="T26" s="207">
        <f t="shared" si="17"/>
        <v>7117.3360742390705</v>
      </c>
      <c r="U26" s="207">
        <f t="shared" si="17"/>
        <v>7677.1065039426712</v>
      </c>
    </row>
    <row r="27" spans="1:44">
      <c r="A27" s="37"/>
      <c r="C27" s="22"/>
      <c r="D27" s="22"/>
      <c r="E27" s="22"/>
      <c r="F27" s="22"/>
      <c r="G27" s="22"/>
      <c r="H27" s="22"/>
      <c r="I27" s="22"/>
      <c r="J27" s="22"/>
      <c r="K27" s="22"/>
      <c r="L27" s="22"/>
      <c r="M27" s="22"/>
      <c r="N27" s="22"/>
      <c r="O27" s="42"/>
      <c r="P27" s="42"/>
      <c r="Q27" s="42"/>
      <c r="R27" s="42"/>
      <c r="S27" s="42"/>
      <c r="T27" s="42"/>
      <c r="U27" s="42"/>
    </row>
    <row r="28" spans="1:44" s="89" customFormat="1">
      <c r="A28" s="87" t="s">
        <v>5</v>
      </c>
      <c r="B28" s="86"/>
      <c r="C28" s="88"/>
      <c r="D28" s="210">
        <f>+Inputs!E40</f>
        <v>2627.7539999999999</v>
      </c>
      <c r="E28" s="210">
        <f t="shared" ref="E28:U28" si="18">E8+E13-E26</f>
        <v>14122.417595244809</v>
      </c>
      <c r="F28" s="210">
        <f t="shared" si="18"/>
        <v>28834.138056969015</v>
      </c>
      <c r="G28" s="210">
        <f t="shared" si="18"/>
        <v>42996.071402474765</v>
      </c>
      <c r="H28" s="210">
        <f t="shared" si="18"/>
        <v>54897.0869821858</v>
      </c>
      <c r="I28" s="210">
        <f t="shared" si="18"/>
        <v>65383.789902065859</v>
      </c>
      <c r="J28" s="210">
        <f t="shared" si="18"/>
        <v>77535.44288204686</v>
      </c>
      <c r="K28" s="210">
        <f t="shared" si="18"/>
        <v>91512.153402134543</v>
      </c>
      <c r="L28" s="210">
        <f t="shared" si="18"/>
        <v>100511.72570609284</v>
      </c>
      <c r="M28" s="210">
        <f t="shared" si="18"/>
        <v>109256.08586179114</v>
      </c>
      <c r="N28" s="210">
        <f t="shared" si="18"/>
        <v>118520.00621135575</v>
      </c>
      <c r="O28" s="210">
        <f t="shared" si="18"/>
        <v>126071.03163304125</v>
      </c>
      <c r="P28" s="210">
        <f t="shared" si="18"/>
        <v>135073.0640657249</v>
      </c>
      <c r="Q28" s="210">
        <f t="shared" si="18"/>
        <v>146501.50726363555</v>
      </c>
      <c r="R28" s="210">
        <f t="shared" si="18"/>
        <v>157501.19270059562</v>
      </c>
      <c r="S28" s="210">
        <f t="shared" si="18"/>
        <v>168993.72193628378</v>
      </c>
      <c r="T28" s="210">
        <f t="shared" si="18"/>
        <v>184038.47727192746</v>
      </c>
      <c r="U28" s="210">
        <f t="shared" si="18"/>
        <v>202136.81760522426</v>
      </c>
    </row>
    <row r="29" spans="1:44">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row>
    <row r="30" spans="1:44">
      <c r="A30" s="40" t="s">
        <v>338</v>
      </c>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row>
    <row r="31" spans="1:44">
      <c r="B31" s="22"/>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c r="A32" s="27" t="s">
        <v>57</v>
      </c>
      <c r="E32" s="33">
        <f>+D55</f>
        <v>2769.9083239623151</v>
      </c>
      <c r="F32" s="33">
        <f t="shared" ref="F32:U32" si="19">+E55</f>
        <v>14886.401866970975</v>
      </c>
      <c r="G32" s="33">
        <f t="shared" si="19"/>
        <v>30393.986278120799</v>
      </c>
      <c r="H32" s="33">
        <f t="shared" si="19"/>
        <v>45322.041589659042</v>
      </c>
      <c r="I32" s="33">
        <f t="shared" si="19"/>
        <v>57866.869651131616</v>
      </c>
      <c r="J32" s="33">
        <f t="shared" si="19"/>
        <v>68920.874595542569</v>
      </c>
      <c r="K32" s="33">
        <f t="shared" si="19"/>
        <v>81729.898857003456</v>
      </c>
      <c r="L32" s="33">
        <f t="shared" si="19"/>
        <v>96462.711293480592</v>
      </c>
      <c r="M32" s="33">
        <f t="shared" si="19"/>
        <v>105949.13591193224</v>
      </c>
      <c r="N32" s="33">
        <f t="shared" si="19"/>
        <v>115166.54210101736</v>
      </c>
      <c r="O32" s="33">
        <f t="shared" si="19"/>
        <v>124931.61527330932</v>
      </c>
      <c r="P32" s="33">
        <f t="shared" si="19"/>
        <v>132891.13057420039</v>
      </c>
      <c r="Q32" s="33">
        <f t="shared" si="19"/>
        <v>142380.14840763118</v>
      </c>
      <c r="R32" s="33">
        <f t="shared" si="19"/>
        <v>154426.83921043205</v>
      </c>
      <c r="S32" s="33">
        <f t="shared" si="19"/>
        <v>166021.57762689068</v>
      </c>
      <c r="T32" s="33">
        <f t="shared" si="19"/>
        <v>178135.82134731233</v>
      </c>
      <c r="U32" s="33">
        <f t="shared" si="19"/>
        <v>193994.45691067781</v>
      </c>
      <c r="V32" s="21">
        <f>+U55</f>
        <v>213071.86809113898</v>
      </c>
      <c r="W32" s="21">
        <f t="shared" ref="W32:AR32" si="20">+V55</f>
        <v>217425.80856483025</v>
      </c>
      <c r="X32" s="21">
        <f t="shared" si="20"/>
        <v>218602.13181663418</v>
      </c>
      <c r="Y32" s="21">
        <f t="shared" si="20"/>
        <v>219396.55312813984</v>
      </c>
      <c r="Z32" s="21">
        <f t="shared" si="20"/>
        <v>220244.65286035021</v>
      </c>
      <c r="AA32" s="21">
        <f t="shared" si="20"/>
        <v>220457.0113352323</v>
      </c>
      <c r="AB32" s="21">
        <f t="shared" si="20"/>
        <v>220519.64531638619</v>
      </c>
      <c r="AC32" s="21">
        <f t="shared" si="20"/>
        <v>222357.89862610315</v>
      </c>
      <c r="AD32" s="21">
        <f t="shared" si="20"/>
        <v>219822.85274162918</v>
      </c>
      <c r="AE32" s="21">
        <f t="shared" si="20"/>
        <v>217159.50947298051</v>
      </c>
      <c r="AF32" s="21">
        <f t="shared" si="20"/>
        <v>214286.10413902675</v>
      </c>
      <c r="AG32" s="21">
        <f t="shared" si="20"/>
        <v>210998.37940703778</v>
      </c>
      <c r="AH32" s="21">
        <f t="shared" si="20"/>
        <v>207417.3448395101</v>
      </c>
      <c r="AI32" s="21">
        <f t="shared" si="20"/>
        <v>203485.30860397746</v>
      </c>
      <c r="AJ32" s="21">
        <f t="shared" si="20"/>
        <v>199336.97572981211</v>
      </c>
      <c r="AK32" s="21">
        <f t="shared" si="20"/>
        <v>195068.82262693832</v>
      </c>
      <c r="AL32" s="21">
        <f t="shared" si="20"/>
        <v>190579.45282667864</v>
      </c>
      <c r="AM32" s="21">
        <f t="shared" si="20"/>
        <v>186022.43439469847</v>
      </c>
      <c r="AN32" s="21">
        <f t="shared" si="20"/>
        <v>181029.2577950455</v>
      </c>
      <c r="AO32" s="21">
        <f t="shared" si="20"/>
        <v>175826.99309946498</v>
      </c>
      <c r="AP32" s="21">
        <f t="shared" si="20"/>
        <v>170449.6117478011</v>
      </c>
      <c r="AQ32" s="21">
        <f t="shared" si="20"/>
        <v>164714.87170283851</v>
      </c>
      <c r="AR32" s="21">
        <f t="shared" si="20"/>
        <v>158919.39690824994</v>
      </c>
    </row>
    <row r="33" spans="1:44">
      <c r="A33" s="27" t="s">
        <v>56</v>
      </c>
      <c r="E33" s="33">
        <f>+E6*Inputs!$S$32</f>
        <v>0</v>
      </c>
      <c r="F33" s="33">
        <f>+F6*Inputs!$S$32</f>
        <v>0</v>
      </c>
      <c r="G33" s="33">
        <f>+G6*Inputs!$S$32</f>
        <v>0</v>
      </c>
      <c r="H33" s="33">
        <f>+H6*Inputs!$S$32</f>
        <v>0</v>
      </c>
      <c r="I33" s="33">
        <f>+I6*Inputs!$S$32</f>
        <v>0</v>
      </c>
      <c r="J33" s="33">
        <f>+J6*Inputs!$S$32</f>
        <v>0</v>
      </c>
      <c r="K33" s="33">
        <f>+K6*Inputs!$S$32</f>
        <v>0</v>
      </c>
      <c r="L33" s="33">
        <f>+L6*Inputs!$S$32</f>
        <v>0</v>
      </c>
      <c r="M33" s="33">
        <f>+M6*Inputs!$S$32</f>
        <v>4063.8306597906062</v>
      </c>
      <c r="N33" s="33">
        <f>+N6*Inputs!$S$32</f>
        <v>1485.6544101577374</v>
      </c>
      <c r="O33" s="33">
        <f>+O6*Inputs!$S$32</f>
        <v>-672.83377356391566</v>
      </c>
      <c r="P33" s="33">
        <f>+P6*Inputs!$S$32</f>
        <v>-3550.9148568050141</v>
      </c>
      <c r="Q33" s="33">
        <f>+Q6*Inputs!$S$32</f>
        <v>-1854.3063312441921</v>
      </c>
      <c r="R33" s="33">
        <f>+R6*Inputs!$S$32</f>
        <v>-2387.2949963005731</v>
      </c>
      <c r="S33" s="33">
        <f>+S6*Inputs!$S$32</f>
        <v>-2769.4095783352109</v>
      </c>
      <c r="T33" s="33">
        <f>+T6*Inputs!$S$32</f>
        <v>117.58338946253367</v>
      </c>
      <c r="U33" s="33">
        <f>+U6*Inputs!$S$32</f>
        <v>3994.2837714912616</v>
      </c>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c r="A34" s="27" t="s">
        <v>56</v>
      </c>
      <c r="E34" s="33">
        <f>+E7*Inputs!$S$32</f>
        <v>0</v>
      </c>
      <c r="F34" s="33">
        <f>+F7*Inputs!$S$32</f>
        <v>0</v>
      </c>
      <c r="G34" s="33">
        <f>+G7*Inputs!$S$32</f>
        <v>0</v>
      </c>
      <c r="H34" s="33">
        <f>+H7*Inputs!$S$32</f>
        <v>0</v>
      </c>
      <c r="I34" s="33">
        <f>+I7*Inputs!$S$32</f>
        <v>0</v>
      </c>
      <c r="J34" s="33">
        <f>+J7*Inputs!$S$32</f>
        <v>0</v>
      </c>
      <c r="K34" s="33">
        <f>+K7*Inputs!$S$32</f>
        <v>0</v>
      </c>
      <c r="L34" s="33">
        <f>+L7*Inputs!$S$32</f>
        <v>0</v>
      </c>
      <c r="M34" s="33">
        <f>+M7*Inputs!$S$32</f>
        <v>0</v>
      </c>
      <c r="N34" s="33">
        <f>+N7*Inputs!$S$32</f>
        <v>0</v>
      </c>
      <c r="O34" s="33">
        <f>+O7*Inputs!$S$32</f>
        <v>-1430.2525393369692</v>
      </c>
      <c r="P34" s="33">
        <f>+P7*Inputs!$S$32</f>
        <v>0</v>
      </c>
      <c r="Q34" s="33">
        <f>+Q7*Inputs!$S$32</f>
        <v>0</v>
      </c>
      <c r="R34" s="33">
        <f>+R7*Inputs!$S$32</f>
        <v>0</v>
      </c>
      <c r="S34" s="33">
        <f>+S7*Inputs!$S$32</f>
        <v>0</v>
      </c>
      <c r="T34" s="33">
        <f>+T7*Inputs!$S$32</f>
        <v>0</v>
      </c>
      <c r="U34" s="33">
        <f>+U7*Inputs!$S$32</f>
        <v>728.46908991304201</v>
      </c>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c r="A35" s="27" t="s">
        <v>17</v>
      </c>
      <c r="E35" s="207">
        <f>SUM(E32:E34)</f>
        <v>2769.9083239623151</v>
      </c>
      <c r="F35" s="207">
        <f t="shared" ref="F35:U35" si="21">SUM(F32:F34)</f>
        <v>14886.401866970975</v>
      </c>
      <c r="G35" s="207">
        <f t="shared" si="21"/>
        <v>30393.986278120799</v>
      </c>
      <c r="H35" s="207">
        <f t="shared" si="21"/>
        <v>45322.041589659042</v>
      </c>
      <c r="I35" s="207">
        <f t="shared" si="21"/>
        <v>57866.869651131616</v>
      </c>
      <c r="J35" s="207">
        <f t="shared" si="21"/>
        <v>68920.874595542569</v>
      </c>
      <c r="K35" s="207">
        <f t="shared" si="21"/>
        <v>81729.898857003456</v>
      </c>
      <c r="L35" s="207">
        <f t="shared" si="21"/>
        <v>96462.711293480592</v>
      </c>
      <c r="M35" s="207">
        <f t="shared" si="21"/>
        <v>110012.96657172285</v>
      </c>
      <c r="N35" s="207">
        <f t="shared" si="21"/>
        <v>116652.19651117509</v>
      </c>
      <c r="O35" s="207">
        <f t="shared" si="21"/>
        <v>122828.52896040842</v>
      </c>
      <c r="P35" s="207">
        <f t="shared" si="21"/>
        <v>129340.21571739537</v>
      </c>
      <c r="Q35" s="207">
        <f t="shared" si="21"/>
        <v>140525.84207638699</v>
      </c>
      <c r="R35" s="207">
        <f t="shared" si="21"/>
        <v>152039.54421413149</v>
      </c>
      <c r="S35" s="207">
        <f t="shared" si="21"/>
        <v>163252.16804855547</v>
      </c>
      <c r="T35" s="207">
        <f t="shared" si="21"/>
        <v>178253.40473677486</v>
      </c>
      <c r="U35" s="207">
        <f t="shared" si="21"/>
        <v>198717.2097720821</v>
      </c>
      <c r="V35" s="207">
        <f t="shared" ref="V35:AR35" si="22">SUM(V32:V34)</f>
        <v>213071.86809113898</v>
      </c>
      <c r="W35" s="207">
        <f t="shared" si="22"/>
        <v>217425.80856483025</v>
      </c>
      <c r="X35" s="207">
        <f t="shared" si="22"/>
        <v>218602.13181663418</v>
      </c>
      <c r="Y35" s="207">
        <f t="shared" si="22"/>
        <v>219396.55312813984</v>
      </c>
      <c r="Z35" s="207">
        <f t="shared" si="22"/>
        <v>220244.65286035021</v>
      </c>
      <c r="AA35" s="207">
        <f t="shared" si="22"/>
        <v>220457.0113352323</v>
      </c>
      <c r="AB35" s="207">
        <f t="shared" si="22"/>
        <v>220519.64531638619</v>
      </c>
      <c r="AC35" s="207">
        <f t="shared" si="22"/>
        <v>222357.89862610315</v>
      </c>
      <c r="AD35" s="207">
        <f t="shared" si="22"/>
        <v>219822.85274162918</v>
      </c>
      <c r="AE35" s="207">
        <f t="shared" si="22"/>
        <v>217159.50947298051</v>
      </c>
      <c r="AF35" s="207">
        <f t="shared" si="22"/>
        <v>214286.10413902675</v>
      </c>
      <c r="AG35" s="207">
        <f t="shared" si="22"/>
        <v>210998.37940703778</v>
      </c>
      <c r="AH35" s="207">
        <f t="shared" si="22"/>
        <v>207417.3448395101</v>
      </c>
      <c r="AI35" s="207">
        <f t="shared" si="22"/>
        <v>203485.30860397746</v>
      </c>
      <c r="AJ35" s="207">
        <f t="shared" si="22"/>
        <v>199336.97572981211</v>
      </c>
      <c r="AK35" s="207">
        <f t="shared" si="22"/>
        <v>195068.82262693832</v>
      </c>
      <c r="AL35" s="207">
        <f t="shared" si="22"/>
        <v>190579.45282667864</v>
      </c>
      <c r="AM35" s="207">
        <f t="shared" si="22"/>
        <v>186022.43439469847</v>
      </c>
      <c r="AN35" s="207">
        <f t="shared" si="22"/>
        <v>181029.2577950455</v>
      </c>
      <c r="AO35" s="207">
        <f t="shared" si="22"/>
        <v>175826.99309946498</v>
      </c>
      <c r="AP35" s="207">
        <f t="shared" si="22"/>
        <v>170449.6117478011</v>
      </c>
      <c r="AQ35" s="207">
        <f t="shared" si="22"/>
        <v>164714.87170283851</v>
      </c>
      <c r="AR35" s="207">
        <f t="shared" si="22"/>
        <v>158919.39690824994</v>
      </c>
    </row>
    <row r="36" spans="1:44">
      <c r="A36" s="37"/>
      <c r="O36" s="33"/>
      <c r="P36" s="33"/>
      <c r="Q36" s="33"/>
      <c r="R36" s="33"/>
      <c r="S36" s="33"/>
      <c r="T36" s="33"/>
      <c r="U36" s="33"/>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c r="A37" s="29" t="s">
        <v>129</v>
      </c>
      <c r="E37" s="33">
        <f>+E10*Inputs!$S$32</f>
        <v>11527.313712965935</v>
      </c>
      <c r="F37" s="33">
        <f>+F10*Inputs!$S$32</f>
        <v>15294.679938590387</v>
      </c>
      <c r="G37" s="33">
        <f>+G10*Inputs!$S$32</f>
        <v>13296.728327685076</v>
      </c>
      <c r="H37" s="33">
        <f>+H10*Inputs!$S$32</f>
        <v>13361.776517469825</v>
      </c>
      <c r="I37" s="33">
        <f>+I10*Inputs!$S$32</f>
        <v>12187.678657009646</v>
      </c>
      <c r="J37" s="33">
        <f>+J10*Inputs!$S$32</f>
        <v>14150.607561567971</v>
      </c>
      <c r="K37" s="33">
        <f>+K10*Inputs!$S$32</f>
        <v>16191.693545050828</v>
      </c>
      <c r="L37" s="33">
        <f>+L10*Inputs!$S$32</f>
        <v>11430.679293227537</v>
      </c>
      <c r="M37" s="33">
        <f>+M10*Inputs!$S$32</f>
        <v>7622.8127532099124</v>
      </c>
      <c r="N37" s="33">
        <f>+N10*Inputs!$S$32</f>
        <v>11373.736886971994</v>
      </c>
      <c r="O37" s="33">
        <f>+O10*Inputs!$S$32</f>
        <v>13509.93607539764</v>
      </c>
      <c r="P37" s="33">
        <f>+P10*Inputs!$S$32</f>
        <v>16104.572007089204</v>
      </c>
      <c r="Q37" s="33">
        <f>+Q10*Inputs!$S$32</f>
        <v>17969.514881864132</v>
      </c>
      <c r="R37" s="33">
        <f>+R10*Inputs!$S$32</f>
        <v>18263.3238707212</v>
      </c>
      <c r="S37" s="33">
        <f>+S10*Inputs!$S$32</f>
        <v>19761.136833702352</v>
      </c>
      <c r="T37" s="33">
        <f>+T10*Inputs!$S$32</f>
        <v>21304.706697495429</v>
      </c>
      <c r="U37" s="33">
        <f>+U10*Inputs!$S$32</f>
        <v>20521.212564554156</v>
      </c>
      <c r="V37" s="33">
        <f>+Inputs!V12</f>
        <v>10628.137953151154</v>
      </c>
      <c r="W37" s="33">
        <f>+Inputs!W12</f>
        <v>7841.4384526634913</v>
      </c>
      <c r="X37" s="33">
        <f>+Inputs!X12</f>
        <v>7674.9124685605948</v>
      </c>
      <c r="Y37" s="33">
        <f>+Inputs!Y12</f>
        <v>7920.0782800486541</v>
      </c>
      <c r="Z37" s="33">
        <f>+Inputs!Z12</f>
        <v>7298.9217017256842</v>
      </c>
      <c r="AA37" s="33">
        <f>+Inputs!AA12</f>
        <v>7097.3867232771699</v>
      </c>
      <c r="AB37" s="33">
        <f>+Inputs!AB12</f>
        <v>9445.8426531981731</v>
      </c>
      <c r="AC37" s="33">
        <f>+Inputs!AC12</f>
        <v>5178.9022306370571</v>
      </c>
      <c r="AD37" s="33">
        <f>+Inputs!AD12</f>
        <v>5015.1109877730278</v>
      </c>
      <c r="AE37" s="33">
        <f>+Inputs!AE12</f>
        <v>4859.0006411466102</v>
      </c>
      <c r="AF37" s="33">
        <f>+Inputs!AF12</f>
        <v>4714.3751924642502</v>
      </c>
      <c r="AG37" s="33">
        <f>+Inputs!AG12</f>
        <v>4575.3394056460738</v>
      </c>
      <c r="AH37" s="33">
        <f>+Inputs!AH12</f>
        <v>4443.5673620317821</v>
      </c>
      <c r="AI37" s="33">
        <f>+Inputs!AI12</f>
        <v>4315.1374002062821</v>
      </c>
      <c r="AJ37" s="33">
        <f>+Inputs!AJ12</f>
        <v>4189.4923370085953</v>
      </c>
      <c r="AK37" s="33">
        <f>+Inputs!AK12</f>
        <v>4070.3740072946089</v>
      </c>
      <c r="AL37" s="33">
        <f>+Inputs!AL12</f>
        <v>3954.2488237871257</v>
      </c>
      <c r="AM37" s="33">
        <f>+Inputs!AM12</f>
        <v>3850.454559566972</v>
      </c>
      <c r="AN37" s="33">
        <f>+Inputs!AN12</f>
        <v>3746.0291459172604</v>
      </c>
      <c r="AO37" s="33">
        <f>+Inputs!AO12</f>
        <v>3647.2259787725734</v>
      </c>
      <c r="AP37" s="33">
        <f>+Inputs!AP12</f>
        <v>3556.1346125418395</v>
      </c>
      <c r="AQ37" s="33">
        <f>+Inputs!AQ12</f>
        <v>3462.2173864030201</v>
      </c>
      <c r="AR37" s="33">
        <f>+Inputs!AR12</f>
        <v>3375.6375533740475</v>
      </c>
    </row>
    <row r="38" spans="1:44">
      <c r="A38" s="29" t="s">
        <v>130</v>
      </c>
      <c r="E38" s="33">
        <f>+E11*Inputs!$S$32</f>
        <v>585.39195706325609</v>
      </c>
      <c r="F38" s="33">
        <f>+F11*Inputs!$S$32</f>
        <v>1094.9826280645468</v>
      </c>
      <c r="G38" s="33">
        <f>+G11*Inputs!$S$32</f>
        <v>2321.0160980867995</v>
      </c>
      <c r="H38" s="33">
        <f>+H11*Inputs!$S$32</f>
        <v>1187.602238904487</v>
      </c>
      <c r="I38" s="33">
        <f>+I11*Inputs!$S$32</f>
        <v>1275.3761947775572</v>
      </c>
      <c r="J38" s="33">
        <f>+J11*Inputs!$S$32</f>
        <v>1655.0451011851126</v>
      </c>
      <c r="K38" s="33">
        <f>+K11*Inputs!$S$32</f>
        <v>1798.3355979688645</v>
      </c>
      <c r="L38" s="33">
        <f>+L11*Inputs!$S$32</f>
        <v>1522.8991083367164</v>
      </c>
      <c r="M38" s="33">
        <f>+M11*Inputs!$S$32</f>
        <v>1307.043632612332</v>
      </c>
      <c r="N38" s="33">
        <f>+N11*Inputs!$S$32</f>
        <v>1212.4445050481406</v>
      </c>
      <c r="O38" s="33">
        <f>+O11*Inputs!$S$32</f>
        <v>1285.7167953125308</v>
      </c>
      <c r="P38" s="33">
        <f>+P11*Inputs!$S$32</f>
        <v>1532.6728751837861</v>
      </c>
      <c r="Q38" s="33">
        <f>+Q11*Inputs!$S$32</f>
        <v>1590.0289136258127</v>
      </c>
      <c r="R38" s="33">
        <f>+R11*Inputs!$S$32</f>
        <v>1883.3630057794046</v>
      </c>
      <c r="S38" s="33">
        <f>+S11*Inputs!$S$32</f>
        <v>1838.7443945052403</v>
      </c>
      <c r="T38" s="33">
        <f>+T11*Inputs!$S$32</f>
        <v>1801.566433988505</v>
      </c>
      <c r="U38" s="33">
        <f>+U11*Inputs!$S$32</f>
        <v>1789.6155214988032</v>
      </c>
      <c r="V38" s="33">
        <f>+Inputs!V13</f>
        <v>1592.9651527008275</v>
      </c>
      <c r="W38" s="33">
        <f>+Inputs!W13</f>
        <v>1733.9288544501294</v>
      </c>
      <c r="X38" s="33">
        <f>+Inputs!X13</f>
        <v>1750.7507970977779</v>
      </c>
      <c r="Y38" s="33">
        <f>+Inputs!Y13</f>
        <v>1883.4175842222153</v>
      </c>
      <c r="Z38" s="33">
        <f>+Inputs!Z13</f>
        <v>2092.1731510266918</v>
      </c>
      <c r="AA38" s="33">
        <f>+Inputs!AA13</f>
        <v>2297.6737455575126</v>
      </c>
      <c r="AB38" s="33">
        <f>+Inputs!AB13</f>
        <v>1920.4121526079848</v>
      </c>
      <c r="AC38" s="33">
        <f>+Inputs!AC13</f>
        <v>1977.7952693168074</v>
      </c>
      <c r="AD38" s="33">
        <f>+Inputs!AD13</f>
        <v>2205.7697209491294</v>
      </c>
      <c r="AE38" s="33">
        <f>+Inputs!AE13</f>
        <v>2338.4717552671596</v>
      </c>
      <c r="AF38" s="33">
        <f>+Inputs!AF13</f>
        <v>2243.5370147363064</v>
      </c>
      <c r="AG38" s="33">
        <f>+Inputs!AG13</f>
        <v>2226.5238401124489</v>
      </c>
      <c r="AH38" s="33">
        <f>+Inputs!AH13</f>
        <v>2138.3576144345398</v>
      </c>
      <c r="AI38" s="33">
        <f>+Inputs!AI13</f>
        <v>2183.8552968213271</v>
      </c>
      <c r="AJ38" s="33">
        <f>+Inputs!AJ13</f>
        <v>2330.4747196098583</v>
      </c>
      <c r="AK38" s="33">
        <f>+Inputs!AK13</f>
        <v>2382.7907413645844</v>
      </c>
      <c r="AL38" s="33">
        <f>+Inputs!AL13</f>
        <v>2586.9945608388189</v>
      </c>
      <c r="AM38" s="33">
        <f>+Inputs!AM13</f>
        <v>2393.7592516809082</v>
      </c>
      <c r="AN38" s="33">
        <f>+Inputs!AN13</f>
        <v>2418.4137061816032</v>
      </c>
      <c r="AO38" s="33">
        <f>+Inputs!AO13</f>
        <v>2457.6457035469425</v>
      </c>
      <c r="AP38" s="33">
        <f>+Inputs!AP13</f>
        <v>2279.0394558092917</v>
      </c>
      <c r="AQ38" s="33">
        <f>+Inputs!AQ13</f>
        <v>2432.9463108660484</v>
      </c>
      <c r="AR38" s="33">
        <f>+Inputs!AR13</f>
        <v>2388.5691504664951</v>
      </c>
    </row>
    <row r="39" spans="1:44">
      <c r="A39" s="29" t="s">
        <v>131</v>
      </c>
      <c r="E39" s="33">
        <f>+E12*Inputs!$S$32</f>
        <v>500.30569296695091</v>
      </c>
      <c r="F39" s="33">
        <f>+F12*Inputs!$S$32</f>
        <v>87.256881022628519</v>
      </c>
      <c r="G39" s="33">
        <f>+G12*Inputs!$S$32</f>
        <v>958.49817128168866</v>
      </c>
      <c r="H39" s="33">
        <f>+H12*Inputs!$S$32</f>
        <v>71.068107679947786</v>
      </c>
      <c r="I39" s="33">
        <f>+I12*Inputs!$S$32</f>
        <v>70.357426603148312</v>
      </c>
      <c r="J39" s="33">
        <f>+J12*Inputs!$S$32</f>
        <v>-191.47584598498921</v>
      </c>
      <c r="K39" s="33">
        <f>+K12*Inputs!$S$32</f>
        <v>68.957313813745657</v>
      </c>
      <c r="L39" s="33">
        <f>+L12*Inputs!$S$32</f>
        <v>68.267740675608195</v>
      </c>
      <c r="M39" s="33">
        <f>+M12*Inputs!$S$32</f>
        <v>182.22498794864765</v>
      </c>
      <c r="N39" s="33">
        <f>+N12*Inputs!$S$32</f>
        <v>59.83076965606574</v>
      </c>
      <c r="O39" s="33">
        <f>+O12*Inputs!$S$32</f>
        <v>39.462848071022094</v>
      </c>
      <c r="P39" s="33">
        <f>+P12*Inputs!$S$32</f>
        <v>698.24932692027073</v>
      </c>
      <c r="Q39" s="33">
        <f>+Q12*Inputs!$S$32</f>
        <v>153.01251006538456</v>
      </c>
      <c r="R39" s="33">
        <f>+R12*Inputs!$S$32</f>
        <v>150.32383506327122</v>
      </c>
      <c r="S39" s="33">
        <f>+S12*Inputs!$S$32</f>
        <v>149.34136690650044</v>
      </c>
      <c r="T39" s="33">
        <f>+T12*Inputs!$S$32</f>
        <v>137.14358509389712</v>
      </c>
      <c r="U39" s="33">
        <f>+U12*Inputs!$S$32</f>
        <v>136.24725880470004</v>
      </c>
      <c r="V39" s="33">
        <f>+Inputs!V14</f>
        <v>514.77326345415099</v>
      </c>
      <c r="W39" s="33">
        <f>+Inputs!W14</f>
        <v>231.6060112235478</v>
      </c>
      <c r="X39" s="33">
        <f>+Inputs!X14</f>
        <v>241.38036358488515</v>
      </c>
      <c r="Y39" s="33">
        <f>+Inputs!Y14</f>
        <v>128.78032232752665</v>
      </c>
      <c r="Z39" s="33">
        <f>+Inputs!Z14</f>
        <v>100.31604687972739</v>
      </c>
      <c r="AA39" s="33">
        <f>+Inputs!AA14</f>
        <v>90.946993677168479</v>
      </c>
      <c r="AB39" s="33">
        <f>+Inputs!AB14</f>
        <v>157.61010502546188</v>
      </c>
      <c r="AC39" s="33">
        <f>+Inputs!AC14</f>
        <v>157.61010502546188</v>
      </c>
      <c r="AD39" s="33">
        <f>+Inputs!AD14</f>
        <v>157.61010502546188</v>
      </c>
      <c r="AE39" s="33">
        <f>+Inputs!AE14</f>
        <v>157.61010502546188</v>
      </c>
      <c r="AF39" s="33">
        <f>+Inputs!AF14</f>
        <v>157.61010502546188</v>
      </c>
      <c r="AG39" s="33">
        <f>+Inputs!AG14</f>
        <v>157.61010502546188</v>
      </c>
      <c r="AH39" s="33">
        <f>+Inputs!AH14</f>
        <v>157.61010502546188</v>
      </c>
      <c r="AI39" s="33">
        <f>+Inputs!AI14</f>
        <v>157.61010502546188</v>
      </c>
      <c r="AJ39" s="33">
        <f>+Inputs!AJ14</f>
        <v>157.61010502546188</v>
      </c>
      <c r="AK39" s="33">
        <f>+Inputs!AK14</f>
        <v>157.61010502546188</v>
      </c>
      <c r="AL39" s="33">
        <f>+Inputs!AL14</f>
        <v>157.61010502546188</v>
      </c>
      <c r="AM39" s="33">
        <f>+Inputs!AM14</f>
        <v>157.61010502546188</v>
      </c>
      <c r="AN39" s="33">
        <f>+Inputs!AN14</f>
        <v>157.61010502546188</v>
      </c>
      <c r="AO39" s="33">
        <f>+Inputs!AO14</f>
        <v>157.61010502546188</v>
      </c>
      <c r="AP39" s="33">
        <f>+Inputs!AP14</f>
        <v>157.61010502546188</v>
      </c>
      <c r="AQ39" s="33">
        <f>+Inputs!AQ14</f>
        <v>157.61010502546188</v>
      </c>
      <c r="AR39" s="33">
        <f>+Inputs!AR14</f>
        <v>157.61010502546188</v>
      </c>
    </row>
    <row r="40" spans="1:44">
      <c r="A40" s="27"/>
      <c r="E40" s="207">
        <f t="shared" ref="E40:U40" si="23">SUM(E37:E39)</f>
        <v>12613.011362996142</v>
      </c>
      <c r="F40" s="207">
        <f t="shared" si="23"/>
        <v>16476.919447677563</v>
      </c>
      <c r="G40" s="207">
        <f t="shared" si="23"/>
        <v>16576.242597053562</v>
      </c>
      <c r="H40" s="207">
        <f t="shared" si="23"/>
        <v>14620.44686405426</v>
      </c>
      <c r="I40" s="207">
        <f t="shared" si="23"/>
        <v>13533.412278390351</v>
      </c>
      <c r="J40" s="207">
        <f t="shared" si="23"/>
        <v>15614.176816768095</v>
      </c>
      <c r="K40" s="207">
        <f t="shared" si="23"/>
        <v>18058.986456833438</v>
      </c>
      <c r="L40" s="207">
        <f t="shared" si="23"/>
        <v>13021.846142239861</v>
      </c>
      <c r="M40" s="207">
        <f t="shared" si="23"/>
        <v>9112.0813737708922</v>
      </c>
      <c r="N40" s="207">
        <f t="shared" si="23"/>
        <v>12646.012161676201</v>
      </c>
      <c r="O40" s="207">
        <f t="shared" si="23"/>
        <v>14835.115718781193</v>
      </c>
      <c r="P40" s="207">
        <f t="shared" si="23"/>
        <v>18335.494209193261</v>
      </c>
      <c r="Q40" s="207">
        <f t="shared" si="23"/>
        <v>19712.556305555332</v>
      </c>
      <c r="R40" s="207">
        <f t="shared" si="23"/>
        <v>20297.010711563875</v>
      </c>
      <c r="S40" s="207">
        <f t="shared" si="23"/>
        <v>21749.222595114094</v>
      </c>
      <c r="T40" s="207">
        <f t="shared" si="23"/>
        <v>23243.416716577831</v>
      </c>
      <c r="U40" s="207">
        <f t="shared" si="23"/>
        <v>22447.075344857658</v>
      </c>
      <c r="V40" s="207">
        <f t="shared" ref="V40:AR40" si="24">SUM(V37:V39)</f>
        <v>12735.876369306134</v>
      </c>
      <c r="W40" s="207">
        <f t="shared" si="24"/>
        <v>9806.9733183371682</v>
      </c>
      <c r="X40" s="207">
        <f t="shared" si="24"/>
        <v>9667.0436292432587</v>
      </c>
      <c r="Y40" s="207">
        <f t="shared" si="24"/>
        <v>9932.2761865983957</v>
      </c>
      <c r="Z40" s="207">
        <f t="shared" si="24"/>
        <v>9491.4108996321029</v>
      </c>
      <c r="AA40" s="207">
        <f t="shared" si="24"/>
        <v>9486.0074625118523</v>
      </c>
      <c r="AB40" s="207">
        <f t="shared" si="24"/>
        <v>11523.86491083162</v>
      </c>
      <c r="AC40" s="207">
        <f t="shared" si="24"/>
        <v>7314.3076049793262</v>
      </c>
      <c r="AD40" s="207">
        <f t="shared" si="24"/>
        <v>7378.4908137476195</v>
      </c>
      <c r="AE40" s="207">
        <f t="shared" si="24"/>
        <v>7355.0825014392321</v>
      </c>
      <c r="AF40" s="207">
        <f t="shared" si="24"/>
        <v>7115.5223122260186</v>
      </c>
      <c r="AG40" s="207">
        <f t="shared" si="24"/>
        <v>6959.4733507839846</v>
      </c>
      <c r="AH40" s="207">
        <f t="shared" si="24"/>
        <v>6739.5350814917838</v>
      </c>
      <c r="AI40" s="207">
        <f t="shared" si="24"/>
        <v>6656.6028020530712</v>
      </c>
      <c r="AJ40" s="207">
        <f t="shared" si="24"/>
        <v>6677.577161643916</v>
      </c>
      <c r="AK40" s="207">
        <f t="shared" si="24"/>
        <v>6610.7748536846557</v>
      </c>
      <c r="AL40" s="207">
        <f t="shared" si="24"/>
        <v>6698.8534896514066</v>
      </c>
      <c r="AM40" s="207">
        <f t="shared" si="24"/>
        <v>6401.8239162733425</v>
      </c>
      <c r="AN40" s="207">
        <f t="shared" si="24"/>
        <v>6322.052957124326</v>
      </c>
      <c r="AO40" s="207">
        <f t="shared" si="24"/>
        <v>6262.4817873449774</v>
      </c>
      <c r="AP40" s="207">
        <f t="shared" si="24"/>
        <v>5992.7841733765927</v>
      </c>
      <c r="AQ40" s="207">
        <f t="shared" si="24"/>
        <v>6052.7738022945305</v>
      </c>
      <c r="AR40" s="207">
        <f t="shared" si="24"/>
        <v>5921.8168088660041</v>
      </c>
    </row>
    <row r="41" spans="1:44">
      <c r="A41" s="29"/>
      <c r="O41" s="33"/>
      <c r="P41" s="33"/>
      <c r="Q41" s="33"/>
      <c r="R41" s="33"/>
      <c r="S41" s="33"/>
      <c r="T41" s="33"/>
      <c r="U41" s="3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c r="A42" s="29" t="s">
        <v>132</v>
      </c>
      <c r="C42" s="33">
        <f>+C15</f>
        <v>40</v>
      </c>
      <c r="E42" s="43">
        <f>E37/$C42</f>
        <v>288.18284282414839</v>
      </c>
      <c r="F42" s="43">
        <f t="shared" ref="F42:U42" si="25">F37/$C42</f>
        <v>382.36699846475966</v>
      </c>
      <c r="G42" s="43">
        <f t="shared" si="25"/>
        <v>332.41820819212688</v>
      </c>
      <c r="H42" s="43">
        <f t="shared" si="25"/>
        <v>334.04441293674563</v>
      </c>
      <c r="I42" s="43">
        <f t="shared" si="25"/>
        <v>304.69196642524116</v>
      </c>
      <c r="J42" s="43">
        <f t="shared" si="25"/>
        <v>353.7651890391993</v>
      </c>
      <c r="K42" s="43">
        <f t="shared" si="25"/>
        <v>404.79233862627069</v>
      </c>
      <c r="L42" s="43">
        <f t="shared" si="25"/>
        <v>285.76698233068839</v>
      </c>
      <c r="M42" s="43">
        <f t="shared" si="25"/>
        <v>190.5703188302478</v>
      </c>
      <c r="N42" s="43">
        <f t="shared" si="25"/>
        <v>284.34342217429986</v>
      </c>
      <c r="O42" s="43">
        <f t="shared" si="25"/>
        <v>337.74840188494102</v>
      </c>
      <c r="P42" s="43">
        <f t="shared" si="25"/>
        <v>402.61430017723012</v>
      </c>
      <c r="Q42" s="43">
        <f t="shared" si="25"/>
        <v>449.23787204660329</v>
      </c>
      <c r="R42" s="43">
        <f t="shared" si="25"/>
        <v>456.58309676803003</v>
      </c>
      <c r="S42" s="43">
        <f t="shared" si="25"/>
        <v>494.02842084255883</v>
      </c>
      <c r="T42" s="43">
        <f t="shared" si="25"/>
        <v>532.61766743738576</v>
      </c>
      <c r="U42" s="43">
        <f t="shared" si="25"/>
        <v>513.03031411385393</v>
      </c>
      <c r="V42" s="43">
        <f t="shared" ref="V42:AR42" si="26">V37/$C42</f>
        <v>265.70344882877885</v>
      </c>
      <c r="W42" s="43">
        <f t="shared" si="26"/>
        <v>196.03596131658728</v>
      </c>
      <c r="X42" s="43">
        <f t="shared" si="26"/>
        <v>191.87281171401486</v>
      </c>
      <c r="Y42" s="43">
        <f t="shared" si="26"/>
        <v>198.00195700121634</v>
      </c>
      <c r="Z42" s="43">
        <f t="shared" si="26"/>
        <v>182.4730425431421</v>
      </c>
      <c r="AA42" s="43">
        <f t="shared" si="26"/>
        <v>177.43466808192926</v>
      </c>
      <c r="AB42" s="43">
        <f t="shared" si="26"/>
        <v>236.14606632995432</v>
      </c>
      <c r="AC42" s="43">
        <f t="shared" si="26"/>
        <v>129.47255576592642</v>
      </c>
      <c r="AD42" s="43">
        <f t="shared" si="26"/>
        <v>125.37777469432569</v>
      </c>
      <c r="AE42" s="43">
        <f t="shared" si="26"/>
        <v>121.47501602866525</v>
      </c>
      <c r="AF42" s="43">
        <f t="shared" si="26"/>
        <v>117.85937981160626</v>
      </c>
      <c r="AG42" s="43">
        <f t="shared" si="26"/>
        <v>114.38348514115185</v>
      </c>
      <c r="AH42" s="43">
        <f t="shared" si="26"/>
        <v>111.08918405079456</v>
      </c>
      <c r="AI42" s="43">
        <f t="shared" si="26"/>
        <v>107.87843500515706</v>
      </c>
      <c r="AJ42" s="43">
        <f t="shared" si="26"/>
        <v>104.73730842521488</v>
      </c>
      <c r="AK42" s="43">
        <f t="shared" si="26"/>
        <v>101.75935018236522</v>
      </c>
      <c r="AL42" s="43">
        <f t="shared" si="26"/>
        <v>98.856220594678149</v>
      </c>
      <c r="AM42" s="43">
        <f t="shared" si="26"/>
        <v>96.261363989174299</v>
      </c>
      <c r="AN42" s="43">
        <f t="shared" si="26"/>
        <v>93.650728647931516</v>
      </c>
      <c r="AO42" s="43">
        <f t="shared" si="26"/>
        <v>91.180649469314332</v>
      </c>
      <c r="AP42" s="43">
        <f t="shared" si="26"/>
        <v>88.90336531354599</v>
      </c>
      <c r="AQ42" s="43">
        <f t="shared" si="26"/>
        <v>86.555434660075505</v>
      </c>
      <c r="AR42" s="43">
        <f t="shared" si="26"/>
        <v>84.390938834351189</v>
      </c>
    </row>
    <row r="43" spans="1:44">
      <c r="A43" s="29" t="s">
        <v>133</v>
      </c>
      <c r="C43" s="33">
        <f t="shared" ref="C43:C45" si="27">+C16</f>
        <v>15</v>
      </c>
      <c r="E43" s="43">
        <f t="shared" ref="E43:U43" si="28">E38/$C43</f>
        <v>39.026130470883736</v>
      </c>
      <c r="F43" s="43">
        <f t="shared" si="28"/>
        <v>72.998841870969784</v>
      </c>
      <c r="G43" s="43">
        <f t="shared" si="28"/>
        <v>154.73440653911996</v>
      </c>
      <c r="H43" s="43">
        <f t="shared" si="28"/>
        <v>79.173482593632471</v>
      </c>
      <c r="I43" s="43">
        <f t="shared" si="28"/>
        <v>85.025079651837146</v>
      </c>
      <c r="J43" s="43">
        <f t="shared" si="28"/>
        <v>110.3363400790075</v>
      </c>
      <c r="K43" s="43">
        <f t="shared" si="28"/>
        <v>119.88903986459097</v>
      </c>
      <c r="L43" s="43">
        <f t="shared" si="28"/>
        <v>101.52660722244777</v>
      </c>
      <c r="M43" s="43">
        <f t="shared" si="28"/>
        <v>87.13624217415547</v>
      </c>
      <c r="N43" s="43">
        <f t="shared" si="28"/>
        <v>80.829633669876046</v>
      </c>
      <c r="O43" s="43">
        <f t="shared" si="28"/>
        <v>85.714453020835393</v>
      </c>
      <c r="P43" s="43">
        <f t="shared" si="28"/>
        <v>102.17819167891908</v>
      </c>
      <c r="Q43" s="43">
        <f t="shared" si="28"/>
        <v>106.00192757505418</v>
      </c>
      <c r="R43" s="43">
        <f t="shared" si="28"/>
        <v>125.55753371862697</v>
      </c>
      <c r="S43" s="43">
        <f t="shared" si="28"/>
        <v>122.58295963368269</v>
      </c>
      <c r="T43" s="43">
        <f t="shared" si="28"/>
        <v>120.104428932567</v>
      </c>
      <c r="U43" s="43">
        <f t="shared" si="28"/>
        <v>119.30770143325354</v>
      </c>
      <c r="V43" s="43">
        <f t="shared" ref="V43:AR43" si="29">V38/$C43</f>
        <v>106.19767684672183</v>
      </c>
      <c r="W43" s="43">
        <f t="shared" si="29"/>
        <v>115.59525696334195</v>
      </c>
      <c r="X43" s="43">
        <f t="shared" si="29"/>
        <v>116.71671980651853</v>
      </c>
      <c r="Y43" s="43">
        <f t="shared" si="29"/>
        <v>125.56117228148102</v>
      </c>
      <c r="Z43" s="43">
        <f t="shared" si="29"/>
        <v>139.47821006844612</v>
      </c>
      <c r="AA43" s="43">
        <f t="shared" si="29"/>
        <v>153.17824970383418</v>
      </c>
      <c r="AB43" s="43">
        <f t="shared" si="29"/>
        <v>128.02747684053233</v>
      </c>
      <c r="AC43" s="43">
        <f t="shared" si="29"/>
        <v>131.85301795445383</v>
      </c>
      <c r="AD43" s="43">
        <f t="shared" si="29"/>
        <v>147.05131472994196</v>
      </c>
      <c r="AE43" s="43">
        <f t="shared" si="29"/>
        <v>155.89811701781065</v>
      </c>
      <c r="AF43" s="43">
        <f t="shared" si="29"/>
        <v>149.56913431575376</v>
      </c>
      <c r="AG43" s="43">
        <f t="shared" si="29"/>
        <v>148.43492267416326</v>
      </c>
      <c r="AH43" s="43">
        <f t="shared" si="29"/>
        <v>142.55717429563597</v>
      </c>
      <c r="AI43" s="43">
        <f t="shared" si="29"/>
        <v>145.5903531214218</v>
      </c>
      <c r="AJ43" s="43">
        <f t="shared" si="29"/>
        <v>155.36498130732389</v>
      </c>
      <c r="AK43" s="43">
        <f t="shared" si="29"/>
        <v>158.85271609097228</v>
      </c>
      <c r="AL43" s="43">
        <f t="shared" si="29"/>
        <v>172.46630405592126</v>
      </c>
      <c r="AM43" s="43">
        <f t="shared" si="29"/>
        <v>159.58395011206053</v>
      </c>
      <c r="AN43" s="43">
        <f t="shared" si="29"/>
        <v>161.22758041210687</v>
      </c>
      <c r="AO43" s="43">
        <f t="shared" si="29"/>
        <v>163.8430469031295</v>
      </c>
      <c r="AP43" s="43">
        <f t="shared" si="29"/>
        <v>151.93596372061944</v>
      </c>
      <c r="AQ43" s="43">
        <f t="shared" si="29"/>
        <v>162.19642072440323</v>
      </c>
      <c r="AR43" s="43">
        <f t="shared" si="29"/>
        <v>159.23794336443299</v>
      </c>
    </row>
    <row r="44" spans="1:44">
      <c r="A44" s="29" t="s">
        <v>134</v>
      </c>
      <c r="C44" s="33">
        <f t="shared" si="27"/>
        <v>5</v>
      </c>
      <c r="E44" s="43">
        <f>E39/$C44</f>
        <v>100.06113859339018</v>
      </c>
      <c r="F44" s="43">
        <f>F39/$C44</f>
        <v>17.451376204525705</v>
      </c>
      <c r="G44" s="43">
        <f>G39/$C44</f>
        <v>191.69963425633773</v>
      </c>
      <c r="H44" s="43">
        <f>H39/$C44</f>
        <v>14.213621535989557</v>
      </c>
      <c r="I44" s="43">
        <f>I39/$C44</f>
        <v>14.071485320629662</v>
      </c>
      <c r="J44" s="43">
        <f t="shared" ref="J44:U44" si="30">J39/$C44</f>
        <v>-38.29516919699784</v>
      </c>
      <c r="K44" s="43">
        <f t="shared" si="30"/>
        <v>13.791462762749131</v>
      </c>
      <c r="L44" s="43">
        <f t="shared" si="30"/>
        <v>13.653548135121639</v>
      </c>
      <c r="M44" s="43">
        <f t="shared" si="30"/>
        <v>36.444997589729532</v>
      </c>
      <c r="N44" s="43">
        <f t="shared" si="30"/>
        <v>11.966153931213148</v>
      </c>
      <c r="O44" s="43">
        <f t="shared" si="30"/>
        <v>7.8925696142044188</v>
      </c>
      <c r="P44" s="43">
        <f t="shared" si="30"/>
        <v>139.64986538405415</v>
      </c>
      <c r="Q44" s="43">
        <f t="shared" si="30"/>
        <v>30.602502013076911</v>
      </c>
      <c r="R44" s="43">
        <f t="shared" si="30"/>
        <v>30.064767012654244</v>
      </c>
      <c r="S44" s="43">
        <f t="shared" si="30"/>
        <v>29.868273381300089</v>
      </c>
      <c r="T44" s="43">
        <f t="shared" si="30"/>
        <v>27.428717018779423</v>
      </c>
      <c r="U44" s="43">
        <f t="shared" si="30"/>
        <v>27.249451760940008</v>
      </c>
      <c r="V44" s="43">
        <f t="shared" ref="V44:AR44" si="31">V39/$C44</f>
        <v>102.9546526908302</v>
      </c>
      <c r="W44" s="43">
        <f t="shared" si="31"/>
        <v>46.321202244709561</v>
      </c>
      <c r="X44" s="43">
        <f t="shared" si="31"/>
        <v>48.276072716977026</v>
      </c>
      <c r="Y44" s="43">
        <f t="shared" si="31"/>
        <v>25.756064465505329</v>
      </c>
      <c r="Z44" s="43">
        <f t="shared" si="31"/>
        <v>20.06320937594548</v>
      </c>
      <c r="AA44" s="43">
        <f t="shared" si="31"/>
        <v>18.189398735433695</v>
      </c>
      <c r="AB44" s="43">
        <f t="shared" si="31"/>
        <v>31.522021005092377</v>
      </c>
      <c r="AC44" s="43">
        <f t="shared" si="31"/>
        <v>31.522021005092377</v>
      </c>
      <c r="AD44" s="43">
        <f t="shared" si="31"/>
        <v>31.522021005092377</v>
      </c>
      <c r="AE44" s="43">
        <f t="shared" si="31"/>
        <v>31.522021005092377</v>
      </c>
      <c r="AF44" s="43">
        <f t="shared" si="31"/>
        <v>31.522021005092377</v>
      </c>
      <c r="AG44" s="43">
        <f t="shared" si="31"/>
        <v>31.522021005092377</v>
      </c>
      <c r="AH44" s="43">
        <f t="shared" si="31"/>
        <v>31.522021005092377</v>
      </c>
      <c r="AI44" s="43">
        <f t="shared" si="31"/>
        <v>31.522021005092377</v>
      </c>
      <c r="AJ44" s="43">
        <f t="shared" si="31"/>
        <v>31.522021005092377</v>
      </c>
      <c r="AK44" s="43">
        <f t="shared" si="31"/>
        <v>31.522021005092377</v>
      </c>
      <c r="AL44" s="43">
        <f t="shared" si="31"/>
        <v>31.522021005092377</v>
      </c>
      <c r="AM44" s="43">
        <f t="shared" si="31"/>
        <v>31.522021005092377</v>
      </c>
      <c r="AN44" s="43">
        <f t="shared" si="31"/>
        <v>31.522021005092377</v>
      </c>
      <c r="AO44" s="43">
        <f t="shared" si="31"/>
        <v>31.522021005092377</v>
      </c>
      <c r="AP44" s="43">
        <f t="shared" si="31"/>
        <v>31.522021005092377</v>
      </c>
      <c r="AQ44" s="43">
        <f t="shared" si="31"/>
        <v>31.522021005092377</v>
      </c>
      <c r="AR44" s="43">
        <f t="shared" si="31"/>
        <v>31.522021005092377</v>
      </c>
    </row>
    <row r="45" spans="1:44">
      <c r="A45" s="29" t="s">
        <v>180</v>
      </c>
      <c r="C45" s="33">
        <f t="shared" si="27"/>
        <v>33</v>
      </c>
      <c r="E45" s="43">
        <f t="shared" ref="E45:U45" si="32">(E33+E34)/$C$45</f>
        <v>0</v>
      </c>
      <c r="F45" s="43">
        <f t="shared" si="32"/>
        <v>0</v>
      </c>
      <c r="G45" s="43">
        <f t="shared" si="32"/>
        <v>0</v>
      </c>
      <c r="H45" s="43">
        <f t="shared" si="32"/>
        <v>0</v>
      </c>
      <c r="I45" s="43">
        <f t="shared" si="32"/>
        <v>0</v>
      </c>
      <c r="J45" s="43">
        <f t="shared" si="32"/>
        <v>0</v>
      </c>
      <c r="K45" s="43">
        <f t="shared" si="32"/>
        <v>0</v>
      </c>
      <c r="L45" s="43">
        <f t="shared" si="32"/>
        <v>0</v>
      </c>
      <c r="M45" s="43">
        <f t="shared" si="32"/>
        <v>123.14638363001836</v>
      </c>
      <c r="N45" s="43">
        <f t="shared" si="32"/>
        <v>45.019830610840529</v>
      </c>
      <c r="O45" s="43">
        <f t="shared" si="32"/>
        <v>-63.729888269723787</v>
      </c>
      <c r="P45" s="43">
        <f t="shared" si="32"/>
        <v>-107.60348050924286</v>
      </c>
      <c r="Q45" s="43">
        <f t="shared" si="32"/>
        <v>-56.191100946793696</v>
      </c>
      <c r="R45" s="43">
        <f t="shared" si="32"/>
        <v>-72.342272615168881</v>
      </c>
      <c r="S45" s="43">
        <f t="shared" si="32"/>
        <v>-83.921502373794269</v>
      </c>
      <c r="T45" s="43">
        <f t="shared" si="32"/>
        <v>3.5631330140161719</v>
      </c>
      <c r="U45" s="43">
        <f t="shared" si="32"/>
        <v>143.11372307285771</v>
      </c>
      <c r="V45" s="43">
        <f t="shared" ref="V45:AR45" si="33">(V33+V34)/$C$45</f>
        <v>0</v>
      </c>
      <c r="W45" s="43">
        <f t="shared" si="33"/>
        <v>0</v>
      </c>
      <c r="X45" s="43">
        <f t="shared" si="33"/>
        <v>0</v>
      </c>
      <c r="Y45" s="43">
        <f t="shared" si="33"/>
        <v>0</v>
      </c>
      <c r="Z45" s="43">
        <f t="shared" si="33"/>
        <v>0</v>
      </c>
      <c r="AA45" s="43">
        <f t="shared" si="33"/>
        <v>0</v>
      </c>
      <c r="AB45" s="43">
        <f t="shared" si="33"/>
        <v>0</v>
      </c>
      <c r="AC45" s="43">
        <f t="shared" si="33"/>
        <v>0</v>
      </c>
      <c r="AD45" s="43">
        <f t="shared" si="33"/>
        <v>0</v>
      </c>
      <c r="AE45" s="43">
        <f t="shared" si="33"/>
        <v>0</v>
      </c>
      <c r="AF45" s="43">
        <f t="shared" si="33"/>
        <v>0</v>
      </c>
      <c r="AG45" s="43">
        <f t="shared" si="33"/>
        <v>0</v>
      </c>
      <c r="AH45" s="43">
        <f t="shared" si="33"/>
        <v>0</v>
      </c>
      <c r="AI45" s="43">
        <f t="shared" si="33"/>
        <v>0</v>
      </c>
      <c r="AJ45" s="43">
        <f t="shared" si="33"/>
        <v>0</v>
      </c>
      <c r="AK45" s="43">
        <f t="shared" si="33"/>
        <v>0</v>
      </c>
      <c r="AL45" s="43">
        <f t="shared" si="33"/>
        <v>0</v>
      </c>
      <c r="AM45" s="43">
        <f t="shared" si="33"/>
        <v>0</v>
      </c>
      <c r="AN45" s="43">
        <f t="shared" si="33"/>
        <v>0</v>
      </c>
      <c r="AO45" s="43">
        <f t="shared" si="33"/>
        <v>0</v>
      </c>
      <c r="AP45" s="43">
        <f t="shared" si="33"/>
        <v>0</v>
      </c>
      <c r="AQ45" s="43">
        <f t="shared" si="33"/>
        <v>0</v>
      </c>
      <c r="AR45" s="43">
        <f t="shared" si="33"/>
        <v>0</v>
      </c>
    </row>
    <row r="46" spans="1:44">
      <c r="A46" s="27"/>
      <c r="E46" s="207">
        <f>+E19*Inputs!$S$32</f>
        <v>427.27011188842226</v>
      </c>
      <c r="F46" s="207">
        <f>+F19*Inputs!$S$32</f>
        <v>472.81721654025523</v>
      </c>
      <c r="G46" s="207">
        <f>+G19*Inputs!$S$32</f>
        <v>678.85224898758463</v>
      </c>
      <c r="H46" s="207">
        <f>+H19*Inputs!$S$32</f>
        <v>427.43151706636763</v>
      </c>
      <c r="I46" s="207">
        <f>+I19*Inputs!$S$32</f>
        <v>403.78853139770797</v>
      </c>
      <c r="J46" s="207">
        <f>+J19*Inputs!$S$32</f>
        <v>425.80635992120892</v>
      </c>
      <c r="K46" s="207">
        <f>+K19*Inputs!$S$32</f>
        <v>538.4728412536108</v>
      </c>
      <c r="L46" s="207">
        <f>+L19*Inputs!$S$32</f>
        <v>400.94713768825784</v>
      </c>
      <c r="M46" s="207">
        <f>+M19*Inputs!$S$32</f>
        <v>437.2979422241512</v>
      </c>
      <c r="N46" s="207">
        <f>+N19*Inputs!$S$32</f>
        <v>422.15904038622955</v>
      </c>
      <c r="O46" s="207">
        <f>+O19*Inputs!$S$32</f>
        <v>367.62553625025708</v>
      </c>
      <c r="P46" s="207">
        <f>+P19*Inputs!$S$32</f>
        <v>536.83887673096046</v>
      </c>
      <c r="Q46" s="207">
        <f>+Q19*Inputs!$S$32</f>
        <v>529.65120068794067</v>
      </c>
      <c r="R46" s="207">
        <f>+R19*Inputs!$S$32</f>
        <v>539.86312488414217</v>
      </c>
      <c r="S46" s="207">
        <f>+S19*Inputs!$S$32</f>
        <v>562.55815148374734</v>
      </c>
      <c r="T46" s="207">
        <f>+T19*Inputs!$S$32</f>
        <v>683.71394640274821</v>
      </c>
      <c r="U46" s="207">
        <f>+U19*Inputs!$S$32</f>
        <v>802.70119038090513</v>
      </c>
      <c r="V46" s="207">
        <f t="shared" ref="V46:AR46" si="34">SUM(V42:V45)</f>
        <v>474.85577836633087</v>
      </c>
      <c r="W46" s="207">
        <f t="shared" si="34"/>
        <v>357.9524205246388</v>
      </c>
      <c r="X46" s="207">
        <f t="shared" si="34"/>
        <v>356.86560423751041</v>
      </c>
      <c r="Y46" s="207">
        <f t="shared" si="34"/>
        <v>349.31919374820268</v>
      </c>
      <c r="Z46" s="207">
        <f t="shared" si="34"/>
        <v>342.01446198753365</v>
      </c>
      <c r="AA46" s="207">
        <f t="shared" si="34"/>
        <v>348.80231652119716</v>
      </c>
      <c r="AB46" s="207">
        <f t="shared" si="34"/>
        <v>395.69556417557902</v>
      </c>
      <c r="AC46" s="207">
        <f t="shared" si="34"/>
        <v>292.84759472547262</v>
      </c>
      <c r="AD46" s="207">
        <f t="shared" si="34"/>
        <v>303.95111042936003</v>
      </c>
      <c r="AE46" s="207">
        <f t="shared" si="34"/>
        <v>308.89515405156828</v>
      </c>
      <c r="AF46" s="207">
        <f t="shared" si="34"/>
        <v>298.95053513245239</v>
      </c>
      <c r="AG46" s="207">
        <f t="shared" si="34"/>
        <v>294.34042882040751</v>
      </c>
      <c r="AH46" s="207">
        <f t="shared" si="34"/>
        <v>285.1683793515229</v>
      </c>
      <c r="AI46" s="207">
        <f t="shared" si="34"/>
        <v>284.99080913167126</v>
      </c>
      <c r="AJ46" s="207">
        <f t="shared" si="34"/>
        <v>291.62431073763116</v>
      </c>
      <c r="AK46" s="207">
        <f t="shared" si="34"/>
        <v>292.13408727842989</v>
      </c>
      <c r="AL46" s="207">
        <f t="shared" si="34"/>
        <v>302.84454565569177</v>
      </c>
      <c r="AM46" s="207">
        <f t="shared" si="34"/>
        <v>287.36733510632723</v>
      </c>
      <c r="AN46" s="207">
        <f t="shared" si="34"/>
        <v>286.40033006513079</v>
      </c>
      <c r="AO46" s="207">
        <f t="shared" si="34"/>
        <v>286.54571737753622</v>
      </c>
      <c r="AP46" s="207">
        <f t="shared" si="34"/>
        <v>272.36135003925779</v>
      </c>
      <c r="AQ46" s="207">
        <f t="shared" si="34"/>
        <v>280.27387638957111</v>
      </c>
      <c r="AR46" s="207">
        <f t="shared" si="34"/>
        <v>275.15090320387657</v>
      </c>
    </row>
    <row r="47" spans="1:44">
      <c r="A47" s="37"/>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row r="48" spans="1:44">
      <c r="A48" s="27" t="s">
        <v>138</v>
      </c>
      <c r="C48" s="33">
        <f t="shared" ref="C48" si="35">+C21</f>
        <v>40</v>
      </c>
      <c r="E48" s="43">
        <f>$E$32/$C$21</f>
        <v>69.247708099057874</v>
      </c>
      <c r="F48" s="43">
        <f t="shared" ref="F48:AR48" si="36">$E$32/$C$21</f>
        <v>69.247708099057874</v>
      </c>
      <c r="G48" s="43">
        <f t="shared" si="36"/>
        <v>69.247708099057874</v>
      </c>
      <c r="H48" s="43">
        <f t="shared" si="36"/>
        <v>69.247708099057874</v>
      </c>
      <c r="I48" s="43">
        <f t="shared" si="36"/>
        <v>69.247708099057874</v>
      </c>
      <c r="J48" s="43">
        <f t="shared" si="36"/>
        <v>69.247708099057874</v>
      </c>
      <c r="K48" s="43">
        <f t="shared" si="36"/>
        <v>69.247708099057874</v>
      </c>
      <c r="L48" s="43">
        <f t="shared" si="36"/>
        <v>69.247708099057874</v>
      </c>
      <c r="M48" s="43">
        <f t="shared" si="36"/>
        <v>69.247708099057874</v>
      </c>
      <c r="N48" s="43">
        <f t="shared" si="36"/>
        <v>69.247708099057874</v>
      </c>
      <c r="O48" s="43">
        <f t="shared" si="36"/>
        <v>69.247708099057874</v>
      </c>
      <c r="P48" s="43">
        <f t="shared" si="36"/>
        <v>69.247708099057874</v>
      </c>
      <c r="Q48" s="43">
        <f t="shared" si="36"/>
        <v>69.247708099057874</v>
      </c>
      <c r="R48" s="43">
        <f t="shared" si="36"/>
        <v>69.247708099057874</v>
      </c>
      <c r="S48" s="43">
        <f t="shared" si="36"/>
        <v>69.247708099057874</v>
      </c>
      <c r="T48" s="43">
        <f t="shared" si="36"/>
        <v>69.247708099057874</v>
      </c>
      <c r="U48" s="43">
        <f t="shared" si="36"/>
        <v>69.247708099057874</v>
      </c>
      <c r="V48" s="43">
        <f t="shared" si="36"/>
        <v>69.247708099057874</v>
      </c>
      <c r="W48" s="43">
        <f t="shared" si="36"/>
        <v>69.247708099057874</v>
      </c>
      <c r="X48" s="43">
        <f t="shared" si="36"/>
        <v>69.247708099057874</v>
      </c>
      <c r="Y48" s="43">
        <f t="shared" si="36"/>
        <v>69.247708099057874</v>
      </c>
      <c r="Z48" s="43">
        <f t="shared" si="36"/>
        <v>69.247708099057874</v>
      </c>
      <c r="AA48" s="43">
        <f t="shared" si="36"/>
        <v>69.247708099057874</v>
      </c>
      <c r="AB48" s="43">
        <f t="shared" si="36"/>
        <v>69.247708099057874</v>
      </c>
      <c r="AC48" s="43">
        <f t="shared" si="36"/>
        <v>69.247708099057874</v>
      </c>
      <c r="AD48" s="43">
        <f t="shared" si="36"/>
        <v>69.247708099057874</v>
      </c>
      <c r="AE48" s="43">
        <f t="shared" si="36"/>
        <v>69.247708099057874</v>
      </c>
      <c r="AF48" s="43">
        <f t="shared" si="36"/>
        <v>69.247708099057874</v>
      </c>
      <c r="AG48" s="43">
        <f t="shared" si="36"/>
        <v>69.247708099057874</v>
      </c>
      <c r="AH48" s="43">
        <f t="shared" si="36"/>
        <v>69.247708099057874</v>
      </c>
      <c r="AI48" s="43">
        <f t="shared" si="36"/>
        <v>69.247708099057874</v>
      </c>
      <c r="AJ48" s="43">
        <f t="shared" si="36"/>
        <v>69.247708099057874</v>
      </c>
      <c r="AK48" s="43">
        <f t="shared" si="36"/>
        <v>69.247708099057874</v>
      </c>
      <c r="AL48" s="43">
        <f t="shared" si="36"/>
        <v>69.247708099057874</v>
      </c>
      <c r="AM48" s="43">
        <f t="shared" si="36"/>
        <v>69.247708099057874</v>
      </c>
      <c r="AN48" s="43">
        <f t="shared" si="36"/>
        <v>69.247708099057874</v>
      </c>
      <c r="AO48" s="43">
        <f t="shared" si="36"/>
        <v>69.247708099057874</v>
      </c>
      <c r="AP48" s="43">
        <f t="shared" si="36"/>
        <v>69.247708099057874</v>
      </c>
      <c r="AQ48" s="43">
        <f t="shared" si="36"/>
        <v>69.247708099057874</v>
      </c>
      <c r="AR48" s="43">
        <f t="shared" si="36"/>
        <v>69.247708099057874</v>
      </c>
    </row>
    <row r="49" spans="1:44">
      <c r="A49" s="29" t="s">
        <v>135</v>
      </c>
      <c r="E49" s="186">
        <f>E42</f>
        <v>288.18284282414839</v>
      </c>
      <c r="F49" s="186">
        <f>SUM($E$42:F$42)</f>
        <v>670.54984128890806</v>
      </c>
      <c r="G49" s="186">
        <f>SUM($E$42:G$42)</f>
        <v>1002.968049481035</v>
      </c>
      <c r="H49" s="186">
        <f>SUM($E$42:H$42)</f>
        <v>1337.0124624177806</v>
      </c>
      <c r="I49" s="186">
        <f>SUM($E$42:I$42)</f>
        <v>1641.7044288430218</v>
      </c>
      <c r="J49" s="186">
        <f>SUM($E$42:J$42)</f>
        <v>1995.469617882221</v>
      </c>
      <c r="K49" s="186">
        <f>SUM($E$42:K$42)</f>
        <v>2400.2619565084915</v>
      </c>
      <c r="L49" s="186">
        <f>SUM($E$42:L$42)</f>
        <v>2686.0289388391798</v>
      </c>
      <c r="M49" s="186">
        <f>SUM($E$42:M$42)</f>
        <v>2876.5992576694275</v>
      </c>
      <c r="N49" s="186">
        <f>SUM($E$42:N$42)</f>
        <v>3160.9426798437275</v>
      </c>
      <c r="O49" s="186">
        <f>SUM($E$42:O$42)</f>
        <v>3498.6910817286685</v>
      </c>
      <c r="P49" s="186">
        <f>SUM($E$42:P$42)</f>
        <v>3901.3053819058987</v>
      </c>
      <c r="Q49" s="186">
        <f>SUM($E$42:Q$42)</f>
        <v>4350.5432539525018</v>
      </c>
      <c r="R49" s="186">
        <f>SUM($E$42:R$42)</f>
        <v>4807.1263507205322</v>
      </c>
      <c r="S49" s="186">
        <f>SUM($E$42:S$42)</f>
        <v>5301.1547715630913</v>
      </c>
      <c r="T49" s="186">
        <f>SUM($E$42:T$42)</f>
        <v>5833.7724390004769</v>
      </c>
      <c r="U49" s="186">
        <f>SUM($E$42:U$42)</f>
        <v>6346.8027531143307</v>
      </c>
      <c r="V49" s="186">
        <f>SUM($E$42:V$42)</f>
        <v>6612.5062019431098</v>
      </c>
      <c r="W49" s="186">
        <f>SUM($E$42:W$42)</f>
        <v>6808.5421632596972</v>
      </c>
      <c r="X49" s="186">
        <f>SUM($E$42:X$42)</f>
        <v>7000.4149749737117</v>
      </c>
      <c r="Y49" s="186">
        <f>SUM($E$42:Y$42)</f>
        <v>7198.416931974928</v>
      </c>
      <c r="Z49" s="186">
        <f>SUM($E$42:Z$42)</f>
        <v>7380.8899745180697</v>
      </c>
      <c r="AA49" s="186">
        <f>SUM($E$42:AA$42)</f>
        <v>7558.3246425999987</v>
      </c>
      <c r="AB49" s="186">
        <f>SUM($E$42:AB$42)</f>
        <v>7794.4707089299527</v>
      </c>
      <c r="AC49" s="186">
        <f>SUM($E$42:AC$42)</f>
        <v>7923.9432646958794</v>
      </c>
      <c r="AD49" s="186">
        <f>SUM($E$42:AD$42)</f>
        <v>8049.3210393902054</v>
      </c>
      <c r="AE49" s="186">
        <f>SUM($E$42:AE$42)</f>
        <v>8170.7960554188703</v>
      </c>
      <c r="AF49" s="186">
        <f>SUM($E$42:AF$42)</f>
        <v>8288.6554352304775</v>
      </c>
      <c r="AG49" s="186">
        <f>SUM($E$42:AG$42)</f>
        <v>8403.0389203716295</v>
      </c>
      <c r="AH49" s="186">
        <f>SUM($E$42:AH$42)</f>
        <v>8514.1281044224233</v>
      </c>
      <c r="AI49" s="186">
        <f>SUM($E$42:AI$42)</f>
        <v>8622.0065394275807</v>
      </c>
      <c r="AJ49" s="186">
        <f>SUM($E$42:AJ$42)</f>
        <v>8726.7438478527947</v>
      </c>
      <c r="AK49" s="186">
        <f>SUM($E$42:AK$42)</f>
        <v>8828.5031980351596</v>
      </c>
      <c r="AL49" s="186">
        <f>SUM($E$42:AL$42)</f>
        <v>8927.3594186298378</v>
      </c>
      <c r="AM49" s="186">
        <f>SUM($E$42:AM$42)</f>
        <v>9023.620782619013</v>
      </c>
      <c r="AN49" s="186">
        <f>SUM($E$42:AN$42)</f>
        <v>9117.2715112669448</v>
      </c>
      <c r="AO49" s="186">
        <f>SUM($E$42:AO$42)</f>
        <v>9208.4521607362585</v>
      </c>
      <c r="AP49" s="186">
        <f>SUM($E$42:AP$42)</f>
        <v>9297.3555260498051</v>
      </c>
      <c r="AQ49" s="186">
        <f>SUM($E$42:AQ$42)</f>
        <v>9383.9109607098799</v>
      </c>
      <c r="AR49" s="186">
        <f>SUM($E$42:AR$42)</f>
        <v>9468.3018995442308</v>
      </c>
    </row>
    <row r="50" spans="1:44">
      <c r="A50" s="29" t="s">
        <v>136</v>
      </c>
      <c r="E50" s="186">
        <f>E43</f>
        <v>39.026130470883736</v>
      </c>
      <c r="F50" s="186">
        <f>SUM($E$43:F$43)</f>
        <v>112.02497234185353</v>
      </c>
      <c r="G50" s="186">
        <f>SUM($E$43:G$43)</f>
        <v>266.75937888097349</v>
      </c>
      <c r="H50" s="186">
        <f>SUM($E$43:H$43)</f>
        <v>345.93286147460594</v>
      </c>
      <c r="I50" s="186">
        <f>SUM($E$43:I$43)</f>
        <v>430.95794112644307</v>
      </c>
      <c r="J50" s="186">
        <f>SUM($E$43:J$43)</f>
        <v>541.2942812054506</v>
      </c>
      <c r="K50" s="186">
        <f>SUM($E$43:K$43)</f>
        <v>661.18332107004153</v>
      </c>
      <c r="L50" s="186">
        <f>SUM($E$43:L$43)</f>
        <v>762.70992829248928</v>
      </c>
      <c r="M50" s="186">
        <f>SUM($E$43:M$43)</f>
        <v>849.84617046664471</v>
      </c>
      <c r="N50" s="186">
        <f>SUM($E$43:N$43)</f>
        <v>930.67580413652081</v>
      </c>
      <c r="O50" s="186">
        <f>SUM($E$43:O$43)</f>
        <v>1016.3902571573562</v>
      </c>
      <c r="P50" s="186">
        <f>SUM($E$43:P$43)</f>
        <v>1118.5684488362754</v>
      </c>
      <c r="Q50" s="186">
        <f>SUM($E$43:Q$43)</f>
        <v>1224.5703764113296</v>
      </c>
      <c r="R50" s="186">
        <f>SUM($E$43:R$43)</f>
        <v>1350.1279101299565</v>
      </c>
      <c r="S50" s="186">
        <f>SUM($E$43:S$43)</f>
        <v>1472.7108697636393</v>
      </c>
      <c r="T50" s="186">
        <f t="shared" ref="T50:AR50" si="37">SUM(F$43:T$43)</f>
        <v>1553.7891682253226</v>
      </c>
      <c r="U50" s="186">
        <f t="shared" si="37"/>
        <v>1600.0980277876063</v>
      </c>
      <c r="V50" s="186">
        <f t="shared" si="37"/>
        <v>1551.5612980952083</v>
      </c>
      <c r="W50" s="186">
        <f t="shared" si="37"/>
        <v>1587.9830724649175</v>
      </c>
      <c r="X50" s="186">
        <f t="shared" si="37"/>
        <v>1619.6747126195989</v>
      </c>
      <c r="Y50" s="186">
        <f t="shared" si="37"/>
        <v>1634.8995448220724</v>
      </c>
      <c r="Z50" s="186">
        <f t="shared" si="37"/>
        <v>1654.4887150259274</v>
      </c>
      <c r="AA50" s="186">
        <f t="shared" si="37"/>
        <v>1706.1403575073139</v>
      </c>
      <c r="AB50" s="186">
        <f t="shared" si="37"/>
        <v>1747.0315921736906</v>
      </c>
      <c r="AC50" s="186">
        <f t="shared" si="37"/>
        <v>1798.0549764582686</v>
      </c>
      <c r="AD50" s="186">
        <f t="shared" si="37"/>
        <v>1859.3918381673752</v>
      </c>
      <c r="AE50" s="186">
        <f t="shared" si="37"/>
        <v>1913.1117635062667</v>
      </c>
      <c r="AF50" s="186">
        <f t="shared" si="37"/>
        <v>1956.6789702469662</v>
      </c>
      <c r="AG50" s="186">
        <f t="shared" si="37"/>
        <v>1979.5563592025026</v>
      </c>
      <c r="AH50" s="186">
        <f t="shared" si="37"/>
        <v>1999.5305738644561</v>
      </c>
      <c r="AI50" s="186">
        <f t="shared" si="37"/>
        <v>2025.0164980533104</v>
      </c>
      <c r="AJ50" s="186">
        <f t="shared" si="37"/>
        <v>2061.0737779273809</v>
      </c>
      <c r="AK50" s="186">
        <f t="shared" si="37"/>
        <v>2113.7288171716314</v>
      </c>
      <c r="AL50" s="186">
        <f t="shared" si="37"/>
        <v>2170.5998642642112</v>
      </c>
      <c r="AM50" s="186">
        <f t="shared" si="37"/>
        <v>2213.467094569753</v>
      </c>
      <c r="AN50" s="186">
        <f t="shared" si="37"/>
        <v>2249.1335027003788</v>
      </c>
      <c r="AO50" s="186">
        <f t="shared" si="37"/>
        <v>2273.4983395350623</v>
      </c>
      <c r="AP50" s="186">
        <f t="shared" si="37"/>
        <v>2272.2560535518473</v>
      </c>
      <c r="AQ50" s="186">
        <f t="shared" si="37"/>
        <v>2306.4249974357185</v>
      </c>
      <c r="AR50" s="186">
        <f t="shared" si="37"/>
        <v>2333.8099228456972</v>
      </c>
    </row>
    <row r="51" spans="1:44">
      <c r="A51" s="29" t="s">
        <v>137</v>
      </c>
      <c r="E51" s="186">
        <f>E44</f>
        <v>100.06113859339018</v>
      </c>
      <c r="F51" s="186">
        <f>SUM($E$44:F$44)</f>
        <v>117.51251479791588</v>
      </c>
      <c r="G51" s="186">
        <f>SUM($E$44:G$44)</f>
        <v>309.21214905425359</v>
      </c>
      <c r="H51" s="186">
        <f>SUM($E$44:H$44)</f>
        <v>323.42577059024313</v>
      </c>
      <c r="I51" s="186">
        <f>SUM($E$44:I$44)</f>
        <v>337.49725591087281</v>
      </c>
      <c r="J51" s="186">
        <f>SUM(F$44:J$44)</f>
        <v>199.14094812048478</v>
      </c>
      <c r="K51" s="186">
        <f t="shared" ref="K51:AR51" si="38">SUM(G$44:K$44)</f>
        <v>195.48103467870823</v>
      </c>
      <c r="L51" s="186">
        <f t="shared" si="38"/>
        <v>17.434948557492149</v>
      </c>
      <c r="M51" s="186">
        <f t="shared" si="38"/>
        <v>39.666324611232127</v>
      </c>
      <c r="N51" s="186">
        <f t="shared" si="38"/>
        <v>37.560993221815608</v>
      </c>
      <c r="O51" s="186">
        <f t="shared" si="38"/>
        <v>83.748732033017859</v>
      </c>
      <c r="P51" s="186">
        <f t="shared" si="38"/>
        <v>209.60713465432289</v>
      </c>
      <c r="Q51" s="186">
        <f t="shared" si="38"/>
        <v>226.55608853227815</v>
      </c>
      <c r="R51" s="186">
        <f t="shared" si="38"/>
        <v>220.17585795520287</v>
      </c>
      <c r="S51" s="186">
        <f t="shared" si="38"/>
        <v>238.0779774052898</v>
      </c>
      <c r="T51" s="186">
        <f t="shared" si="38"/>
        <v>257.61412480986485</v>
      </c>
      <c r="U51" s="186">
        <f t="shared" si="38"/>
        <v>145.21371118675069</v>
      </c>
      <c r="V51" s="186">
        <f t="shared" si="38"/>
        <v>217.56586186450397</v>
      </c>
      <c r="W51" s="186">
        <f t="shared" si="38"/>
        <v>233.82229709655925</v>
      </c>
      <c r="X51" s="186">
        <f t="shared" si="38"/>
        <v>252.23009643223622</v>
      </c>
      <c r="Y51" s="186">
        <f t="shared" si="38"/>
        <v>250.55744387896212</v>
      </c>
      <c r="Z51" s="186">
        <f t="shared" si="38"/>
        <v>243.37120149396759</v>
      </c>
      <c r="AA51" s="186">
        <f t="shared" si="38"/>
        <v>158.60594753857109</v>
      </c>
      <c r="AB51" s="186">
        <f t="shared" si="38"/>
        <v>143.8067662989539</v>
      </c>
      <c r="AC51" s="186">
        <f t="shared" si="38"/>
        <v>127.05271458706926</v>
      </c>
      <c r="AD51" s="186">
        <f t="shared" si="38"/>
        <v>132.81867112665628</v>
      </c>
      <c r="AE51" s="186">
        <f t="shared" si="38"/>
        <v>144.27748275580319</v>
      </c>
      <c r="AF51" s="186">
        <f t="shared" si="38"/>
        <v>157.61010502546188</v>
      </c>
      <c r="AG51" s="186">
        <f t="shared" si="38"/>
        <v>157.61010502546188</v>
      </c>
      <c r="AH51" s="186">
        <f t="shared" si="38"/>
        <v>157.61010502546188</v>
      </c>
      <c r="AI51" s="186">
        <f t="shared" si="38"/>
        <v>157.61010502546188</v>
      </c>
      <c r="AJ51" s="186">
        <f t="shared" si="38"/>
        <v>157.61010502546188</v>
      </c>
      <c r="AK51" s="186">
        <f t="shared" si="38"/>
        <v>157.61010502546188</v>
      </c>
      <c r="AL51" s="186">
        <f t="shared" si="38"/>
        <v>157.61010502546188</v>
      </c>
      <c r="AM51" s="186">
        <f t="shared" si="38"/>
        <v>157.61010502546188</v>
      </c>
      <c r="AN51" s="186">
        <f t="shared" si="38"/>
        <v>157.61010502546188</v>
      </c>
      <c r="AO51" s="186">
        <f t="shared" si="38"/>
        <v>157.61010502546188</v>
      </c>
      <c r="AP51" s="186">
        <f t="shared" si="38"/>
        <v>157.61010502546188</v>
      </c>
      <c r="AQ51" s="186">
        <f t="shared" si="38"/>
        <v>157.61010502546188</v>
      </c>
      <c r="AR51" s="186">
        <f t="shared" si="38"/>
        <v>157.61010502546188</v>
      </c>
    </row>
    <row r="52" spans="1:44">
      <c r="A52" s="29" t="s">
        <v>180</v>
      </c>
      <c r="E52" s="186"/>
      <c r="F52" s="186"/>
      <c r="G52" s="186"/>
      <c r="H52" s="186"/>
      <c r="I52" s="186"/>
      <c r="J52" s="186"/>
      <c r="K52" s="186"/>
      <c r="L52" s="186"/>
      <c r="M52" s="186">
        <f>SUM($M$45:M45)</f>
        <v>123.14638363001836</v>
      </c>
      <c r="N52" s="186">
        <f>SUM($M$45:N45)</f>
        <v>168.16621424085889</v>
      </c>
      <c r="O52" s="186">
        <f>SUM($M$45:O45)</f>
        <v>104.4363259711351</v>
      </c>
      <c r="P52" s="186">
        <f>SUM($M$45:P45)</f>
        <v>-3.1671545381077522</v>
      </c>
      <c r="Q52" s="186">
        <f>SUM($M$45:Q45)</f>
        <v>-59.358255484901449</v>
      </c>
      <c r="R52" s="186">
        <f>SUM($M$45:R45)</f>
        <v>-131.70052810007033</v>
      </c>
      <c r="S52" s="186">
        <f>SUM($M$45:S45)</f>
        <v>-215.62203047386458</v>
      </c>
      <c r="T52" s="186">
        <f>SUM($M$45:T45)</f>
        <v>-212.05889745984842</v>
      </c>
      <c r="U52" s="186">
        <f>SUM($M$45:U45)</f>
        <v>-68.945174386990715</v>
      </c>
      <c r="V52" s="186">
        <f>SUM($M$45:V45)</f>
        <v>-68.945174386990715</v>
      </c>
      <c r="W52" s="186">
        <f>SUM($M$45:W45)</f>
        <v>-68.945174386990715</v>
      </c>
      <c r="X52" s="186">
        <f>SUM($M$45:X45)</f>
        <v>-68.945174386990715</v>
      </c>
      <c r="Y52" s="186">
        <f>SUM($M$45:Y45)</f>
        <v>-68.945174386990715</v>
      </c>
      <c r="Z52" s="186">
        <f>SUM($M$45:Z45)</f>
        <v>-68.945174386990715</v>
      </c>
      <c r="AA52" s="186">
        <f>SUM($M$45:AA45)</f>
        <v>-68.945174386990715</v>
      </c>
      <c r="AB52" s="186">
        <f>SUM($M$45:AB45)</f>
        <v>-68.945174386990715</v>
      </c>
      <c r="AC52" s="186">
        <f>SUM($M$45:AC45)</f>
        <v>-68.945174386990715</v>
      </c>
      <c r="AD52" s="186">
        <f>SUM($M$45:AD45)</f>
        <v>-68.945174386990715</v>
      </c>
      <c r="AE52" s="186">
        <f>SUM($M$45:AE45)</f>
        <v>-68.945174386990715</v>
      </c>
      <c r="AF52" s="186">
        <f>SUM($M$45:AF45)</f>
        <v>-68.945174386990715</v>
      </c>
      <c r="AG52" s="186">
        <f>SUM($M$45:AG45)</f>
        <v>-68.945174386990715</v>
      </c>
      <c r="AH52" s="186">
        <f>SUM($M$45:AH45)</f>
        <v>-68.945174386990715</v>
      </c>
      <c r="AI52" s="186">
        <f>SUM($M$45:AI45)</f>
        <v>-68.945174386990715</v>
      </c>
      <c r="AJ52" s="186">
        <f>SUM($M$45:AJ45)</f>
        <v>-68.945174386990715</v>
      </c>
      <c r="AK52" s="186">
        <f>SUM($M$45:AK45)</f>
        <v>-68.945174386990715</v>
      </c>
      <c r="AL52" s="186">
        <f>SUM($M$45:AL45)</f>
        <v>-68.945174386990715</v>
      </c>
      <c r="AM52" s="186">
        <f>SUM($M$45:AM45)</f>
        <v>-68.945174386990715</v>
      </c>
      <c r="AN52" s="186">
        <f>SUM($M$45:AN45)</f>
        <v>-68.945174386990715</v>
      </c>
      <c r="AO52" s="186">
        <f>SUM($M$45:AO45)</f>
        <v>-68.945174386990715</v>
      </c>
      <c r="AP52" s="186">
        <f>SUM($M$45:AP45)</f>
        <v>-68.945174386990715</v>
      </c>
      <c r="AQ52" s="186">
        <f>SUM($M$45:AQ45)</f>
        <v>-68.945174386990715</v>
      </c>
      <c r="AR52" s="186">
        <f>SUM($M$45:AR45)</f>
        <v>-68.945174386990715</v>
      </c>
    </row>
    <row r="53" spans="1:44">
      <c r="A53" s="27"/>
      <c r="E53" s="207">
        <f t="shared" ref="E53:U53" si="39">SUM(E48:E52)</f>
        <v>496.51781998748021</v>
      </c>
      <c r="F53" s="207">
        <f t="shared" si="39"/>
        <v>969.33503652773527</v>
      </c>
      <c r="G53" s="207">
        <f t="shared" si="39"/>
        <v>1648.1872855153201</v>
      </c>
      <c r="H53" s="207">
        <f t="shared" si="39"/>
        <v>2075.6188025816878</v>
      </c>
      <c r="I53" s="207">
        <f t="shared" si="39"/>
        <v>2479.4073339793958</v>
      </c>
      <c r="J53" s="207">
        <f t="shared" si="39"/>
        <v>2805.1525553072142</v>
      </c>
      <c r="K53" s="207">
        <f t="shared" si="39"/>
        <v>3326.174020356299</v>
      </c>
      <c r="L53" s="207">
        <f t="shared" si="39"/>
        <v>3535.421523788219</v>
      </c>
      <c r="M53" s="207">
        <f t="shared" si="39"/>
        <v>3958.5058444763808</v>
      </c>
      <c r="N53" s="207">
        <f t="shared" si="39"/>
        <v>4366.5933995419809</v>
      </c>
      <c r="O53" s="207">
        <f t="shared" si="39"/>
        <v>4772.5141049892354</v>
      </c>
      <c r="P53" s="207">
        <f t="shared" si="39"/>
        <v>5295.5615189574473</v>
      </c>
      <c r="Q53" s="207">
        <f t="shared" si="39"/>
        <v>5811.5591715102655</v>
      </c>
      <c r="R53" s="207">
        <f t="shared" si="39"/>
        <v>6314.977298804678</v>
      </c>
      <c r="S53" s="207">
        <f t="shared" si="39"/>
        <v>6865.5692963572137</v>
      </c>
      <c r="T53" s="207">
        <f t="shared" si="39"/>
        <v>7502.3645426748735</v>
      </c>
      <c r="U53" s="207">
        <f t="shared" si="39"/>
        <v>8092.4170258007543</v>
      </c>
      <c r="V53" s="207">
        <f t="shared" ref="V53:AR53" si="40">SUM(V48:V52)</f>
        <v>8381.9358956148899</v>
      </c>
      <c r="W53" s="207">
        <f t="shared" si="40"/>
        <v>8630.6500665332424</v>
      </c>
      <c r="X53" s="207">
        <f t="shared" si="40"/>
        <v>8872.6223177376141</v>
      </c>
      <c r="Y53" s="207">
        <f t="shared" si="40"/>
        <v>9084.1764543880308</v>
      </c>
      <c r="Z53" s="207">
        <f t="shared" si="40"/>
        <v>9279.0524247500325</v>
      </c>
      <c r="AA53" s="207">
        <f t="shared" si="40"/>
        <v>9423.3734813579522</v>
      </c>
      <c r="AB53" s="207">
        <f t="shared" si="40"/>
        <v>9685.6116011146642</v>
      </c>
      <c r="AC53" s="207">
        <f t="shared" si="40"/>
        <v>9849.3534894532841</v>
      </c>
      <c r="AD53" s="207">
        <f t="shared" si="40"/>
        <v>10041.834082396304</v>
      </c>
      <c r="AE53" s="207">
        <f t="shared" si="40"/>
        <v>10228.487835393007</v>
      </c>
      <c r="AF53" s="207">
        <f t="shared" si="40"/>
        <v>10403.247044214973</v>
      </c>
      <c r="AG53" s="207">
        <f t="shared" si="40"/>
        <v>10540.507918311661</v>
      </c>
      <c r="AH53" s="207">
        <f t="shared" si="40"/>
        <v>10671.571317024409</v>
      </c>
      <c r="AI53" s="207">
        <f t="shared" si="40"/>
        <v>10804.93567621842</v>
      </c>
      <c r="AJ53" s="207">
        <f t="shared" si="40"/>
        <v>10945.730264517704</v>
      </c>
      <c r="AK53" s="207">
        <f t="shared" si="40"/>
        <v>11100.14465394432</v>
      </c>
      <c r="AL53" s="207">
        <f t="shared" si="40"/>
        <v>11255.871921631579</v>
      </c>
      <c r="AM53" s="207">
        <f t="shared" si="40"/>
        <v>11395.000515926295</v>
      </c>
      <c r="AN53" s="207">
        <f t="shared" si="40"/>
        <v>11524.317652704853</v>
      </c>
      <c r="AO53" s="207">
        <f t="shared" si="40"/>
        <v>11639.86313900885</v>
      </c>
      <c r="AP53" s="207">
        <f t="shared" si="40"/>
        <v>11727.524218339182</v>
      </c>
      <c r="AQ53" s="207">
        <f t="shared" si="40"/>
        <v>11848.248596883128</v>
      </c>
      <c r="AR53" s="207">
        <f t="shared" si="40"/>
        <v>11960.024461127457</v>
      </c>
    </row>
    <row r="54" spans="1:44">
      <c r="A54" s="37"/>
      <c r="O54" s="33"/>
      <c r="P54" s="33"/>
      <c r="Q54" s="33"/>
      <c r="R54" s="33"/>
      <c r="S54" s="43"/>
      <c r="T54" s="33"/>
      <c r="U54" s="33"/>
      <c r="V54" s="42"/>
      <c r="W54" s="42"/>
      <c r="X54" s="42"/>
      <c r="Y54" s="42"/>
      <c r="Z54" s="42"/>
      <c r="AA54" s="42"/>
      <c r="AB54" s="42"/>
      <c r="AC54" s="42"/>
      <c r="AD54" s="42"/>
      <c r="AE54" s="42"/>
      <c r="AF54" s="42"/>
      <c r="AG54" s="42"/>
      <c r="AH54" s="42"/>
      <c r="AI54" s="42"/>
      <c r="AJ54" s="42"/>
      <c r="AK54" s="42"/>
      <c r="AL54" s="42"/>
      <c r="AM54" s="42"/>
      <c r="AN54" s="42"/>
      <c r="AO54" s="42"/>
      <c r="AP54" s="42"/>
      <c r="AQ54" s="42"/>
      <c r="AR54" s="42"/>
    </row>
    <row r="55" spans="1:44">
      <c r="A55" s="87" t="s">
        <v>5</v>
      </c>
      <c r="D55" s="33">
        <f>+D28*Inputs!$S$32</f>
        <v>2769.9083239623151</v>
      </c>
      <c r="E55" s="210">
        <f t="shared" ref="E55:U55" si="41">E35+E40-E53</f>
        <v>14886.401866970975</v>
      </c>
      <c r="F55" s="210">
        <f t="shared" si="41"/>
        <v>30393.986278120799</v>
      </c>
      <c r="G55" s="210">
        <f t="shared" si="41"/>
        <v>45322.041589659042</v>
      </c>
      <c r="H55" s="210">
        <f t="shared" si="41"/>
        <v>57866.869651131616</v>
      </c>
      <c r="I55" s="210">
        <f t="shared" si="41"/>
        <v>68920.874595542569</v>
      </c>
      <c r="J55" s="210">
        <f t="shared" si="41"/>
        <v>81729.898857003456</v>
      </c>
      <c r="K55" s="210">
        <f t="shared" si="41"/>
        <v>96462.711293480592</v>
      </c>
      <c r="L55" s="210">
        <f t="shared" si="41"/>
        <v>105949.13591193224</v>
      </c>
      <c r="M55" s="210">
        <f t="shared" si="41"/>
        <v>115166.54210101736</v>
      </c>
      <c r="N55" s="210">
        <f t="shared" si="41"/>
        <v>124931.61527330932</v>
      </c>
      <c r="O55" s="210">
        <f t="shared" si="41"/>
        <v>132891.13057420039</v>
      </c>
      <c r="P55" s="210">
        <f t="shared" si="41"/>
        <v>142380.14840763118</v>
      </c>
      <c r="Q55" s="210">
        <f t="shared" si="41"/>
        <v>154426.83921043205</v>
      </c>
      <c r="R55" s="210">
        <f t="shared" si="41"/>
        <v>166021.57762689068</v>
      </c>
      <c r="S55" s="210">
        <f t="shared" si="41"/>
        <v>178135.82134731233</v>
      </c>
      <c r="T55" s="210">
        <f t="shared" si="41"/>
        <v>193994.45691067781</v>
      </c>
      <c r="U55" s="210">
        <f t="shared" si="41"/>
        <v>213071.86809113898</v>
      </c>
      <c r="V55" s="210">
        <f t="shared" ref="V55:AR55" si="42">V35+V40-V53</f>
        <v>217425.80856483025</v>
      </c>
      <c r="W55" s="210">
        <f t="shared" si="42"/>
        <v>218602.13181663418</v>
      </c>
      <c r="X55" s="210">
        <f t="shared" si="42"/>
        <v>219396.55312813984</v>
      </c>
      <c r="Y55" s="210">
        <f t="shared" si="42"/>
        <v>220244.65286035021</v>
      </c>
      <c r="Z55" s="210">
        <f t="shared" si="42"/>
        <v>220457.0113352323</v>
      </c>
      <c r="AA55" s="210">
        <f t="shared" si="42"/>
        <v>220519.64531638619</v>
      </c>
      <c r="AB55" s="210">
        <f t="shared" si="42"/>
        <v>222357.89862610315</v>
      </c>
      <c r="AC55" s="210">
        <f t="shared" si="42"/>
        <v>219822.85274162918</v>
      </c>
      <c r="AD55" s="210">
        <f t="shared" si="42"/>
        <v>217159.50947298051</v>
      </c>
      <c r="AE55" s="210">
        <f t="shared" si="42"/>
        <v>214286.10413902675</v>
      </c>
      <c r="AF55" s="210">
        <f t="shared" si="42"/>
        <v>210998.37940703778</v>
      </c>
      <c r="AG55" s="210">
        <f t="shared" si="42"/>
        <v>207417.3448395101</v>
      </c>
      <c r="AH55" s="210">
        <f t="shared" si="42"/>
        <v>203485.30860397746</v>
      </c>
      <c r="AI55" s="210">
        <f t="shared" si="42"/>
        <v>199336.97572981211</v>
      </c>
      <c r="AJ55" s="210">
        <f t="shared" si="42"/>
        <v>195068.82262693832</v>
      </c>
      <c r="AK55" s="210">
        <f t="shared" si="42"/>
        <v>190579.45282667864</v>
      </c>
      <c r="AL55" s="210">
        <f t="shared" si="42"/>
        <v>186022.43439469847</v>
      </c>
      <c r="AM55" s="210">
        <f t="shared" si="42"/>
        <v>181029.2577950455</v>
      </c>
      <c r="AN55" s="210">
        <f t="shared" si="42"/>
        <v>175826.99309946498</v>
      </c>
      <c r="AO55" s="210">
        <f t="shared" si="42"/>
        <v>170449.6117478011</v>
      </c>
      <c r="AP55" s="210">
        <f t="shared" si="42"/>
        <v>164714.87170283851</v>
      </c>
      <c r="AQ55" s="210">
        <f t="shared" si="42"/>
        <v>158919.39690824994</v>
      </c>
      <c r="AR55" s="210">
        <f t="shared" si="42"/>
        <v>152881.18925598849</v>
      </c>
    </row>
  </sheetData>
  <phoneticPr fontId="0" type="noConversion"/>
  <pageMargins left="0.74803149606299213" right="0.74803149606299213" top="0.98425196850393704" bottom="0.98425196850393704" header="0.51181102362204722" footer="0.51181102362204722"/>
  <pageSetup paperSize="8" scale="77" fitToWidth="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fitToPage="1"/>
  </sheetPr>
  <dimension ref="A1:AR99"/>
  <sheetViews>
    <sheetView zoomScaleNormal="100" workbookViewId="0">
      <pane xSplit="20" ySplit="5" topLeftCell="U84" activePane="bottomRight" state="frozen"/>
      <selection pane="topRight" activeCell="O1" sqref="O1"/>
      <selection pane="bottomLeft" activeCell="A6" sqref="A6"/>
      <selection pane="bottomRight" activeCell="A92" sqref="A92:XFD104"/>
    </sheetView>
  </sheetViews>
  <sheetFormatPr defaultColWidth="9.08984375" defaultRowHeight="13"/>
  <cols>
    <col min="1" max="1" width="39.81640625" style="11" bestFit="1" customWidth="1"/>
    <col min="2" max="20" width="0.36328125" style="33" hidden="1" customWidth="1"/>
    <col min="21" max="21" width="22.36328125" style="33" bestFit="1" customWidth="1"/>
    <col min="22" max="44" width="6.6328125" style="33" bestFit="1" customWidth="1"/>
    <col min="45" max="16384" width="9.08984375" style="11"/>
  </cols>
  <sheetData>
    <row r="1" spans="1:44" s="62" customFormat="1">
      <c r="A1" s="62" t="s">
        <v>53</v>
      </c>
      <c r="B1" s="38"/>
      <c r="C1" s="38"/>
      <c r="D1" s="38"/>
      <c r="E1" s="38"/>
      <c r="F1" s="38"/>
      <c r="G1" s="38"/>
      <c r="H1" s="38"/>
      <c r="I1" s="38"/>
      <c r="J1" s="38"/>
      <c r="K1" s="38"/>
      <c r="L1" s="38"/>
      <c r="M1" s="38"/>
      <c r="N1" s="38"/>
      <c r="O1" s="38"/>
      <c r="P1" s="38"/>
      <c r="Q1" s="38"/>
      <c r="R1" s="38"/>
      <c r="S1" s="38"/>
      <c r="T1" s="38"/>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c r="AM1" s="38">
        <f>+Inputs!AM1</f>
        <v>2040</v>
      </c>
      <c r="AN1" s="38">
        <f>+Inputs!AN1</f>
        <v>2041</v>
      </c>
      <c r="AO1" s="38">
        <f>+Inputs!AO1</f>
        <v>2042</v>
      </c>
      <c r="AP1" s="38">
        <f>+Inputs!AP1</f>
        <v>2043</v>
      </c>
      <c r="AQ1" s="38">
        <f>+Inputs!AQ1</f>
        <v>2044</v>
      </c>
      <c r="AR1" s="38">
        <f>+Inputs!AR1</f>
        <v>2045</v>
      </c>
    </row>
    <row r="3" spans="1:44">
      <c r="A3" s="12" t="s">
        <v>6</v>
      </c>
      <c r="B3" s="13"/>
      <c r="C3" s="13"/>
      <c r="D3" s="82"/>
      <c r="E3" s="82"/>
      <c r="F3" s="82"/>
      <c r="G3" s="82"/>
      <c r="H3" s="82"/>
      <c r="I3" s="82"/>
      <c r="J3" s="82"/>
      <c r="K3" s="82"/>
      <c r="L3" s="82"/>
      <c r="M3" s="82"/>
      <c r="N3" s="82"/>
      <c r="O3" s="82"/>
      <c r="P3" s="82"/>
      <c r="Q3" s="82"/>
      <c r="R3" s="82"/>
      <c r="S3" s="82"/>
      <c r="T3" s="69"/>
      <c r="U3" s="83"/>
      <c r="V3" s="83">
        <f>+Inputs!V5</f>
        <v>1.5669308641975303E-2</v>
      </c>
      <c r="W3" s="83">
        <f>+Inputs!W5</f>
        <v>3.2863958641975305E-2</v>
      </c>
      <c r="X3" s="83">
        <f>+Inputs!X5</f>
        <v>4.9734658641975307E-2</v>
      </c>
      <c r="Y3" s="83">
        <f>+Inputs!Y5</f>
        <v>5.4368958641975308E-2</v>
      </c>
      <c r="Z3" s="83">
        <f>+Inputs!Z5</f>
        <v>5.4368958641975308E-2</v>
      </c>
      <c r="AA3" s="83">
        <f>+Inputs!AA5</f>
        <v>5.4368958641975308E-2</v>
      </c>
      <c r="AB3" s="83">
        <f t="shared" ref="AB3:AR3" si="0">AA3</f>
        <v>5.4368958641975308E-2</v>
      </c>
      <c r="AC3" s="83">
        <f t="shared" si="0"/>
        <v>5.4368958641975308E-2</v>
      </c>
      <c r="AD3" s="83">
        <f t="shared" si="0"/>
        <v>5.4368958641975308E-2</v>
      </c>
      <c r="AE3" s="83">
        <f t="shared" si="0"/>
        <v>5.4368958641975308E-2</v>
      </c>
      <c r="AF3" s="83">
        <f t="shared" si="0"/>
        <v>5.4368958641975308E-2</v>
      </c>
      <c r="AG3" s="83">
        <f t="shared" si="0"/>
        <v>5.4368958641975308E-2</v>
      </c>
      <c r="AH3" s="83">
        <f t="shared" si="0"/>
        <v>5.4368958641975308E-2</v>
      </c>
      <c r="AI3" s="83">
        <f t="shared" si="0"/>
        <v>5.4368958641975308E-2</v>
      </c>
      <c r="AJ3" s="83">
        <f t="shared" si="0"/>
        <v>5.4368958641975308E-2</v>
      </c>
      <c r="AK3" s="83">
        <f t="shared" si="0"/>
        <v>5.4368958641975308E-2</v>
      </c>
      <c r="AL3" s="83">
        <f t="shared" si="0"/>
        <v>5.4368958641975308E-2</v>
      </c>
      <c r="AM3" s="83">
        <f t="shared" si="0"/>
        <v>5.4368958641975308E-2</v>
      </c>
      <c r="AN3" s="83">
        <f t="shared" si="0"/>
        <v>5.4368958641975308E-2</v>
      </c>
      <c r="AO3" s="83">
        <f t="shared" si="0"/>
        <v>5.4368958641975308E-2</v>
      </c>
      <c r="AP3" s="83">
        <f t="shared" si="0"/>
        <v>5.4368958641975308E-2</v>
      </c>
      <c r="AQ3" s="83">
        <f t="shared" si="0"/>
        <v>5.4368958641975308E-2</v>
      </c>
      <c r="AR3" s="83">
        <f t="shared" si="0"/>
        <v>5.4368958641975308E-2</v>
      </c>
    </row>
    <row r="4" spans="1:44">
      <c r="A4" s="12" t="s">
        <v>181</v>
      </c>
      <c r="B4" s="13"/>
      <c r="C4" s="13"/>
      <c r="D4" s="82"/>
      <c r="E4" s="82"/>
      <c r="F4" s="82"/>
      <c r="G4" s="82"/>
      <c r="H4" s="82"/>
      <c r="I4" s="82"/>
      <c r="J4" s="82"/>
      <c r="K4" s="82"/>
      <c r="L4" s="82"/>
      <c r="M4" s="82"/>
      <c r="N4" s="82"/>
      <c r="O4" s="82"/>
      <c r="P4" s="82"/>
      <c r="Q4" s="82"/>
      <c r="S4" s="82"/>
      <c r="T4" s="69"/>
      <c r="U4" s="211">
        <f>+Inputs!U104</f>
        <v>0.5</v>
      </c>
      <c r="V4" s="83">
        <f t="shared" ref="V4:AR4" si="1">V5*(1+V3*$U$4)</f>
        <v>0.99228621535146799</v>
      </c>
      <c r="W4" s="83">
        <f t="shared" si="1"/>
        <v>0.96890872815434792</v>
      </c>
      <c r="X4" s="83">
        <f t="shared" si="1"/>
        <v>0.93066345436755904</v>
      </c>
      <c r="Y4" s="83">
        <f t="shared" si="1"/>
        <v>0.88466907969716302</v>
      </c>
      <c r="Z4" s="83">
        <f t="shared" si="1"/>
        <v>0.83905076344111518</v>
      </c>
      <c r="AA4" s="83">
        <f t="shared" si="1"/>
        <v>0.79578477397685399</v>
      </c>
      <c r="AB4" s="83">
        <f t="shared" si="1"/>
        <v>0.75474981262898977</v>
      </c>
      <c r="AC4" s="83">
        <f t="shared" si="1"/>
        <v>0.71583083553702653</v>
      </c>
      <c r="AD4" s="83">
        <f t="shared" si="1"/>
        <v>0.67891873112332035</v>
      </c>
      <c r="AE4" s="83">
        <f t="shared" si="1"/>
        <v>0.6439100141925328</v>
      </c>
      <c r="AF4" s="83">
        <f t="shared" si="1"/>
        <v>0.61070653580496848</v>
      </c>
      <c r="AG4" s="83">
        <f t="shared" si="1"/>
        <v>0.57921520811041038</v>
      </c>
      <c r="AH4" s="83">
        <f t="shared" si="1"/>
        <v>0.54934774337100956</v>
      </c>
      <c r="AI4" s="83">
        <f t="shared" si="1"/>
        <v>0.521020406441563</v>
      </c>
      <c r="AJ4" s="83">
        <f t="shared" si="1"/>
        <v>0.494153780013247</v>
      </c>
      <c r="AK4" s="83">
        <f t="shared" si="1"/>
        <v>0.46867254196265024</v>
      </c>
      <c r="AL4" s="83">
        <f t="shared" si="1"/>
        <v>0.44450525418189413</v>
      </c>
      <c r="AM4" s="83">
        <f t="shared" si="1"/>
        <v>0.42158416229781248</v>
      </c>
      <c r="AN4" s="83">
        <f t="shared" si="1"/>
        <v>0.39984500571869253</v>
      </c>
      <c r="AO4" s="83">
        <f t="shared" si="1"/>
        <v>0.37922683747603109</v>
      </c>
      <c r="AP4" s="83">
        <f t="shared" si="1"/>
        <v>0.35967185335622393</v>
      </c>
      <c r="AQ4" s="83">
        <f t="shared" si="1"/>
        <v>0.34112522984314753</v>
      </c>
      <c r="AR4" s="83">
        <f t="shared" si="1"/>
        <v>0.32353497041729679</v>
      </c>
    </row>
    <row r="5" spans="1:44">
      <c r="A5" s="12" t="s">
        <v>7</v>
      </c>
      <c r="B5" s="13"/>
      <c r="C5" s="13"/>
      <c r="D5" s="13"/>
      <c r="E5" s="13"/>
      <c r="F5" s="13"/>
      <c r="G5" s="13"/>
      <c r="H5" s="13"/>
      <c r="I5" s="13"/>
      <c r="J5" s="13"/>
      <c r="K5" s="13"/>
      <c r="L5" s="13"/>
      <c r="M5" s="13"/>
      <c r="N5" s="13"/>
      <c r="O5" s="13"/>
      <c r="P5" s="13"/>
      <c r="Q5" s="13"/>
      <c r="R5" s="13"/>
      <c r="S5" s="13"/>
      <c r="T5" s="13"/>
      <c r="U5" s="212">
        <f>+Inputs!U105</f>
        <v>1</v>
      </c>
      <c r="V5" s="83">
        <f t="shared" ref="V5:AR5" si="2">U5/(1+V3)</f>
        <v>0.98457243070293587</v>
      </c>
      <c r="W5" s="83">
        <f t="shared" si="2"/>
        <v>0.95324502560575963</v>
      </c>
      <c r="X5" s="83">
        <f t="shared" si="2"/>
        <v>0.90808188312935878</v>
      </c>
      <c r="Y5" s="83">
        <f t="shared" si="2"/>
        <v>0.86125627626496715</v>
      </c>
      <c r="Z5" s="83">
        <f t="shared" si="2"/>
        <v>0.81684525061726321</v>
      </c>
      <c r="AA5" s="83">
        <f t="shared" si="2"/>
        <v>0.77472429733644466</v>
      </c>
      <c r="AB5" s="83">
        <f t="shared" si="2"/>
        <v>0.73477532792153488</v>
      </c>
      <c r="AC5" s="83">
        <f t="shared" si="2"/>
        <v>0.69688634315251818</v>
      </c>
      <c r="AD5" s="83">
        <f t="shared" si="2"/>
        <v>0.66095111909412252</v>
      </c>
      <c r="AE5" s="83">
        <f t="shared" si="2"/>
        <v>0.62686890929094308</v>
      </c>
      <c r="AF5" s="83">
        <f t="shared" si="2"/>
        <v>0.59454416231899387</v>
      </c>
      <c r="AG5" s="83">
        <f t="shared" si="2"/>
        <v>0.56388625390182701</v>
      </c>
      <c r="AH5" s="83">
        <f t="shared" si="2"/>
        <v>0.53480923284019211</v>
      </c>
      <c r="AI5" s="83">
        <f t="shared" si="2"/>
        <v>0.507231580042934</v>
      </c>
      <c r="AJ5" s="83">
        <f t="shared" si="2"/>
        <v>0.48107597998356005</v>
      </c>
      <c r="AK5" s="83">
        <f t="shared" si="2"/>
        <v>0.45626910394174042</v>
      </c>
      <c r="AL5" s="83">
        <f t="shared" si="2"/>
        <v>0.43274140442204778</v>
      </c>
      <c r="AM5" s="83">
        <f t="shared" si="2"/>
        <v>0.41042692017357724</v>
      </c>
      <c r="AN5" s="83">
        <f t="shared" si="2"/>
        <v>0.38926309126380781</v>
      </c>
      <c r="AO5" s="83">
        <f t="shared" si="2"/>
        <v>0.36919058368825436</v>
      </c>
      <c r="AP5" s="83">
        <f t="shared" si="2"/>
        <v>0.35015312302419349</v>
      </c>
      <c r="AQ5" s="83">
        <f t="shared" si="2"/>
        <v>0.33209733666210156</v>
      </c>
      <c r="AR5" s="83">
        <f t="shared" si="2"/>
        <v>0.31497260417249207</v>
      </c>
    </row>
    <row r="7" spans="1:44">
      <c r="A7" s="12" t="s">
        <v>3</v>
      </c>
      <c r="B7" s="13"/>
      <c r="C7" s="13"/>
      <c r="D7" s="13"/>
      <c r="E7" s="13"/>
      <c r="F7" s="13"/>
      <c r="G7" s="13"/>
      <c r="H7" s="13"/>
      <c r="I7" s="13"/>
      <c r="J7" s="13"/>
      <c r="K7" s="13"/>
      <c r="L7" s="13"/>
      <c r="M7" s="13"/>
      <c r="N7" s="13"/>
      <c r="O7" s="13"/>
      <c r="P7" s="13"/>
      <c r="Q7" s="13"/>
      <c r="R7" s="13"/>
      <c r="S7" s="13"/>
      <c r="U7" s="13"/>
      <c r="V7" s="13">
        <f>+Inputs!V15</f>
        <v>12735.876369306134</v>
      </c>
      <c r="W7" s="13">
        <f>+Inputs!W15</f>
        <v>9806.9733183371682</v>
      </c>
      <c r="X7" s="13">
        <f>+Inputs!X15</f>
        <v>9667.0436292432587</v>
      </c>
      <c r="Y7" s="13">
        <f>+Inputs!Y15</f>
        <v>9932.2761865983957</v>
      </c>
      <c r="Z7" s="13">
        <f>+Inputs!Z15</f>
        <v>9491.4108996321029</v>
      </c>
      <c r="AA7" s="13">
        <f>+Inputs!AA15</f>
        <v>9486.0074625118523</v>
      </c>
      <c r="AB7" s="13">
        <f>+Inputs!AB15</f>
        <v>11523.86491083162</v>
      </c>
      <c r="AC7" s="13">
        <f>+Inputs!AC15</f>
        <v>7314.3076049793262</v>
      </c>
      <c r="AD7" s="13">
        <f>+Inputs!AD15</f>
        <v>7378.4908137476195</v>
      </c>
      <c r="AE7" s="13">
        <f>+Inputs!AE15</f>
        <v>7355.0825014392321</v>
      </c>
      <c r="AF7" s="13">
        <f>+Inputs!AF15</f>
        <v>7115.5223122260186</v>
      </c>
      <c r="AG7" s="13">
        <f>+Inputs!AG15</f>
        <v>6959.4733507839846</v>
      </c>
      <c r="AH7" s="13">
        <f>+Inputs!AH15</f>
        <v>6739.5350814917838</v>
      </c>
      <c r="AI7" s="13">
        <f>+Inputs!AI15</f>
        <v>6656.6028020530712</v>
      </c>
      <c r="AJ7" s="13">
        <f>+Inputs!AJ15</f>
        <v>6677.577161643916</v>
      </c>
      <c r="AK7" s="13">
        <f>+Inputs!AK15</f>
        <v>6610.7748536846557</v>
      </c>
      <c r="AL7" s="13">
        <f>+Inputs!AL15</f>
        <v>6698.8534896514066</v>
      </c>
      <c r="AM7" s="13">
        <f>+Inputs!AM15</f>
        <v>6401.8239162733425</v>
      </c>
      <c r="AN7" s="13">
        <f>+Inputs!AN15</f>
        <v>6322.052957124326</v>
      </c>
      <c r="AO7" s="13">
        <f>+Inputs!AO15</f>
        <v>6262.4817873449774</v>
      </c>
      <c r="AP7" s="13">
        <f>+Inputs!AP15</f>
        <v>5992.7841733765927</v>
      </c>
      <c r="AQ7" s="13">
        <f>+Inputs!AQ15</f>
        <v>6052.7738022945305</v>
      </c>
      <c r="AR7" s="13">
        <f>+Inputs!AR15</f>
        <v>5921.8168088660041</v>
      </c>
    </row>
    <row r="8" spans="1:44">
      <c r="A8" s="12" t="s">
        <v>8</v>
      </c>
      <c r="B8" s="13"/>
      <c r="C8" s="13"/>
      <c r="D8" s="13"/>
      <c r="E8" s="13"/>
      <c r="F8" s="13"/>
      <c r="G8" s="13"/>
      <c r="H8" s="13"/>
      <c r="I8" s="13"/>
      <c r="J8" s="13"/>
      <c r="K8" s="13"/>
      <c r="L8" s="13"/>
      <c r="M8" s="13"/>
      <c r="N8" s="13"/>
      <c r="O8" s="13"/>
      <c r="P8" s="13"/>
      <c r="Q8" s="13"/>
      <c r="R8" s="13"/>
      <c r="S8" s="13"/>
      <c r="U8" s="13"/>
      <c r="V8" s="13">
        <f>+Inputs!V9</f>
        <v>8535.2909494267114</v>
      </c>
      <c r="W8" s="13">
        <f>+Inputs!W9</f>
        <v>8953.8721069889125</v>
      </c>
      <c r="X8" s="13">
        <f>+Inputs!X9</f>
        <v>9454.9712942626502</v>
      </c>
      <c r="Y8" s="13">
        <f>+Inputs!Y9</f>
        <v>9850.8714166470982</v>
      </c>
      <c r="Z8" s="13">
        <f>+Inputs!Z9</f>
        <v>9909.9026139898106</v>
      </c>
      <c r="AA8" s="13">
        <f>+Inputs!AA9</f>
        <v>10029.005530072303</v>
      </c>
      <c r="AB8" s="13">
        <f>+Inputs!AB9</f>
        <v>10180.589649722551</v>
      </c>
      <c r="AC8" s="13">
        <f>+Inputs!AC9</f>
        <v>10358.585097462117</v>
      </c>
      <c r="AD8" s="13">
        <f>+Inputs!AD9</f>
        <v>10529.438396922804</v>
      </c>
      <c r="AE8" s="13">
        <f>+Inputs!AE9</f>
        <v>10694.32620025283</v>
      </c>
      <c r="AF8" s="13">
        <f>+Inputs!AF9</f>
        <v>10852.676860603196</v>
      </c>
      <c r="AG8" s="13">
        <f>+Inputs!AG9</f>
        <v>11006.20068774362</v>
      </c>
      <c r="AH8" s="13">
        <f>+Inputs!AH9</f>
        <v>11154.224700546425</v>
      </c>
      <c r="AI8" s="13">
        <f>+Inputs!AI9</f>
        <v>11297.782259556689</v>
      </c>
      <c r="AJ8" s="13">
        <f>+Inputs!AJ9</f>
        <v>11436.679392085045</v>
      </c>
      <c r="AK8" s="13">
        <f>+Inputs!AK9</f>
        <v>11571.331872798937</v>
      </c>
      <c r="AL8" s="13">
        <f>+Inputs!AL9</f>
        <v>11702.129673595129</v>
      </c>
      <c r="AM8" s="13">
        <f>+Inputs!AM9</f>
        <v>11829.395459716881</v>
      </c>
      <c r="AN8" s="13">
        <f>+Inputs!AN9</f>
        <v>11952.867178780527</v>
      </c>
      <c r="AO8" s="13">
        <f>+Inputs!AO9</f>
        <v>12073.481117321051</v>
      </c>
      <c r="AP8" s="13">
        <f>+Inputs!AP9</f>
        <v>12190.882246137173</v>
      </c>
      <c r="AQ8" s="13">
        <f>+Inputs!AQ9</f>
        <v>12305.324710523269</v>
      </c>
      <c r="AR8" s="13">
        <f>+Inputs!AR9</f>
        <v>12419.335586329657</v>
      </c>
    </row>
    <row r="9" spans="1:44">
      <c r="A9" s="12"/>
      <c r="B9" s="13"/>
      <c r="C9" s="13"/>
      <c r="D9" s="13"/>
      <c r="E9" s="13"/>
      <c r="F9" s="13"/>
      <c r="G9" s="13"/>
      <c r="H9" s="13"/>
      <c r="I9" s="13"/>
      <c r="J9" s="13"/>
      <c r="K9" s="13"/>
      <c r="L9" s="13"/>
      <c r="M9" s="13"/>
      <c r="N9" s="13"/>
      <c r="O9" s="13"/>
      <c r="P9" s="13"/>
      <c r="Q9" s="13"/>
      <c r="R9" s="13"/>
      <c r="S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c r="A10" s="15" t="s">
        <v>40</v>
      </c>
      <c r="B10" s="14"/>
      <c r="C10" s="14"/>
      <c r="D10" s="14"/>
      <c r="E10" s="14"/>
      <c r="F10" s="14"/>
      <c r="G10" s="14"/>
      <c r="H10" s="14"/>
      <c r="I10" s="14"/>
      <c r="J10" s="14"/>
      <c r="K10" s="14"/>
      <c r="L10" s="14"/>
      <c r="M10" s="14"/>
      <c r="N10" s="14"/>
      <c r="O10" s="14"/>
      <c r="P10" s="14"/>
      <c r="Q10" s="14"/>
      <c r="R10" s="14"/>
      <c r="S10" s="14"/>
      <c r="U10" s="13"/>
      <c r="V10" s="13">
        <f>+Inputs!V18</f>
        <v>22128.372675000002</v>
      </c>
      <c r="W10" s="13">
        <f>+Inputs!W18</f>
        <v>24237.425691000004</v>
      </c>
      <c r="X10" s="13">
        <f>+Inputs!X18</f>
        <v>27066.706343999998</v>
      </c>
      <c r="Y10" s="13">
        <f>+Inputs!Y18</f>
        <v>29594.81568</v>
      </c>
      <c r="Z10" s="13">
        <f>+Inputs!Z18</f>
        <v>31718.016480000002</v>
      </c>
      <c r="AA10" s="13">
        <f>+Inputs!AA18</f>
        <v>33781.533599999995</v>
      </c>
      <c r="AB10" s="13">
        <f>+Inputs!AB18</f>
        <v>35242.71870494118</v>
      </c>
      <c r="AC10" s="13">
        <f>+Inputs!AC18</f>
        <v>36482.20230776471</v>
      </c>
      <c r="AD10" s="13">
        <f>+Inputs!AD18</f>
        <v>37629.033328941179</v>
      </c>
      <c r="AE10" s="13">
        <f>+Inputs!AE18</f>
        <v>38687.129127529421</v>
      </c>
      <c r="AF10" s="13">
        <f>+Inputs!AF18</f>
        <v>39660.373383529426</v>
      </c>
      <c r="AG10" s="13">
        <f>+Inputs!AG18</f>
        <v>40552.798537411771</v>
      </c>
      <c r="AH10" s="13">
        <f>+Inputs!AH18</f>
        <v>41368.07574211766</v>
      </c>
      <c r="AI10" s="13">
        <f>+Inputs!AI18</f>
        <v>42109.592882823541</v>
      </c>
      <c r="AJ10" s="13">
        <f>+Inputs!AJ18</f>
        <v>42780.511013647068</v>
      </c>
      <c r="AK10" s="13">
        <f>+Inputs!AK18</f>
        <v>43383.72917647061</v>
      </c>
      <c r="AL10" s="13">
        <f>+Inputs!AL18</f>
        <v>43922.202093176486</v>
      </c>
      <c r="AM10" s="13">
        <f>+Inputs!AM18</f>
        <v>44398.801857882383</v>
      </c>
      <c r="AN10" s="13">
        <f>+Inputs!AN18</f>
        <v>44816.020314352972</v>
      </c>
      <c r="AO10" s="13">
        <f>+Inputs!AO18</f>
        <v>45176.409108705906</v>
      </c>
      <c r="AP10" s="13">
        <f>+Inputs!AP18</f>
        <v>45482.446701176501</v>
      </c>
      <c r="AQ10" s="13">
        <f>+Inputs!AQ18</f>
        <v>45736.253144470626</v>
      </c>
      <c r="AR10" s="13">
        <f>+Inputs!AR18</f>
        <v>45939.891840000033</v>
      </c>
    </row>
    <row r="11" spans="1:44">
      <c r="A11" s="15" t="s">
        <v>41</v>
      </c>
      <c r="B11" s="14"/>
      <c r="C11" s="14"/>
      <c r="D11" s="14"/>
      <c r="E11" s="14"/>
      <c r="F11" s="14"/>
      <c r="G11" s="14"/>
      <c r="H11" s="14"/>
      <c r="I11" s="14"/>
      <c r="J11" s="14"/>
      <c r="K11" s="14"/>
      <c r="L11" s="14"/>
      <c r="M11" s="14"/>
      <c r="N11" s="14"/>
      <c r="O11" s="14"/>
      <c r="P11" s="14"/>
      <c r="Q11" s="14"/>
      <c r="R11" s="14"/>
      <c r="S11" s="14"/>
      <c r="U11" s="13"/>
      <c r="V11" s="13">
        <f>+Inputs!V19</f>
        <v>7004.1530000000002</v>
      </c>
      <c r="W11" s="13">
        <f>+Inputs!W19</f>
        <v>7276.0789400000003</v>
      </c>
      <c r="X11" s="13">
        <f>+Inputs!X19</f>
        <v>7466.4270980000001</v>
      </c>
      <c r="Y11" s="13">
        <f>+Inputs!Y19</f>
        <v>7910.5727999999999</v>
      </c>
      <c r="Z11" s="13">
        <f>+Inputs!Z19</f>
        <v>7910.5727999999999</v>
      </c>
      <c r="AA11" s="13">
        <f>+Inputs!AA19</f>
        <v>7910.5727999999999</v>
      </c>
      <c r="AB11" s="13">
        <f>+Inputs!AB19</f>
        <v>7817.5072376470598</v>
      </c>
      <c r="AC11" s="13">
        <f>+Inputs!AC19</f>
        <v>7724.4416752941179</v>
      </c>
      <c r="AD11" s="13">
        <f>+Inputs!AD19</f>
        <v>7631.3761129411778</v>
      </c>
      <c r="AE11" s="13">
        <f>+Inputs!AE19</f>
        <v>7538.3105505882359</v>
      </c>
      <c r="AF11" s="13">
        <f>+Inputs!AF19</f>
        <v>7445.2449882352958</v>
      </c>
      <c r="AG11" s="13">
        <f>+Inputs!AG19</f>
        <v>7352.1794258823547</v>
      </c>
      <c r="AH11" s="13">
        <f>+Inputs!AH19</f>
        <v>7259.1138635294137</v>
      </c>
      <c r="AI11" s="13">
        <f>+Inputs!AI19</f>
        <v>7166.0483011764736</v>
      </c>
      <c r="AJ11" s="13">
        <f>+Inputs!AJ19</f>
        <v>7072.9827388235317</v>
      </c>
      <c r="AK11" s="13">
        <f>+Inputs!AK19</f>
        <v>6979.9171764705916</v>
      </c>
      <c r="AL11" s="13">
        <f>+Inputs!AL19</f>
        <v>6886.8516141176506</v>
      </c>
      <c r="AM11" s="13">
        <f>+Inputs!AM19</f>
        <v>6793.7860517647096</v>
      </c>
      <c r="AN11" s="13">
        <f>+Inputs!AN19</f>
        <v>6700.7204894117685</v>
      </c>
      <c r="AO11" s="13">
        <f>+Inputs!AO19</f>
        <v>6607.6549270588284</v>
      </c>
      <c r="AP11" s="13">
        <f>+Inputs!AP19</f>
        <v>6514.5893647058874</v>
      </c>
      <c r="AQ11" s="13">
        <f>+Inputs!AQ19</f>
        <v>6421.5238023529464</v>
      </c>
      <c r="AR11" s="13">
        <f>+Inputs!AR19</f>
        <v>6328.4582400000054</v>
      </c>
    </row>
    <row r="12" spans="1:44">
      <c r="A12" s="15" t="s">
        <v>43</v>
      </c>
      <c r="B12" s="14"/>
      <c r="C12" s="14"/>
      <c r="D12" s="14"/>
      <c r="E12" s="14"/>
      <c r="F12" s="14"/>
      <c r="G12" s="14"/>
      <c r="H12" s="14"/>
      <c r="I12" s="14"/>
      <c r="J12" s="14"/>
      <c r="K12" s="14"/>
      <c r="L12" s="14"/>
      <c r="M12" s="14"/>
      <c r="N12" s="14"/>
      <c r="O12" s="14"/>
      <c r="P12" s="14"/>
      <c r="Q12" s="14"/>
      <c r="R12" s="14"/>
      <c r="S12" s="14"/>
      <c r="U12" s="13"/>
      <c r="V12" s="13">
        <f>+Inputs!V20</f>
        <v>5743.2340548552975</v>
      </c>
      <c r="W12" s="13">
        <f>+Inputs!W20</f>
        <v>6038.6003776764273</v>
      </c>
      <c r="X12" s="13">
        <f>+Inputs!X20</f>
        <v>6161.6696788518975</v>
      </c>
      <c r="Y12" s="13">
        <f>+Inputs!Y20</f>
        <v>6235.51125955718</v>
      </c>
      <c r="Z12" s="13">
        <f>+Inputs!Z20</f>
        <v>6235.51125955718</v>
      </c>
      <c r="AA12" s="13">
        <f>+Inputs!AA20</f>
        <v>6235.51125955718</v>
      </c>
      <c r="AB12" s="13">
        <f>+Inputs!AB20</f>
        <v>6162.1523035623895</v>
      </c>
      <c r="AC12" s="13">
        <f>+Inputs!AC20</f>
        <v>6088.7933475676</v>
      </c>
      <c r="AD12" s="13">
        <f>+Inputs!AD20</f>
        <v>6015.4343915728095</v>
      </c>
      <c r="AE12" s="13">
        <f>+Inputs!AE20</f>
        <v>5942.0754355780191</v>
      </c>
      <c r="AF12" s="13">
        <f>+Inputs!AF20</f>
        <v>5868.7164795832296</v>
      </c>
      <c r="AG12" s="13">
        <f>+Inputs!AG20</f>
        <v>5795.3575235884391</v>
      </c>
      <c r="AH12" s="13">
        <f>+Inputs!AH20</f>
        <v>5721.9985675936487</v>
      </c>
      <c r="AI12" s="13">
        <f>+Inputs!AI20</f>
        <v>5648.6396115988591</v>
      </c>
      <c r="AJ12" s="13">
        <f>+Inputs!AJ20</f>
        <v>5575.2806556040687</v>
      </c>
      <c r="AK12" s="13">
        <f>+Inputs!AK20</f>
        <v>5501.92169960928</v>
      </c>
      <c r="AL12" s="13">
        <f>+Inputs!AL20</f>
        <v>5428.5627436144896</v>
      </c>
      <c r="AM12" s="13">
        <f>+Inputs!AM20</f>
        <v>5355.2037876196991</v>
      </c>
      <c r="AN12" s="13">
        <f>+Inputs!AN20</f>
        <v>5281.8448316249096</v>
      </c>
      <c r="AO12" s="13">
        <f>+Inputs!AO20</f>
        <v>5208.4858756301192</v>
      </c>
      <c r="AP12" s="13">
        <f>+Inputs!AP20</f>
        <v>5135.1269196353287</v>
      </c>
      <c r="AQ12" s="13">
        <f>+Inputs!AQ20</f>
        <v>5061.7679636405392</v>
      </c>
      <c r="AR12" s="13">
        <f>+Inputs!AR20</f>
        <v>4988.4090076457487</v>
      </c>
    </row>
    <row r="13" spans="1:44">
      <c r="A13" s="15" t="s">
        <v>44</v>
      </c>
      <c r="B13" s="14"/>
      <c r="C13" s="14"/>
      <c r="D13" s="14"/>
      <c r="E13" s="14"/>
      <c r="F13" s="14"/>
      <c r="G13" s="14"/>
      <c r="H13" s="14"/>
      <c r="I13" s="14"/>
      <c r="J13" s="14"/>
      <c r="K13" s="14"/>
      <c r="L13" s="14"/>
      <c r="M13" s="14"/>
      <c r="N13" s="14"/>
      <c r="O13" s="14"/>
      <c r="P13" s="14"/>
      <c r="Q13" s="14"/>
      <c r="R13" s="14"/>
      <c r="S13" s="14"/>
      <c r="U13" s="13"/>
      <c r="V13" s="13">
        <f>+Inputs!V21</f>
        <v>1864.7616789105712</v>
      </c>
      <c r="W13" s="13">
        <f>+Inputs!W21</f>
        <v>1864.7616789105712</v>
      </c>
      <c r="X13" s="13">
        <f>+Inputs!X21</f>
        <v>1864.7616789105712</v>
      </c>
      <c r="Y13" s="13">
        <f>+Inputs!Y21</f>
        <v>1864.7616789105712</v>
      </c>
      <c r="Z13" s="13">
        <f>+Inputs!Z21</f>
        <v>1864.7616789105712</v>
      </c>
      <c r="AA13" s="13">
        <f>+Inputs!AA21</f>
        <v>1864.7616789105712</v>
      </c>
      <c r="AB13" s="13">
        <f>+Inputs!AB21</f>
        <v>1842.8233062175057</v>
      </c>
      <c r="AC13" s="13">
        <f>+Inputs!AC21</f>
        <v>1820.8849335244404</v>
      </c>
      <c r="AD13" s="13">
        <f>+Inputs!AD21</f>
        <v>1798.9465608313747</v>
      </c>
      <c r="AE13" s="13">
        <f>+Inputs!AE21</f>
        <v>1777.0081881383094</v>
      </c>
      <c r="AF13" s="13">
        <f>+Inputs!AF21</f>
        <v>1755.0698154452439</v>
      </c>
      <c r="AG13" s="13">
        <f>+Inputs!AG21</f>
        <v>1733.1314427521784</v>
      </c>
      <c r="AH13" s="13">
        <f>+Inputs!AH21</f>
        <v>1711.1930700591129</v>
      </c>
      <c r="AI13" s="13">
        <f>+Inputs!AI21</f>
        <v>1689.2546973660474</v>
      </c>
      <c r="AJ13" s="13">
        <f>+Inputs!AJ21</f>
        <v>1667.3163246729819</v>
      </c>
      <c r="AK13" s="13">
        <f>+Inputs!AK21</f>
        <v>1645.3779519799166</v>
      </c>
      <c r="AL13" s="13">
        <f>+Inputs!AL21</f>
        <v>1623.4395792868511</v>
      </c>
      <c r="AM13" s="13">
        <f>+Inputs!AM21</f>
        <v>1601.5012065937856</v>
      </c>
      <c r="AN13" s="13">
        <f>+Inputs!AN21</f>
        <v>1579.5628339007201</v>
      </c>
      <c r="AO13" s="13">
        <f>+Inputs!AO21</f>
        <v>1557.6244612076546</v>
      </c>
      <c r="AP13" s="13">
        <f>+Inputs!AP21</f>
        <v>1535.6860885145893</v>
      </c>
      <c r="AQ13" s="13">
        <f>+Inputs!AQ21</f>
        <v>1513.7477158215238</v>
      </c>
      <c r="AR13" s="13">
        <f>+Inputs!AR21</f>
        <v>1491.8093431284581</v>
      </c>
    </row>
    <row r="14" spans="1:44">
      <c r="A14" s="15" t="s">
        <v>182</v>
      </c>
      <c r="B14" s="14"/>
      <c r="C14" s="14"/>
      <c r="D14" s="14"/>
      <c r="E14" s="14"/>
      <c r="F14" s="14"/>
      <c r="G14" s="14"/>
      <c r="H14" s="14"/>
      <c r="I14" s="14"/>
      <c r="J14" s="14"/>
      <c r="K14" s="14"/>
      <c r="L14" s="14"/>
      <c r="M14" s="14"/>
      <c r="N14" s="14"/>
      <c r="O14" s="14"/>
      <c r="P14" s="14"/>
      <c r="Q14" s="14"/>
      <c r="R14" s="14"/>
      <c r="S14" s="14"/>
      <c r="U14" s="13"/>
      <c r="V14" s="13">
        <f>+Inputs!V22</f>
        <v>12456.386384186768</v>
      </c>
      <c r="W14" s="13">
        <f>+Inputs!W22</f>
        <v>12871.599263659658</v>
      </c>
      <c r="X14" s="13">
        <f>+Inputs!X22</f>
        <v>13044.604630106698</v>
      </c>
      <c r="Y14" s="13">
        <f>+Inputs!Y22</f>
        <v>13148.407849974921</v>
      </c>
      <c r="Z14" s="13">
        <f>+Inputs!Z22</f>
        <v>13148.407849974921</v>
      </c>
      <c r="AA14" s="13">
        <f>+Inputs!AA22</f>
        <v>13148.407849974921</v>
      </c>
      <c r="AB14" s="13">
        <f>+Inputs!AB22</f>
        <v>12993.720698798747</v>
      </c>
      <c r="AC14" s="13">
        <f>+Inputs!AC22</f>
        <v>12839.03354762257</v>
      </c>
      <c r="AD14" s="13">
        <f>+Inputs!AD22</f>
        <v>12684.346396446395</v>
      </c>
      <c r="AE14" s="13">
        <f>+Inputs!AE22</f>
        <v>12529.659245270221</v>
      </c>
      <c r="AF14" s="13">
        <f>+Inputs!AF22</f>
        <v>12374.972094094046</v>
      </c>
      <c r="AG14" s="13">
        <f>+Inputs!AG22</f>
        <v>12220.28494291787</v>
      </c>
      <c r="AH14" s="13">
        <f>+Inputs!AH22</f>
        <v>12065.597791741695</v>
      </c>
      <c r="AI14" s="13">
        <f>+Inputs!AI22</f>
        <v>11910.91064056552</v>
      </c>
      <c r="AJ14" s="13">
        <f>+Inputs!AJ22</f>
        <v>11756.223489389347</v>
      </c>
      <c r="AK14" s="13">
        <f>+Inputs!AK22</f>
        <v>11601.536338213173</v>
      </c>
      <c r="AL14" s="13">
        <f>+Inputs!AL22</f>
        <v>11446.849187036996</v>
      </c>
      <c r="AM14" s="13">
        <f>+Inputs!AM22</f>
        <v>11292.162035860822</v>
      </c>
      <c r="AN14" s="13">
        <f>+Inputs!AN22</f>
        <v>11137.474884684647</v>
      </c>
      <c r="AO14" s="13">
        <f>+Inputs!AO22</f>
        <v>10982.787733508472</v>
      </c>
      <c r="AP14" s="13">
        <f>+Inputs!AP22</f>
        <v>10828.100582332296</v>
      </c>
      <c r="AQ14" s="13">
        <f>+Inputs!AQ22</f>
        <v>10673.413431156121</v>
      </c>
      <c r="AR14" s="13">
        <f>+Inputs!AR22</f>
        <v>10518.726279979946</v>
      </c>
    </row>
    <row r="15" spans="1:44">
      <c r="A15" s="15" t="s">
        <v>183</v>
      </c>
      <c r="B15" s="14"/>
      <c r="C15" s="14"/>
      <c r="D15" s="14"/>
      <c r="E15" s="14"/>
      <c r="F15" s="14"/>
      <c r="G15" s="14"/>
      <c r="H15" s="14"/>
      <c r="I15" s="14"/>
      <c r="J15" s="14"/>
      <c r="K15" s="14"/>
      <c r="L15" s="14"/>
      <c r="M15" s="14"/>
      <c r="N15" s="14"/>
      <c r="O15" s="14"/>
      <c r="P15" s="14"/>
      <c r="Q15" s="14"/>
      <c r="R15" s="14"/>
      <c r="S15" s="14"/>
      <c r="U15" s="13"/>
      <c r="V15" s="13">
        <f>+Inputs!V23</f>
        <v>14787.324225824284</v>
      </c>
      <c r="W15" s="13">
        <f>+Inputs!W23</f>
        <v>16154.959980878155</v>
      </c>
      <c r="X15" s="13">
        <f>+Inputs!X23</f>
        <v>17038.045730631213</v>
      </c>
      <c r="Y15" s="13">
        <f>+Inputs!Y23</f>
        <v>17758.670977821839</v>
      </c>
      <c r="Z15" s="13">
        <f>+Inputs!Z23</f>
        <v>17835.273325143567</v>
      </c>
      <c r="AA15" s="13">
        <f>+Inputs!AA23</f>
        <v>17835.273325143567</v>
      </c>
      <c r="AB15" s="13">
        <f>+Inputs!AB23</f>
        <v>17625.446580141881</v>
      </c>
      <c r="AC15" s="13">
        <f>+Inputs!AC23</f>
        <v>17415.619835140191</v>
      </c>
      <c r="AD15" s="13">
        <f>+Inputs!AD23</f>
        <v>17205.793090138501</v>
      </c>
      <c r="AE15" s="13">
        <f>+Inputs!AE23</f>
        <v>16995.966345136814</v>
      </c>
      <c r="AF15" s="13">
        <f>+Inputs!AF23</f>
        <v>16786.139600135124</v>
      </c>
      <c r="AG15" s="13">
        <f>+Inputs!AG23</f>
        <v>16576.312855133438</v>
      </c>
      <c r="AH15" s="13">
        <f>+Inputs!AH23</f>
        <v>16366.486110131749</v>
      </c>
      <c r="AI15" s="13">
        <f>+Inputs!AI23</f>
        <v>16156.659365130061</v>
      </c>
      <c r="AJ15" s="13">
        <f>+Inputs!AJ23</f>
        <v>15946.832620128373</v>
      </c>
      <c r="AK15" s="13">
        <f>+Inputs!AK23</f>
        <v>15737.005875126686</v>
      </c>
      <c r="AL15" s="13">
        <f>+Inputs!AL23</f>
        <v>15527.179130124998</v>
      </c>
      <c r="AM15" s="13">
        <f>+Inputs!AM23</f>
        <v>15317.352385123309</v>
      </c>
      <c r="AN15" s="13">
        <f>+Inputs!AN23</f>
        <v>15107.525640121619</v>
      </c>
      <c r="AO15" s="13">
        <f>+Inputs!AO23</f>
        <v>14897.698895119931</v>
      </c>
      <c r="AP15" s="13">
        <f>+Inputs!AP23</f>
        <v>14687.872150118243</v>
      </c>
      <c r="AQ15" s="13">
        <f>+Inputs!AQ23</f>
        <v>14478.045405116556</v>
      </c>
      <c r="AR15" s="13">
        <f>+Inputs!AR23</f>
        <v>14268.218660114868</v>
      </c>
    </row>
    <row r="16" spans="1:44">
      <c r="A16" s="12" t="s">
        <v>15</v>
      </c>
      <c r="B16" s="13"/>
      <c r="C16" s="13"/>
      <c r="D16" s="13"/>
      <c r="E16" s="13"/>
      <c r="F16" s="13"/>
      <c r="G16" s="13"/>
      <c r="H16" s="13"/>
      <c r="I16" s="13"/>
      <c r="J16" s="13"/>
      <c r="K16" s="13"/>
      <c r="L16" s="13"/>
      <c r="M16" s="13"/>
      <c r="N16" s="13"/>
      <c r="O16" s="13"/>
      <c r="P16" s="13"/>
      <c r="Q16" s="13"/>
      <c r="R16" s="13"/>
      <c r="S16" s="13"/>
      <c r="U16" s="59"/>
      <c r="V16" s="59">
        <f>+Inputs!V24</f>
        <v>63984.232018776922</v>
      </c>
      <c r="W16" s="59">
        <f>+Inputs!W24</f>
        <v>68443.42593212481</v>
      </c>
      <c r="X16" s="59">
        <f>+Inputs!X24</f>
        <v>72642.215160500375</v>
      </c>
      <c r="Y16" s="59">
        <f>+Inputs!Y24</f>
        <v>76512.740246264511</v>
      </c>
      <c r="Z16" s="59">
        <f>+Inputs!Z24</f>
        <v>78712.543393586238</v>
      </c>
      <c r="AA16" s="59">
        <f>+Inputs!AA24</f>
        <v>80776.060513586242</v>
      </c>
      <c r="AB16" s="59">
        <f>+Inputs!AB24</f>
        <v>81684.368831308762</v>
      </c>
      <c r="AC16" s="59">
        <f>+Inputs!AC24</f>
        <v>82370.975646913634</v>
      </c>
      <c r="AD16" s="59">
        <f>+Inputs!AD24</f>
        <v>82964.929880871437</v>
      </c>
      <c r="AE16" s="59">
        <f>+Inputs!AE24</f>
        <v>83470.148892241006</v>
      </c>
      <c r="AF16" s="59">
        <f>+Inputs!AF24</f>
        <v>83890.516361022368</v>
      </c>
      <c r="AG16" s="59">
        <f>+Inputs!AG24</f>
        <v>84230.064727686055</v>
      </c>
      <c r="AH16" s="59">
        <f>+Inputs!AH24</f>
        <v>84492.465145173279</v>
      </c>
      <c r="AI16" s="59">
        <f>+Inputs!AI24</f>
        <v>84681.105498660516</v>
      </c>
      <c r="AJ16" s="59">
        <f>+Inputs!AJ24</f>
        <v>84799.146842265385</v>
      </c>
      <c r="AK16" s="59">
        <f>+Inputs!AK24</f>
        <v>84849.488217870254</v>
      </c>
      <c r="AL16" s="59">
        <f>+Inputs!AL24</f>
        <v>84835.084347357479</v>
      </c>
      <c r="AM16" s="59">
        <f>+Inputs!AM24</f>
        <v>84758.807324844704</v>
      </c>
      <c r="AN16" s="59">
        <f>+Inputs!AN24</f>
        <v>84623.148994096642</v>
      </c>
      <c r="AO16" s="59">
        <f>+Inputs!AO24</f>
        <v>84430.66100123091</v>
      </c>
      <c r="AP16" s="59">
        <f>+Inputs!AP24</f>
        <v>84183.821806482854</v>
      </c>
      <c r="AQ16" s="59">
        <f>+Inputs!AQ24</f>
        <v>83884.751462558314</v>
      </c>
      <c r="AR16" s="59">
        <f>+Inputs!AR24</f>
        <v>83535.51337086907</v>
      </c>
    </row>
    <row r="17" spans="1:44">
      <c r="A17" s="12"/>
      <c r="B17" s="13"/>
      <c r="C17" s="13"/>
      <c r="D17" s="13"/>
      <c r="E17" s="13"/>
      <c r="F17" s="13"/>
      <c r="G17" s="13"/>
      <c r="H17" s="13"/>
      <c r="I17" s="13"/>
      <c r="J17" s="13"/>
      <c r="K17" s="13"/>
      <c r="L17" s="13"/>
      <c r="M17" s="13"/>
      <c r="N17" s="13"/>
      <c r="O17" s="13"/>
      <c r="P17" s="13"/>
      <c r="Q17" s="13"/>
      <c r="R17" s="13"/>
      <c r="S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ht="13.5" thickBot="1">
      <c r="A18" s="12" t="s">
        <v>16</v>
      </c>
      <c r="B18" s="13"/>
      <c r="C18" s="13"/>
      <c r="D18" s="13"/>
      <c r="E18" s="13"/>
      <c r="F18" s="13"/>
      <c r="G18" s="13"/>
      <c r="H18" s="13"/>
      <c r="I18" s="13"/>
      <c r="J18" s="13"/>
      <c r="K18" s="13"/>
      <c r="L18" s="13"/>
      <c r="M18" s="13"/>
      <c r="N18" s="13"/>
      <c r="O18" s="13"/>
      <c r="P18" s="13"/>
      <c r="Q18" s="13"/>
      <c r="R18" s="13"/>
      <c r="S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1:44" ht="13.5" thickBot="1">
      <c r="A19" s="15" t="s">
        <v>45</v>
      </c>
      <c r="B19" s="14"/>
      <c r="C19" s="14"/>
      <c r="D19" s="14"/>
      <c r="E19" s="14"/>
      <c r="F19" s="14"/>
      <c r="G19" s="14"/>
      <c r="H19" s="14"/>
      <c r="I19" s="14"/>
      <c r="J19" s="14"/>
      <c r="K19" s="14"/>
      <c r="L19" s="14"/>
      <c r="M19" s="14"/>
      <c r="N19" s="14"/>
      <c r="O19" s="14"/>
      <c r="P19" s="14"/>
      <c r="Q19" s="14"/>
      <c r="R19" s="14"/>
      <c r="S19" s="14"/>
      <c r="U19" s="16"/>
      <c r="V19" s="141">
        <v>0.54010800692215732</v>
      </c>
      <c r="W19" s="16">
        <f>V19</f>
        <v>0.54010800692215732</v>
      </c>
      <c r="X19" s="16">
        <f t="shared" ref="X19:AR24" si="3">W19</f>
        <v>0.54010800692215732</v>
      </c>
      <c r="Y19" s="16">
        <f t="shared" si="3"/>
        <v>0.54010800692215732</v>
      </c>
      <c r="Z19" s="16">
        <f t="shared" si="3"/>
        <v>0.54010800692215732</v>
      </c>
      <c r="AA19" s="16">
        <f t="shared" si="3"/>
        <v>0.54010800692215732</v>
      </c>
      <c r="AB19" s="16">
        <f t="shared" si="3"/>
        <v>0.54010800692215732</v>
      </c>
      <c r="AC19" s="16">
        <f t="shared" si="3"/>
        <v>0.54010800692215732</v>
      </c>
      <c r="AD19" s="16">
        <f t="shared" si="3"/>
        <v>0.54010800692215732</v>
      </c>
      <c r="AE19" s="16">
        <f t="shared" si="3"/>
        <v>0.54010800692215732</v>
      </c>
      <c r="AF19" s="16">
        <f t="shared" si="3"/>
        <v>0.54010800692215732</v>
      </c>
      <c r="AG19" s="16">
        <f t="shared" si="3"/>
        <v>0.54010800692215732</v>
      </c>
      <c r="AH19" s="16">
        <f t="shared" si="3"/>
        <v>0.54010800692215732</v>
      </c>
      <c r="AI19" s="16">
        <f t="shared" si="3"/>
        <v>0.54010800692215732</v>
      </c>
      <c r="AJ19" s="16">
        <f t="shared" si="3"/>
        <v>0.54010800692215732</v>
      </c>
      <c r="AK19" s="16">
        <f t="shared" si="3"/>
        <v>0.54010800692215732</v>
      </c>
      <c r="AL19" s="16">
        <f t="shared" si="3"/>
        <v>0.54010800692215732</v>
      </c>
      <c r="AM19" s="16">
        <f t="shared" si="3"/>
        <v>0.54010800692215732</v>
      </c>
      <c r="AN19" s="16">
        <f t="shared" si="3"/>
        <v>0.54010800692215732</v>
      </c>
      <c r="AO19" s="16">
        <f t="shared" si="3"/>
        <v>0.54010800692215732</v>
      </c>
      <c r="AP19" s="16">
        <f t="shared" si="3"/>
        <v>0.54010800692215732</v>
      </c>
      <c r="AQ19" s="16">
        <f t="shared" si="3"/>
        <v>0.54010800692215732</v>
      </c>
      <c r="AR19" s="16">
        <f t="shared" si="3"/>
        <v>0.54010800692215732</v>
      </c>
    </row>
    <row r="20" spans="1:44">
      <c r="A20" s="15" t="s">
        <v>46</v>
      </c>
      <c r="B20" s="14"/>
      <c r="C20" s="14"/>
      <c r="D20" s="14"/>
      <c r="E20" s="14"/>
      <c r="F20" s="14"/>
      <c r="G20" s="14"/>
      <c r="H20" s="14"/>
      <c r="I20" s="14"/>
      <c r="J20" s="14"/>
      <c r="K20" s="14"/>
      <c r="L20" s="14"/>
      <c r="M20" s="14"/>
      <c r="N20" s="14"/>
      <c r="O20" s="14"/>
      <c r="P20" s="14"/>
      <c r="Q20" s="14"/>
      <c r="R20" s="14"/>
      <c r="S20" s="14"/>
      <c r="T20" s="13"/>
      <c r="U20" s="16">
        <f>+Inputs!U109</f>
        <v>0.70249326086221142</v>
      </c>
      <c r="V20" s="16">
        <f>+V$19*U20</f>
        <v>0.37942223500053618</v>
      </c>
      <c r="W20" s="16">
        <f>V20</f>
        <v>0.37942223500053618</v>
      </c>
      <c r="X20" s="16">
        <f t="shared" si="3"/>
        <v>0.37942223500053618</v>
      </c>
      <c r="Y20" s="16">
        <f t="shared" si="3"/>
        <v>0.37942223500053618</v>
      </c>
      <c r="Z20" s="16">
        <f t="shared" si="3"/>
        <v>0.37942223500053618</v>
      </c>
      <c r="AA20" s="16">
        <f t="shared" si="3"/>
        <v>0.37942223500053618</v>
      </c>
      <c r="AB20" s="16">
        <f t="shared" si="3"/>
        <v>0.37942223500053618</v>
      </c>
      <c r="AC20" s="16">
        <f t="shared" si="3"/>
        <v>0.37942223500053618</v>
      </c>
      <c r="AD20" s="16">
        <f t="shared" si="3"/>
        <v>0.37942223500053618</v>
      </c>
      <c r="AE20" s="16">
        <f t="shared" si="3"/>
        <v>0.37942223500053618</v>
      </c>
      <c r="AF20" s="16">
        <f t="shared" si="3"/>
        <v>0.37942223500053618</v>
      </c>
      <c r="AG20" s="16">
        <f t="shared" si="3"/>
        <v>0.37942223500053618</v>
      </c>
      <c r="AH20" s="16">
        <f t="shared" si="3"/>
        <v>0.37942223500053618</v>
      </c>
      <c r="AI20" s="16">
        <f t="shared" si="3"/>
        <v>0.37942223500053618</v>
      </c>
      <c r="AJ20" s="16">
        <f t="shared" si="3"/>
        <v>0.37942223500053618</v>
      </c>
      <c r="AK20" s="16">
        <f t="shared" si="3"/>
        <v>0.37942223500053618</v>
      </c>
      <c r="AL20" s="16">
        <f t="shared" si="3"/>
        <v>0.37942223500053618</v>
      </c>
      <c r="AM20" s="16">
        <f t="shared" si="3"/>
        <v>0.37942223500053618</v>
      </c>
      <c r="AN20" s="16">
        <f t="shared" si="3"/>
        <v>0.37942223500053618</v>
      </c>
      <c r="AO20" s="16">
        <f t="shared" si="3"/>
        <v>0.37942223500053618</v>
      </c>
      <c r="AP20" s="16">
        <f t="shared" si="3"/>
        <v>0.37942223500053618</v>
      </c>
      <c r="AQ20" s="16">
        <f t="shared" si="3"/>
        <v>0.37942223500053618</v>
      </c>
      <c r="AR20" s="16">
        <f t="shared" si="3"/>
        <v>0.37942223500053618</v>
      </c>
    </row>
    <row r="21" spans="1:44">
      <c r="A21" s="15" t="s">
        <v>47</v>
      </c>
      <c r="B21" s="14"/>
      <c r="C21" s="14"/>
      <c r="D21" s="14"/>
      <c r="E21" s="14"/>
      <c r="F21" s="14"/>
      <c r="G21" s="14"/>
      <c r="H21" s="14"/>
      <c r="I21" s="14"/>
      <c r="J21" s="14"/>
      <c r="K21" s="14"/>
      <c r="L21" s="14"/>
      <c r="M21" s="14"/>
      <c r="N21" s="14"/>
      <c r="O21" s="14"/>
      <c r="P21" s="14"/>
      <c r="Q21" s="14"/>
      <c r="R21" s="14"/>
      <c r="S21" s="14"/>
      <c r="T21" s="13"/>
      <c r="U21" s="16">
        <f>+Inputs!U110</f>
        <v>0.62966323886435094</v>
      </c>
      <c r="V21" s="16">
        <f t="shared" ref="V21:V24" si="4">+V$19*U21</f>
        <v>0.34008615697517486</v>
      </c>
      <c r="W21" s="16">
        <f>V21</f>
        <v>0.34008615697517486</v>
      </c>
      <c r="X21" s="16">
        <f t="shared" si="3"/>
        <v>0.34008615697517486</v>
      </c>
      <c r="Y21" s="16">
        <f t="shared" si="3"/>
        <v>0.34008615697517486</v>
      </c>
      <c r="Z21" s="16">
        <f t="shared" si="3"/>
        <v>0.34008615697517486</v>
      </c>
      <c r="AA21" s="16">
        <f t="shared" si="3"/>
        <v>0.34008615697517486</v>
      </c>
      <c r="AB21" s="16">
        <f t="shared" si="3"/>
        <v>0.34008615697517486</v>
      </c>
      <c r="AC21" s="16">
        <f t="shared" si="3"/>
        <v>0.34008615697517486</v>
      </c>
      <c r="AD21" s="16">
        <f t="shared" si="3"/>
        <v>0.34008615697517486</v>
      </c>
      <c r="AE21" s="16">
        <f t="shared" si="3"/>
        <v>0.34008615697517486</v>
      </c>
      <c r="AF21" s="16">
        <f t="shared" si="3"/>
        <v>0.34008615697517486</v>
      </c>
      <c r="AG21" s="16">
        <f t="shared" si="3"/>
        <v>0.34008615697517486</v>
      </c>
      <c r="AH21" s="16">
        <f t="shared" si="3"/>
        <v>0.34008615697517486</v>
      </c>
      <c r="AI21" s="16">
        <f t="shared" si="3"/>
        <v>0.34008615697517486</v>
      </c>
      <c r="AJ21" s="16">
        <f t="shared" si="3"/>
        <v>0.34008615697517486</v>
      </c>
      <c r="AK21" s="16">
        <f t="shared" si="3"/>
        <v>0.34008615697517486</v>
      </c>
      <c r="AL21" s="16">
        <f t="shared" si="3"/>
        <v>0.34008615697517486</v>
      </c>
      <c r="AM21" s="16">
        <f t="shared" si="3"/>
        <v>0.34008615697517486</v>
      </c>
      <c r="AN21" s="16">
        <f t="shared" si="3"/>
        <v>0.34008615697517486</v>
      </c>
      <c r="AO21" s="16">
        <f t="shared" si="3"/>
        <v>0.34008615697517486</v>
      </c>
      <c r="AP21" s="16">
        <f t="shared" si="3"/>
        <v>0.34008615697517486</v>
      </c>
      <c r="AQ21" s="16">
        <f t="shared" si="3"/>
        <v>0.34008615697517486</v>
      </c>
      <c r="AR21" s="16">
        <f t="shared" si="3"/>
        <v>0.34008615697517486</v>
      </c>
    </row>
    <row r="22" spans="1:44">
      <c r="A22" s="15" t="s">
        <v>48</v>
      </c>
      <c r="B22" s="14"/>
      <c r="C22" s="14"/>
      <c r="D22" s="14"/>
      <c r="E22" s="14"/>
      <c r="F22" s="14"/>
      <c r="G22" s="14"/>
      <c r="H22" s="14"/>
      <c r="I22" s="14"/>
      <c r="J22" s="14"/>
      <c r="K22" s="14"/>
      <c r="L22" s="14"/>
      <c r="M22" s="14"/>
      <c r="N22" s="14"/>
      <c r="O22" s="14"/>
      <c r="P22" s="14"/>
      <c r="Q22" s="14"/>
      <c r="R22" s="14"/>
      <c r="S22" s="14"/>
      <c r="T22" s="13"/>
      <c r="U22" s="16">
        <f>+Inputs!U111</f>
        <v>0.5</v>
      </c>
      <c r="V22" s="16">
        <f t="shared" si="4"/>
        <v>0.27005400346107866</v>
      </c>
      <c r="W22" s="16">
        <f>V22</f>
        <v>0.27005400346107866</v>
      </c>
      <c r="X22" s="16">
        <f t="shared" si="3"/>
        <v>0.27005400346107866</v>
      </c>
      <c r="Y22" s="16">
        <f t="shared" si="3"/>
        <v>0.27005400346107866</v>
      </c>
      <c r="Z22" s="16">
        <f t="shared" si="3"/>
        <v>0.27005400346107866</v>
      </c>
      <c r="AA22" s="16">
        <f t="shared" si="3"/>
        <v>0.27005400346107866</v>
      </c>
      <c r="AB22" s="16">
        <f t="shared" si="3"/>
        <v>0.27005400346107866</v>
      </c>
      <c r="AC22" s="16">
        <f t="shared" si="3"/>
        <v>0.27005400346107866</v>
      </c>
      <c r="AD22" s="16">
        <f t="shared" si="3"/>
        <v>0.27005400346107866</v>
      </c>
      <c r="AE22" s="16">
        <f t="shared" si="3"/>
        <v>0.27005400346107866</v>
      </c>
      <c r="AF22" s="16">
        <f t="shared" si="3"/>
        <v>0.27005400346107866</v>
      </c>
      <c r="AG22" s="16">
        <f t="shared" si="3"/>
        <v>0.27005400346107866</v>
      </c>
      <c r="AH22" s="16">
        <f t="shared" si="3"/>
        <v>0.27005400346107866</v>
      </c>
      <c r="AI22" s="16">
        <f t="shared" si="3"/>
        <v>0.27005400346107866</v>
      </c>
      <c r="AJ22" s="16">
        <f t="shared" si="3"/>
        <v>0.27005400346107866</v>
      </c>
      <c r="AK22" s="16">
        <f t="shared" si="3"/>
        <v>0.27005400346107866</v>
      </c>
      <c r="AL22" s="16">
        <f t="shared" si="3"/>
        <v>0.27005400346107866</v>
      </c>
      <c r="AM22" s="16">
        <f t="shared" si="3"/>
        <v>0.27005400346107866</v>
      </c>
      <c r="AN22" s="16">
        <f t="shared" si="3"/>
        <v>0.27005400346107866</v>
      </c>
      <c r="AO22" s="16">
        <f t="shared" si="3"/>
        <v>0.27005400346107866</v>
      </c>
      <c r="AP22" s="16">
        <f t="shared" si="3"/>
        <v>0.27005400346107866</v>
      </c>
      <c r="AQ22" s="16">
        <f t="shared" si="3"/>
        <v>0.27005400346107866</v>
      </c>
      <c r="AR22" s="16">
        <f t="shared" si="3"/>
        <v>0.27005400346107866</v>
      </c>
    </row>
    <row r="23" spans="1:44">
      <c r="A23" s="15" t="s">
        <v>182</v>
      </c>
      <c r="B23" s="14"/>
      <c r="C23" s="14"/>
      <c r="D23" s="14"/>
      <c r="E23" s="14"/>
      <c r="F23" s="14"/>
      <c r="G23" s="14"/>
      <c r="H23" s="14"/>
      <c r="I23" s="14"/>
      <c r="J23" s="14"/>
      <c r="K23" s="14"/>
      <c r="L23" s="14"/>
      <c r="M23" s="14"/>
      <c r="N23" s="14"/>
      <c r="O23" s="14"/>
      <c r="P23" s="14"/>
      <c r="Q23" s="14"/>
      <c r="R23" s="14"/>
      <c r="S23" s="14"/>
      <c r="T23" s="13"/>
      <c r="U23" s="16">
        <f>+Inputs!U112</f>
        <v>0.59008170977553098</v>
      </c>
      <c r="V23" s="16">
        <f t="shared" si="4"/>
        <v>0.3187078561880809</v>
      </c>
      <c r="W23" s="16">
        <f>V23</f>
        <v>0.3187078561880809</v>
      </c>
      <c r="X23" s="16">
        <f t="shared" si="3"/>
        <v>0.3187078561880809</v>
      </c>
      <c r="Y23" s="16">
        <f t="shared" si="3"/>
        <v>0.3187078561880809</v>
      </c>
      <c r="Z23" s="16">
        <f t="shared" si="3"/>
        <v>0.3187078561880809</v>
      </c>
      <c r="AA23" s="16">
        <f t="shared" si="3"/>
        <v>0.3187078561880809</v>
      </c>
      <c r="AB23" s="16">
        <f t="shared" si="3"/>
        <v>0.3187078561880809</v>
      </c>
      <c r="AC23" s="16">
        <f t="shared" si="3"/>
        <v>0.3187078561880809</v>
      </c>
      <c r="AD23" s="16">
        <f t="shared" si="3"/>
        <v>0.3187078561880809</v>
      </c>
      <c r="AE23" s="16">
        <f t="shared" si="3"/>
        <v>0.3187078561880809</v>
      </c>
      <c r="AF23" s="16">
        <f t="shared" si="3"/>
        <v>0.3187078561880809</v>
      </c>
      <c r="AG23" s="16">
        <f t="shared" si="3"/>
        <v>0.3187078561880809</v>
      </c>
      <c r="AH23" s="16">
        <f t="shared" si="3"/>
        <v>0.3187078561880809</v>
      </c>
      <c r="AI23" s="16">
        <f t="shared" si="3"/>
        <v>0.3187078561880809</v>
      </c>
      <c r="AJ23" s="16">
        <f t="shared" si="3"/>
        <v>0.3187078561880809</v>
      </c>
      <c r="AK23" s="16">
        <f t="shared" si="3"/>
        <v>0.3187078561880809</v>
      </c>
      <c r="AL23" s="16">
        <f t="shared" si="3"/>
        <v>0.3187078561880809</v>
      </c>
      <c r="AM23" s="16">
        <f t="shared" si="3"/>
        <v>0.3187078561880809</v>
      </c>
      <c r="AN23" s="16">
        <f t="shared" si="3"/>
        <v>0.3187078561880809</v>
      </c>
      <c r="AO23" s="16">
        <f t="shared" si="3"/>
        <v>0.3187078561880809</v>
      </c>
      <c r="AP23" s="16">
        <f t="shared" si="3"/>
        <v>0.3187078561880809</v>
      </c>
      <c r="AQ23" s="16">
        <f t="shared" si="3"/>
        <v>0.3187078561880809</v>
      </c>
      <c r="AR23" s="16">
        <f t="shared" si="3"/>
        <v>0.3187078561880809</v>
      </c>
    </row>
    <row r="24" spans="1:44">
      <c r="A24" s="15" t="s">
        <v>183</v>
      </c>
      <c r="B24" s="14"/>
      <c r="C24" s="14"/>
      <c r="D24" s="14"/>
      <c r="E24" s="14"/>
      <c r="F24" s="14"/>
      <c r="G24" s="14"/>
      <c r="H24" s="14"/>
      <c r="I24" s="14"/>
      <c r="J24" s="14"/>
      <c r="K24" s="14"/>
      <c r="L24" s="14"/>
      <c r="M24" s="14"/>
      <c r="N24" s="14"/>
      <c r="O24" s="14"/>
      <c r="P24" s="14"/>
      <c r="Q24" s="14"/>
      <c r="R24" s="14"/>
      <c r="S24" s="14"/>
      <c r="T24" s="13"/>
      <c r="U24" s="16">
        <f>+Inputs!U113</f>
        <v>0.53600000000000003</v>
      </c>
      <c r="V24" s="16">
        <f t="shared" si="4"/>
        <v>0.28949789171027634</v>
      </c>
      <c r="W24" s="16">
        <f t="shared" ref="W24:AL24" si="5">V24</f>
        <v>0.28949789171027634</v>
      </c>
      <c r="X24" s="16">
        <f t="shared" si="5"/>
        <v>0.28949789171027634</v>
      </c>
      <c r="Y24" s="16">
        <f t="shared" si="5"/>
        <v>0.28949789171027634</v>
      </c>
      <c r="Z24" s="16">
        <f t="shared" si="5"/>
        <v>0.28949789171027634</v>
      </c>
      <c r="AA24" s="16">
        <f t="shared" si="5"/>
        <v>0.28949789171027634</v>
      </c>
      <c r="AB24" s="16">
        <f t="shared" si="5"/>
        <v>0.28949789171027634</v>
      </c>
      <c r="AC24" s="16">
        <f t="shared" si="5"/>
        <v>0.28949789171027634</v>
      </c>
      <c r="AD24" s="16">
        <f t="shared" si="5"/>
        <v>0.28949789171027634</v>
      </c>
      <c r="AE24" s="16">
        <f t="shared" si="5"/>
        <v>0.28949789171027634</v>
      </c>
      <c r="AF24" s="16">
        <f t="shared" si="5"/>
        <v>0.28949789171027634</v>
      </c>
      <c r="AG24" s="16">
        <f t="shared" si="5"/>
        <v>0.28949789171027634</v>
      </c>
      <c r="AH24" s="16">
        <f t="shared" si="5"/>
        <v>0.28949789171027634</v>
      </c>
      <c r="AI24" s="16">
        <f t="shared" si="5"/>
        <v>0.28949789171027634</v>
      </c>
      <c r="AJ24" s="16">
        <f t="shared" si="5"/>
        <v>0.28949789171027634</v>
      </c>
      <c r="AK24" s="16">
        <f t="shared" si="5"/>
        <v>0.28949789171027634</v>
      </c>
      <c r="AL24" s="16">
        <f t="shared" si="5"/>
        <v>0.28949789171027634</v>
      </c>
      <c r="AM24" s="16">
        <f t="shared" si="3"/>
        <v>0.28949789171027634</v>
      </c>
      <c r="AN24" s="16">
        <f t="shared" si="3"/>
        <v>0.28949789171027634</v>
      </c>
      <c r="AO24" s="16">
        <f t="shared" si="3"/>
        <v>0.28949789171027634</v>
      </c>
      <c r="AP24" s="16">
        <f t="shared" si="3"/>
        <v>0.28949789171027634</v>
      </c>
      <c r="AQ24" s="16">
        <f t="shared" si="3"/>
        <v>0.28949789171027634</v>
      </c>
      <c r="AR24" s="16">
        <f t="shared" si="3"/>
        <v>0.28949789171027634</v>
      </c>
    </row>
    <row r="25" spans="1:4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c r="A26" s="12" t="s">
        <v>9</v>
      </c>
      <c r="B26" s="14"/>
      <c r="C26" s="14"/>
      <c r="D26" s="14"/>
      <c r="E26" s="14"/>
      <c r="F26" s="14"/>
      <c r="G26" s="14"/>
      <c r="H26" s="14"/>
      <c r="I26" s="14"/>
      <c r="J26" s="14"/>
      <c r="K26" s="14"/>
      <c r="L26" s="14"/>
      <c r="M26" s="14"/>
      <c r="N26" s="14"/>
      <c r="O26" s="14"/>
      <c r="P26" s="14"/>
      <c r="Q26" s="14"/>
      <c r="R26" s="14"/>
      <c r="S26" s="14"/>
      <c r="U26" s="14"/>
      <c r="V26" s="14">
        <f>SUMPRODUCT(V10:V15,V19:V24)</f>
        <v>25316.870790452973</v>
      </c>
      <c r="W26" s="14">
        <f t="shared" ref="W26:AR26" si="6">SUMPRODUCT(W10:W15,W19:W24)</f>
        <v>27187.871231349614</v>
      </c>
      <c r="X26" s="14">
        <f t="shared" si="6"/>
        <v>29140.854487282111</v>
      </c>
      <c r="Y26" s="14">
        <f t="shared" si="6"/>
        <v>30941.640227800632</v>
      </c>
      <c r="Z26" s="14">
        <f t="shared" si="6"/>
        <v>32110.574198233862</v>
      </c>
      <c r="AA26" s="14">
        <f t="shared" si="6"/>
        <v>33225.096317166812</v>
      </c>
      <c r="AB26" s="14">
        <f t="shared" si="6"/>
        <v>33838.065626838616</v>
      </c>
      <c r="AC26" s="14">
        <f t="shared" si="6"/>
        <v>34331.292180070013</v>
      </c>
      <c r="AD26" s="14">
        <f t="shared" si="6"/>
        <v>34774.476332091821</v>
      </c>
      <c r="AE26" s="14">
        <f t="shared" si="6"/>
        <v>35169.733879897714</v>
      </c>
      <c r="AF26" s="14">
        <f t="shared" si="6"/>
        <v>35519.162430151991</v>
      </c>
      <c r="AG26" s="14">
        <f t="shared" si="6"/>
        <v>35824.939936240269</v>
      </c>
      <c r="AH26" s="14">
        <f t="shared" si="6"/>
        <v>36089.049217260719</v>
      </c>
      <c r="AI26" s="14">
        <f t="shared" si="6"/>
        <v>36313.320097123673</v>
      </c>
      <c r="AJ26" s="14">
        <f t="shared" si="6"/>
        <v>36499.459886468394</v>
      </c>
      <c r="AK26" s="14">
        <f t="shared" si="6"/>
        <v>36649.034381027945</v>
      </c>
      <c r="AL26" s="14">
        <f t="shared" si="6"/>
        <v>36763.639449749207</v>
      </c>
      <c r="AM26" s="14">
        <f t="shared" si="6"/>
        <v>36844.826333661753</v>
      </c>
      <c r="AN26" s="14">
        <f t="shared" si="6"/>
        <v>36893.940897534907</v>
      </c>
      <c r="AO26" s="14">
        <f t="shared" si="6"/>
        <v>36912.361305867635</v>
      </c>
      <c r="AP26" s="14">
        <f t="shared" si="6"/>
        <v>36901.426194877873</v>
      </c>
      <c r="AQ26" s="14">
        <f t="shared" si="6"/>
        <v>36862.280622007143</v>
      </c>
      <c r="AR26" s="14">
        <f t="shared" si="6"/>
        <v>36796.039046879443</v>
      </c>
    </row>
    <row r="27" spans="1:44">
      <c r="A27" s="15" t="s">
        <v>3</v>
      </c>
      <c r="B27" s="14"/>
      <c r="C27" s="14"/>
      <c r="D27" s="14"/>
      <c r="E27" s="14"/>
      <c r="F27" s="14"/>
      <c r="G27" s="14"/>
      <c r="H27" s="14"/>
      <c r="I27" s="14"/>
      <c r="J27" s="14"/>
      <c r="K27" s="14"/>
      <c r="L27" s="14"/>
      <c r="M27" s="14"/>
      <c r="N27" s="14"/>
      <c r="O27" s="14"/>
      <c r="P27" s="14"/>
      <c r="Q27" s="14"/>
      <c r="R27" s="14"/>
      <c r="S27" s="14"/>
      <c r="U27" s="13"/>
      <c r="V27" s="13">
        <f t="shared" ref="V27:AR27" si="7">-V7</f>
        <v>-12735.876369306134</v>
      </c>
      <c r="W27" s="13">
        <f t="shared" si="7"/>
        <v>-9806.9733183371682</v>
      </c>
      <c r="X27" s="13">
        <f t="shared" si="7"/>
        <v>-9667.0436292432587</v>
      </c>
      <c r="Y27" s="13">
        <f t="shared" si="7"/>
        <v>-9932.2761865983957</v>
      </c>
      <c r="Z27" s="13">
        <f t="shared" si="7"/>
        <v>-9491.4108996321029</v>
      </c>
      <c r="AA27" s="13">
        <f t="shared" si="7"/>
        <v>-9486.0074625118523</v>
      </c>
      <c r="AB27" s="13">
        <f t="shared" si="7"/>
        <v>-11523.86491083162</v>
      </c>
      <c r="AC27" s="13">
        <f t="shared" si="7"/>
        <v>-7314.3076049793262</v>
      </c>
      <c r="AD27" s="13">
        <f t="shared" si="7"/>
        <v>-7378.4908137476195</v>
      </c>
      <c r="AE27" s="13">
        <f t="shared" si="7"/>
        <v>-7355.0825014392321</v>
      </c>
      <c r="AF27" s="13">
        <f t="shared" si="7"/>
        <v>-7115.5223122260186</v>
      </c>
      <c r="AG27" s="13">
        <f t="shared" si="7"/>
        <v>-6959.4733507839846</v>
      </c>
      <c r="AH27" s="13">
        <f t="shared" si="7"/>
        <v>-6739.5350814917838</v>
      </c>
      <c r="AI27" s="13">
        <f t="shared" si="7"/>
        <v>-6656.6028020530712</v>
      </c>
      <c r="AJ27" s="13">
        <f t="shared" si="7"/>
        <v>-6677.577161643916</v>
      </c>
      <c r="AK27" s="13">
        <f t="shared" si="7"/>
        <v>-6610.7748536846557</v>
      </c>
      <c r="AL27" s="13">
        <f t="shared" si="7"/>
        <v>-6698.8534896514066</v>
      </c>
      <c r="AM27" s="13">
        <f t="shared" si="7"/>
        <v>-6401.8239162733425</v>
      </c>
      <c r="AN27" s="13">
        <f t="shared" si="7"/>
        <v>-6322.052957124326</v>
      </c>
      <c r="AO27" s="13">
        <f t="shared" si="7"/>
        <v>-6262.4817873449774</v>
      </c>
      <c r="AP27" s="13">
        <f t="shared" si="7"/>
        <v>-5992.7841733765927</v>
      </c>
      <c r="AQ27" s="13">
        <f t="shared" si="7"/>
        <v>-6052.7738022945305</v>
      </c>
      <c r="AR27" s="13">
        <f t="shared" si="7"/>
        <v>-5921.8168088660041</v>
      </c>
    </row>
    <row r="28" spans="1:44">
      <c r="A28" s="15" t="s">
        <v>8</v>
      </c>
      <c r="B28" s="14"/>
      <c r="C28" s="14"/>
      <c r="D28" s="14"/>
      <c r="E28" s="14"/>
      <c r="F28" s="14"/>
      <c r="G28" s="14"/>
      <c r="H28" s="14"/>
      <c r="I28" s="14"/>
      <c r="J28" s="14"/>
      <c r="K28" s="14"/>
      <c r="L28" s="14"/>
      <c r="M28" s="14"/>
      <c r="N28" s="14"/>
      <c r="O28" s="14"/>
      <c r="P28" s="14"/>
      <c r="Q28" s="14"/>
      <c r="R28" s="14"/>
      <c r="S28" s="14"/>
      <c r="T28" s="17"/>
      <c r="U28" s="13"/>
      <c r="V28" s="13">
        <f t="shared" ref="V28:AR28" si="8">-V8</f>
        <v>-8535.2909494267114</v>
      </c>
      <c r="W28" s="13">
        <f t="shared" si="8"/>
        <v>-8953.8721069889125</v>
      </c>
      <c r="X28" s="13">
        <f t="shared" si="8"/>
        <v>-9454.9712942626502</v>
      </c>
      <c r="Y28" s="13">
        <f t="shared" si="8"/>
        <v>-9850.8714166470982</v>
      </c>
      <c r="Z28" s="13">
        <f t="shared" si="8"/>
        <v>-9909.9026139898106</v>
      </c>
      <c r="AA28" s="13">
        <f t="shared" si="8"/>
        <v>-10029.005530072303</v>
      </c>
      <c r="AB28" s="13">
        <f t="shared" si="8"/>
        <v>-10180.589649722551</v>
      </c>
      <c r="AC28" s="13">
        <f t="shared" si="8"/>
        <v>-10358.585097462117</v>
      </c>
      <c r="AD28" s="13">
        <f t="shared" si="8"/>
        <v>-10529.438396922804</v>
      </c>
      <c r="AE28" s="13">
        <f t="shared" si="8"/>
        <v>-10694.32620025283</v>
      </c>
      <c r="AF28" s="13">
        <f t="shared" si="8"/>
        <v>-10852.676860603196</v>
      </c>
      <c r="AG28" s="13">
        <f t="shared" si="8"/>
        <v>-11006.20068774362</v>
      </c>
      <c r="AH28" s="13">
        <f t="shared" si="8"/>
        <v>-11154.224700546425</v>
      </c>
      <c r="AI28" s="13">
        <f t="shared" si="8"/>
        <v>-11297.782259556689</v>
      </c>
      <c r="AJ28" s="13">
        <f t="shared" si="8"/>
        <v>-11436.679392085045</v>
      </c>
      <c r="AK28" s="13">
        <f t="shared" si="8"/>
        <v>-11571.331872798937</v>
      </c>
      <c r="AL28" s="13">
        <f t="shared" si="8"/>
        <v>-11702.129673595129</v>
      </c>
      <c r="AM28" s="13">
        <f t="shared" si="8"/>
        <v>-11829.395459716881</v>
      </c>
      <c r="AN28" s="13">
        <f t="shared" si="8"/>
        <v>-11952.867178780527</v>
      </c>
      <c r="AO28" s="13">
        <f t="shared" si="8"/>
        <v>-12073.481117321051</v>
      </c>
      <c r="AP28" s="13">
        <f t="shared" si="8"/>
        <v>-12190.882246137173</v>
      </c>
      <c r="AQ28" s="13">
        <f t="shared" si="8"/>
        <v>-12305.324710523269</v>
      </c>
      <c r="AR28" s="13">
        <f t="shared" si="8"/>
        <v>-12419.335586329657</v>
      </c>
    </row>
    <row r="29" spans="1:44">
      <c r="A29" s="12" t="s">
        <v>4</v>
      </c>
      <c r="B29" s="13"/>
      <c r="C29" s="13"/>
      <c r="D29" s="13"/>
      <c r="E29" s="13"/>
      <c r="F29" s="13"/>
      <c r="G29" s="13"/>
      <c r="H29" s="13"/>
      <c r="I29" s="13"/>
      <c r="J29" s="13"/>
      <c r="K29" s="13"/>
      <c r="L29" s="13"/>
      <c r="M29" s="13"/>
      <c r="N29" s="13"/>
      <c r="O29" s="13"/>
      <c r="P29" s="13"/>
      <c r="Q29" s="13"/>
      <c r="R29" s="13"/>
      <c r="S29" s="13"/>
      <c r="U29" s="50"/>
      <c r="V29" s="50">
        <f t="shared" ref="V29:AR29" si="9">SUM(V26:V28)</f>
        <v>4045.7034717201277</v>
      </c>
      <c r="W29" s="50">
        <f t="shared" si="9"/>
        <v>8427.0258060235337</v>
      </c>
      <c r="X29" s="50">
        <f t="shared" si="9"/>
        <v>10018.839563776201</v>
      </c>
      <c r="Y29" s="50">
        <f t="shared" si="9"/>
        <v>11158.492624555138</v>
      </c>
      <c r="Z29" s="50">
        <f t="shared" si="9"/>
        <v>12709.260684611947</v>
      </c>
      <c r="AA29" s="50">
        <f t="shared" si="9"/>
        <v>13710.083324582658</v>
      </c>
      <c r="AB29" s="50">
        <f t="shared" si="9"/>
        <v>12133.611066284444</v>
      </c>
      <c r="AC29" s="50">
        <f t="shared" si="9"/>
        <v>16658.399477628569</v>
      </c>
      <c r="AD29" s="50">
        <f t="shared" si="9"/>
        <v>16866.547121421398</v>
      </c>
      <c r="AE29" s="50">
        <f t="shared" si="9"/>
        <v>17120.325178205654</v>
      </c>
      <c r="AF29" s="50">
        <f t="shared" si="9"/>
        <v>17550.963257322779</v>
      </c>
      <c r="AG29" s="50">
        <f t="shared" si="9"/>
        <v>17859.265897712663</v>
      </c>
      <c r="AH29" s="50">
        <f t="shared" si="9"/>
        <v>18195.289435222512</v>
      </c>
      <c r="AI29" s="50">
        <f t="shared" si="9"/>
        <v>18358.93503551391</v>
      </c>
      <c r="AJ29" s="50">
        <f t="shared" si="9"/>
        <v>18385.203332739431</v>
      </c>
      <c r="AK29" s="50">
        <f t="shared" si="9"/>
        <v>18466.92765454435</v>
      </c>
      <c r="AL29" s="50">
        <f t="shared" si="9"/>
        <v>18362.656286502672</v>
      </c>
      <c r="AM29" s="50">
        <f t="shared" si="9"/>
        <v>18613.606957671527</v>
      </c>
      <c r="AN29" s="50">
        <f t="shared" si="9"/>
        <v>18619.020761630054</v>
      </c>
      <c r="AO29" s="50">
        <f t="shared" si="9"/>
        <v>18576.398401201604</v>
      </c>
      <c r="AP29" s="50">
        <f t="shared" si="9"/>
        <v>18717.759775364109</v>
      </c>
      <c r="AQ29" s="50">
        <f t="shared" si="9"/>
        <v>18504.182109189343</v>
      </c>
      <c r="AR29" s="50">
        <f t="shared" si="9"/>
        <v>18454.886651683784</v>
      </c>
    </row>
    <row r="30" spans="1:4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c r="A31" s="12" t="s">
        <v>10</v>
      </c>
      <c r="B31" s="13"/>
      <c r="C31" s="13"/>
      <c r="D31" s="13"/>
      <c r="E31" s="13"/>
      <c r="F31" s="13"/>
      <c r="G31" s="13"/>
      <c r="H31" s="13"/>
      <c r="I31" s="13"/>
      <c r="J31" s="13"/>
      <c r="K31" s="13"/>
      <c r="L31" s="13"/>
      <c r="M31" s="13"/>
      <c r="N31" s="13"/>
      <c r="O31" s="13"/>
      <c r="P31" s="13"/>
      <c r="Q31" s="13"/>
      <c r="R31" s="13"/>
      <c r="S31" s="13"/>
      <c r="T31" s="13"/>
      <c r="U31" s="14">
        <f>SUM(V31:AR31)</f>
        <v>204384.65994150625</v>
      </c>
      <c r="V31" s="14">
        <f>V29*V4</f>
        <v>4014.4957863874602</v>
      </c>
      <c r="W31" s="14">
        <f t="shared" ref="W31:AR31" si="10">W29*W4</f>
        <v>8165.0188558381305</v>
      </c>
      <c r="X31" s="14">
        <f t="shared" si="10"/>
        <v>9324.1678371783273</v>
      </c>
      <c r="Y31" s="14">
        <f t="shared" si="10"/>
        <v>9871.5734009727748</v>
      </c>
      <c r="Z31" s="14">
        <f t="shared" si="10"/>
        <v>10663.714880195805</v>
      </c>
      <c r="AA31" s="14">
        <f t="shared" si="10"/>
        <v>10910.275559656846</v>
      </c>
      <c r="AB31" s="14">
        <f t="shared" si="10"/>
        <v>9157.8406787912209</v>
      </c>
      <c r="AC31" s="14">
        <f t="shared" si="10"/>
        <v>11924.596016780424</v>
      </c>
      <c r="AD31" s="14">
        <f t="shared" si="10"/>
        <v>11451.014770107107</v>
      </c>
      <c r="AE31" s="14">
        <f t="shared" si="10"/>
        <v>11023.948828479179</v>
      </c>
      <c r="AF31" s="14">
        <f t="shared" si="10"/>
        <v>10718.487970919879</v>
      </c>
      <c r="AG31" s="14">
        <f t="shared" si="10"/>
        <v>10344.358413642794</v>
      </c>
      <c r="AH31" s="14">
        <f t="shared" si="10"/>
        <v>9995.5411912218588</v>
      </c>
      <c r="AI31" s="14">
        <f t="shared" si="10"/>
        <v>9565.3797940377081</v>
      </c>
      <c r="AJ31" s="14">
        <f t="shared" si="10"/>
        <v>9085.1177231853362</v>
      </c>
      <c r="AK31" s="14">
        <f t="shared" si="10"/>
        <v>8654.9419260956638</v>
      </c>
      <c r="AL31" s="14">
        <f t="shared" si="10"/>
        <v>8162.2972000866266</v>
      </c>
      <c r="AM31" s="14">
        <f t="shared" si="10"/>
        <v>7847.2018965906846</v>
      </c>
      <c r="AN31" s="14">
        <f t="shared" si="10"/>
        <v>7444.7224629104239</v>
      </c>
      <c r="AO31" s="14">
        <f t="shared" si="10"/>
        <v>7044.6688173824841</v>
      </c>
      <c r="AP31" s="14">
        <f t="shared" si="10"/>
        <v>6732.2513490817864</v>
      </c>
      <c r="AQ31" s="14">
        <f t="shared" si="10"/>
        <v>6312.2433750566734</v>
      </c>
      <c r="AR31" s="14">
        <f t="shared" si="10"/>
        <v>5970.8012069070783</v>
      </c>
    </row>
    <row r="32" spans="1:4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c r="A33" s="12" t="s">
        <v>5</v>
      </c>
      <c r="B33" s="13"/>
      <c r="C33" s="13"/>
      <c r="D33" s="13"/>
      <c r="E33" s="13"/>
      <c r="F33" s="13"/>
      <c r="G33" s="13"/>
      <c r="H33" s="13"/>
      <c r="I33" s="13"/>
      <c r="J33" s="13"/>
      <c r="K33" s="13"/>
      <c r="L33" s="13"/>
      <c r="M33" s="13"/>
      <c r="N33" s="13"/>
      <c r="O33" s="13"/>
      <c r="P33" s="13"/>
      <c r="Q33" s="13"/>
      <c r="R33" s="13"/>
      <c r="S33" s="13"/>
      <c r="U33" s="14"/>
      <c r="V33" s="14">
        <f>'DAV Pi'!V55</f>
        <v>217425.80856483025</v>
      </c>
      <c r="W33" s="14">
        <f>'DAV Pi'!W55</f>
        <v>218602.13181663418</v>
      </c>
      <c r="X33" s="14">
        <f>'DAV Pi'!X55</f>
        <v>219396.55312813984</v>
      </c>
      <c r="Y33" s="14">
        <f>'DAV Pi'!Y55</f>
        <v>220244.65286035021</v>
      </c>
      <c r="Z33" s="14">
        <f>'DAV Pi'!Z55</f>
        <v>220457.0113352323</v>
      </c>
      <c r="AA33" s="14">
        <f>'DAV Pi'!AA55</f>
        <v>220519.64531638619</v>
      </c>
      <c r="AB33" s="14">
        <f>'DAV Pi'!AB55</f>
        <v>222357.89862610315</v>
      </c>
      <c r="AC33" s="14">
        <f>'DAV Pi'!AC55</f>
        <v>219822.85274162918</v>
      </c>
      <c r="AD33" s="14">
        <f>'DAV Pi'!AD55</f>
        <v>217159.50947298051</v>
      </c>
      <c r="AE33" s="14">
        <f>'DAV Pi'!AE55</f>
        <v>214286.10413902675</v>
      </c>
      <c r="AF33" s="14">
        <f>'DAV Pi'!AF55</f>
        <v>210998.37940703778</v>
      </c>
      <c r="AG33" s="14">
        <f>'DAV Pi'!AG55</f>
        <v>207417.3448395101</v>
      </c>
      <c r="AH33" s="14">
        <f>'DAV Pi'!AH55</f>
        <v>203485.30860397746</v>
      </c>
      <c r="AI33" s="14">
        <f>'DAV Pi'!AI55</f>
        <v>199336.97572981211</v>
      </c>
      <c r="AJ33" s="14">
        <f>'DAV Pi'!AJ55</f>
        <v>195068.82262693832</v>
      </c>
      <c r="AK33" s="14">
        <f>'DAV Pi'!AK55</f>
        <v>190579.45282667864</v>
      </c>
      <c r="AL33" s="14">
        <f>'DAV Pi'!AL55</f>
        <v>186022.43439469847</v>
      </c>
      <c r="AM33" s="14">
        <f>'DAV Pi'!AM55</f>
        <v>181029.2577950455</v>
      </c>
      <c r="AN33" s="14">
        <f>'DAV Pi'!AN55</f>
        <v>175826.99309946498</v>
      </c>
      <c r="AO33" s="14">
        <f>'DAV Pi'!AO55</f>
        <v>170449.6117478011</v>
      </c>
      <c r="AP33" s="14">
        <f>'DAV Pi'!AP55</f>
        <v>164714.87170283851</v>
      </c>
      <c r="AQ33" s="14">
        <f>'DAV Pi'!AQ55</f>
        <v>158919.39690824994</v>
      </c>
      <c r="AR33" s="14">
        <f>'DAV Pi'!AR55</f>
        <v>152881.18925598849</v>
      </c>
    </row>
    <row r="34" spans="1:4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c r="A35" s="15" t="s">
        <v>0</v>
      </c>
      <c r="B35" s="14"/>
      <c r="C35" s="14"/>
      <c r="D35" s="14"/>
      <c r="E35" s="14"/>
      <c r="F35" s="14"/>
      <c r="G35" s="14"/>
      <c r="H35" s="14"/>
      <c r="I35" s="14"/>
      <c r="J35" s="14"/>
      <c r="K35" s="14"/>
      <c r="L35" s="14"/>
      <c r="M35" s="14"/>
      <c r="N35" s="14"/>
      <c r="O35" s="14"/>
      <c r="P35" s="14"/>
      <c r="Q35" s="14"/>
      <c r="R35" s="14"/>
      <c r="S35" s="14"/>
      <c r="T35" s="13"/>
      <c r="U35" s="33">
        <f>-Inputs!V51</f>
        <v>-252538.04625045252</v>
      </c>
    </row>
    <row r="36" spans="1:44">
      <c r="A36" s="15" t="s">
        <v>114</v>
      </c>
      <c r="B36" s="14"/>
      <c r="C36" s="14"/>
      <c r="D36" s="14"/>
      <c r="E36" s="14"/>
      <c r="F36" s="14"/>
      <c r="G36" s="14"/>
      <c r="H36" s="14"/>
      <c r="I36" s="14"/>
      <c r="J36" s="14"/>
      <c r="K36" s="14"/>
      <c r="L36" s="14"/>
      <c r="M36" s="14"/>
      <c r="N36" s="14"/>
      <c r="O36" s="14"/>
      <c r="P36" s="14"/>
      <c r="Q36" s="14"/>
      <c r="R36" s="14"/>
      <c r="S36" s="14"/>
      <c r="T36" s="13"/>
      <c r="U36" s="33">
        <f>AR33*AR5</f>
        <v>48153.386308946312</v>
      </c>
    </row>
    <row r="37" spans="1:44">
      <c r="A37" s="12" t="s">
        <v>335</v>
      </c>
      <c r="B37" s="13"/>
      <c r="C37" s="13"/>
      <c r="D37" s="13"/>
      <c r="E37" s="13"/>
      <c r="F37" s="13"/>
      <c r="G37" s="13"/>
      <c r="H37" s="13"/>
      <c r="I37" s="13"/>
      <c r="J37" s="13"/>
      <c r="K37" s="13"/>
      <c r="L37" s="13"/>
      <c r="M37" s="13"/>
      <c r="N37" s="13"/>
      <c r="O37" s="13"/>
      <c r="P37" s="13"/>
      <c r="Q37" s="13"/>
      <c r="R37" s="13"/>
      <c r="S37" s="13"/>
      <c r="T37" s="13"/>
      <c r="U37" s="33">
        <f>SUM(U31:U36)</f>
        <v>0</v>
      </c>
    </row>
    <row r="38" spans="1:4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c r="A39" s="12" t="s">
        <v>11</v>
      </c>
      <c r="B39" s="13"/>
      <c r="C39" s="13"/>
      <c r="D39" s="13"/>
      <c r="E39" s="13"/>
      <c r="F39" s="13"/>
      <c r="G39" s="13"/>
      <c r="H39" s="13"/>
      <c r="I39" s="13"/>
      <c r="J39" s="13"/>
      <c r="K39" s="13"/>
      <c r="L39" s="13"/>
      <c r="M39" s="13"/>
      <c r="N39" s="13"/>
      <c r="O39" s="13"/>
      <c r="P39" s="13"/>
      <c r="Q39" s="13"/>
      <c r="R39" s="13"/>
      <c r="S39" s="13"/>
      <c r="U39" s="14"/>
      <c r="V39" s="14"/>
      <c r="W39" s="14"/>
      <c r="X39" s="14"/>
      <c r="Y39" s="14"/>
      <c r="Z39" s="14"/>
      <c r="AA39" s="14">
        <f>AA44+AA43</f>
        <v>257625.58450331708</v>
      </c>
      <c r="AB39" s="14"/>
      <c r="AC39" s="14"/>
      <c r="AD39" s="14"/>
      <c r="AE39" s="14"/>
      <c r="AF39" s="14"/>
      <c r="AG39" s="14">
        <f>AG43+AG44</f>
        <v>239354.21783663612</v>
      </c>
      <c r="AH39" s="14"/>
      <c r="AI39" s="14"/>
      <c r="AJ39" s="14"/>
      <c r="AK39" s="14"/>
      <c r="AL39" s="14"/>
      <c r="AM39" s="14">
        <f>AM43+AM44</f>
        <v>198958.86333613307</v>
      </c>
      <c r="AN39" s="14"/>
      <c r="AO39" s="14"/>
      <c r="AP39" s="14"/>
      <c r="AQ39" s="14"/>
      <c r="AR39" s="14">
        <f>AR43+AR44</f>
        <v>152881.18925598849</v>
      </c>
    </row>
    <row r="40" spans="1:44">
      <c r="A40" s="18"/>
    </row>
    <row r="41" spans="1:44">
      <c r="A41" s="12" t="s">
        <v>12</v>
      </c>
      <c r="B41" s="13"/>
      <c r="C41" s="13"/>
      <c r="D41" s="13"/>
      <c r="E41" s="13"/>
      <c r="F41" s="13"/>
      <c r="G41" s="13"/>
      <c r="H41" s="13"/>
      <c r="I41" s="13"/>
      <c r="J41" s="13"/>
      <c r="K41" s="13"/>
      <c r="L41" s="13"/>
      <c r="M41" s="13"/>
      <c r="N41" s="13"/>
      <c r="O41" s="13"/>
      <c r="P41" s="13"/>
      <c r="Q41" s="13"/>
      <c r="R41" s="13"/>
      <c r="S41" s="13"/>
      <c r="U41" s="13"/>
      <c r="V41" s="13">
        <f>V29*(1+V3*$U4)*(1+W3)*(1+X3)*(1+Y3)*(1+Z3)*(1+AA3)</f>
        <v>5181.8379779614161</v>
      </c>
      <c r="W41" s="13">
        <f>W29*(1+W3*$U4)*(1+X3)*(1+Y3)*(1+Z3)*(1+AA3)</f>
        <v>10539.25749316244</v>
      </c>
      <c r="X41" s="13">
        <f>X29*(1+X3*$U4)*(1+Y3)*(1+Z3)*(1+AA3)</f>
        <v>12035.465867322682</v>
      </c>
      <c r="Y41" s="13">
        <f>Y29*(1+Y3*$U4)*(1+Z3)*(1+AA3)</f>
        <v>12742.046990022027</v>
      </c>
      <c r="Z41" s="13">
        <f>Z29*(1+Z3*$U4)*(1+AA3)</f>
        <v>13764.528770890998</v>
      </c>
      <c r="AA41" s="13">
        <f>AA29*(1+AA3*$U4)</f>
        <v>14082.784801208792</v>
      </c>
      <c r="AB41" s="13">
        <f t="shared" ref="AB41:AG41" si="11">AB29*(1+$AG$3*$U$4)*(1+$AG$3)^($AG$1-AB1)</f>
        <v>16240.581527610015</v>
      </c>
      <c r="AC41" s="13">
        <f t="shared" si="11"/>
        <v>21147.165646028512</v>
      </c>
      <c r="AD41" s="13">
        <f t="shared" si="11"/>
        <v>20307.313205227976</v>
      </c>
      <c r="AE41" s="13">
        <f t="shared" si="11"/>
        <v>19549.95134603593</v>
      </c>
      <c r="AF41" s="13">
        <f t="shared" si="11"/>
        <v>19008.244830855507</v>
      </c>
      <c r="AG41" s="13">
        <f t="shared" si="11"/>
        <v>18344.760742197053</v>
      </c>
      <c r="AH41" s="13">
        <f t="shared" ref="AH41:AM41" si="12">AH29*(1+$AM$3*$U$4)*(1+$AM$3)^($AM$1-AH1)</f>
        <v>24354.009690676616</v>
      </c>
      <c r="AI41" s="13">
        <f t="shared" si="12"/>
        <v>23305.926887038331</v>
      </c>
      <c r="AJ41" s="13">
        <f t="shared" si="12"/>
        <v>22135.77442567137</v>
      </c>
      <c r="AK41" s="13">
        <f t="shared" si="12"/>
        <v>21087.656536845407</v>
      </c>
      <c r="AL41" s="13">
        <f t="shared" si="12"/>
        <v>19887.333892802737</v>
      </c>
      <c r="AM41" s="13">
        <f t="shared" si="12"/>
        <v>19119.608171101339</v>
      </c>
      <c r="AN41" s="13">
        <f>AN29*(1+$AR$3*$U$4)*(1+$AR$3)^($AR$1-AN1)</f>
        <v>23636.095216818874</v>
      </c>
      <c r="AO41" s="13">
        <f>AO29*(1+$AR$3*$U$4)*(1+$AR$3)^($AR$1-AO1)</f>
        <v>22365.973180081823</v>
      </c>
      <c r="AP41" s="13">
        <f>AP29*(1+$AR$3*$U$4)*(1+$AR$3)^($AR$1-AP1)</f>
        <v>21374.085428061317</v>
      </c>
      <c r="AQ41" s="13">
        <f>AQ29*(1+$AR$3*$U$4)*(1+$AR$3)^($AR$1-AQ1)</f>
        <v>20040.610806899975</v>
      </c>
      <c r="AR41" s="13">
        <f>AR29*(1+$AR$3*$U$4)*(1+$AR$3)^($AR$1-AR1)</f>
        <v>18956.573136237654</v>
      </c>
    </row>
    <row r="42" spans="1:44">
      <c r="A42" s="12" t="s">
        <v>13</v>
      </c>
      <c r="B42" s="13"/>
      <c r="C42" s="13"/>
      <c r="D42" s="13"/>
      <c r="E42" s="13"/>
      <c r="F42" s="13"/>
      <c r="G42" s="13"/>
      <c r="H42" s="13"/>
      <c r="I42" s="13"/>
      <c r="J42" s="13"/>
      <c r="K42" s="13"/>
      <c r="L42" s="13"/>
      <c r="M42" s="13"/>
      <c r="N42" s="13"/>
      <c r="O42" s="13"/>
      <c r="P42" s="13"/>
      <c r="Q42" s="13"/>
      <c r="R42" s="13"/>
      <c r="S42" s="13"/>
      <c r="U42" s="13">
        <f>-U35</f>
        <v>252538.04625045252</v>
      </c>
      <c r="V42" s="13"/>
      <c r="W42" s="13"/>
      <c r="X42" s="13"/>
      <c r="Y42" s="13"/>
      <c r="Z42" s="13"/>
      <c r="AA42" s="13">
        <f>-U42/AA5</f>
        <v>-325971.50640388543</v>
      </c>
      <c r="AB42" s="13"/>
      <c r="AC42" s="13"/>
      <c r="AD42" s="13"/>
      <c r="AE42" s="13"/>
      <c r="AF42" s="13"/>
      <c r="AG42" s="13">
        <f>-AA39*(1+AG3)^(AG1-AA1)</f>
        <v>-353952.23513459112</v>
      </c>
      <c r="AH42" s="13"/>
      <c r="AI42" s="13"/>
      <c r="AJ42" s="13"/>
      <c r="AK42" s="13"/>
      <c r="AL42" s="13"/>
      <c r="AM42" s="13">
        <f>-AG39*(1+AM3)^(AM1-AG1)</f>
        <v>-328849.17294026888</v>
      </c>
      <c r="AN42" s="13"/>
      <c r="AO42" s="13"/>
      <c r="AP42" s="13"/>
      <c r="AQ42" s="13"/>
      <c r="AR42" s="13">
        <f>-AM39*(1+AR3)^(AR1-AM1)</f>
        <v>-259254.52702408814</v>
      </c>
    </row>
    <row r="43" spans="1:44">
      <c r="A43" s="12" t="s">
        <v>1</v>
      </c>
      <c r="B43" s="13"/>
      <c r="C43" s="13"/>
      <c r="D43" s="13"/>
      <c r="E43" s="13"/>
      <c r="F43" s="13"/>
      <c r="G43" s="13"/>
      <c r="H43" s="13"/>
      <c r="I43" s="13"/>
      <c r="J43" s="13"/>
      <c r="K43" s="13"/>
      <c r="L43" s="13"/>
      <c r="M43" s="13"/>
      <c r="N43" s="13"/>
      <c r="O43" s="13"/>
      <c r="P43" s="13"/>
      <c r="Q43" s="13"/>
      <c r="R43" s="13"/>
      <c r="S43" s="13"/>
      <c r="U43" s="13"/>
      <c r="V43" s="13"/>
      <c r="W43" s="13"/>
      <c r="X43" s="13"/>
      <c r="Y43" s="13"/>
      <c r="Z43" s="13"/>
      <c r="AA43" s="13">
        <f>AA33</f>
        <v>220519.64531638619</v>
      </c>
      <c r="AB43" s="13"/>
      <c r="AC43" s="13"/>
      <c r="AD43" s="13"/>
      <c r="AE43" s="13"/>
      <c r="AF43" s="13"/>
      <c r="AG43" s="13">
        <f>AG33</f>
        <v>207417.3448395101</v>
      </c>
      <c r="AH43" s="13"/>
      <c r="AI43" s="13"/>
      <c r="AJ43" s="13"/>
      <c r="AK43" s="13"/>
      <c r="AL43" s="13"/>
      <c r="AM43" s="13">
        <f>AM33</f>
        <v>181029.2577950455</v>
      </c>
      <c r="AN43" s="13"/>
      <c r="AO43" s="13"/>
      <c r="AP43" s="13"/>
      <c r="AQ43" s="13"/>
      <c r="AR43" s="13">
        <f>AR33</f>
        <v>152881.18925598849</v>
      </c>
    </row>
    <row r="44" spans="1:44">
      <c r="A44" s="12" t="s">
        <v>14</v>
      </c>
      <c r="B44" s="13"/>
      <c r="C44" s="13"/>
      <c r="D44" s="13"/>
      <c r="E44" s="13"/>
      <c r="F44" s="13"/>
      <c r="G44" s="13"/>
      <c r="H44" s="13"/>
      <c r="I44" s="13"/>
      <c r="J44" s="13"/>
      <c r="K44" s="13"/>
      <c r="L44" s="13"/>
      <c r="M44" s="13"/>
      <c r="N44" s="13"/>
      <c r="O44" s="13"/>
      <c r="P44" s="13"/>
      <c r="Q44" s="13"/>
      <c r="R44" s="13"/>
      <c r="S44" s="13"/>
      <c r="U44" s="13"/>
      <c r="V44" s="13"/>
      <c r="W44" s="13"/>
      <c r="X44" s="13"/>
      <c r="Y44" s="13"/>
      <c r="Z44" s="13"/>
      <c r="AA44" s="13">
        <f>-SUM(V41:AA43)</f>
        <v>37105.939186930889</v>
      </c>
      <c r="AB44" s="13"/>
      <c r="AC44" s="13"/>
      <c r="AD44" s="13"/>
      <c r="AE44" s="13"/>
      <c r="AF44" s="13"/>
      <c r="AG44" s="13">
        <f>-SUM(AB41:AG43)</f>
        <v>31936.872997126018</v>
      </c>
      <c r="AH44" s="13"/>
      <c r="AI44" s="13"/>
      <c r="AJ44" s="13"/>
      <c r="AK44" s="13"/>
      <c r="AL44" s="13"/>
      <c r="AM44" s="13">
        <f>-SUM(AH41:AM43)</f>
        <v>17929.605541087571</v>
      </c>
      <c r="AN44" s="13"/>
      <c r="AO44" s="13"/>
      <c r="AP44" s="13" t="s">
        <v>189</v>
      </c>
      <c r="AQ44" s="13"/>
      <c r="AR44" s="13">
        <f>SUM(AN41:AR43)</f>
        <v>0</v>
      </c>
    </row>
    <row r="45" spans="1:44">
      <c r="A45" s="30"/>
    </row>
    <row r="46" spans="1:44">
      <c r="A46" s="30" t="s">
        <v>156</v>
      </c>
    </row>
    <row r="47" spans="1:44">
      <c r="A47" s="9" t="s">
        <v>35</v>
      </c>
      <c r="V47" s="33">
        <f>+V58</f>
        <v>4077.4001599062744</v>
      </c>
      <c r="W47" s="33">
        <f t="shared" ref="W47:AR47" si="13">+W58</f>
        <v>12776.89818993376</v>
      </c>
      <c r="X47" s="33">
        <f t="shared" si="13"/>
        <v>23680.33420653615</v>
      </c>
      <c r="Y47" s="33">
        <f t="shared" si="13"/>
        <v>36429.639754200223</v>
      </c>
      <c r="Z47" s="33">
        <f t="shared" si="13"/>
        <v>51465.036650216214</v>
      </c>
      <c r="AA47" s="33">
        <f t="shared" si="13"/>
        <v>68345.921900568355</v>
      </c>
      <c r="AB47" s="33">
        <f t="shared" si="13"/>
        <v>84525.2754671328</v>
      </c>
      <c r="AC47" s="33">
        <f t="shared" si="13"/>
        <v>106232.07606695584</v>
      </c>
      <c r="AD47" s="33">
        <f t="shared" si="13"/>
        <v>129332.85883995148</v>
      </c>
      <c r="AE47" s="33">
        <f t="shared" si="13"/>
        <v>153950.2839972504</v>
      </c>
      <c r="AF47" s="33">
        <f t="shared" si="13"/>
        <v>180348.47767587216</v>
      </c>
      <c r="AG47" s="33">
        <f t="shared" si="13"/>
        <v>208498.59734197191</v>
      </c>
      <c r="AH47" s="33">
        <f t="shared" si="13"/>
        <v>238524.36786238116</v>
      </c>
      <c r="AI47" s="33">
        <f t="shared" si="13"/>
        <v>270350.70247913647</v>
      </c>
      <c r="AJ47" s="33">
        <f t="shared" si="13"/>
        <v>303934.38415360404</v>
      </c>
      <c r="AK47" s="33">
        <f t="shared" si="13"/>
        <v>339427.9215830171</v>
      </c>
      <c r="AL47" s="33">
        <f t="shared" si="13"/>
        <v>376744.09975009726</v>
      </c>
      <c r="AM47" s="33">
        <f t="shared" si="13"/>
        <v>416346.89229911985</v>
      </c>
      <c r="AN47" s="33">
        <f t="shared" si="13"/>
        <v>458108.40841374721</v>
      </c>
      <c r="AO47" s="33">
        <f t="shared" si="13"/>
        <v>502096.67364373279</v>
      </c>
      <c r="AP47" s="33">
        <f t="shared" si="13"/>
        <v>548621.73925625498</v>
      </c>
      <c r="AQ47" s="33">
        <f t="shared" si="13"/>
        <v>597456.9405730553</v>
      </c>
      <c r="AR47" s="33">
        <f t="shared" si="13"/>
        <v>648896.62540167058</v>
      </c>
    </row>
    <row r="48" spans="1:44">
      <c r="A48" s="9" t="s">
        <v>36</v>
      </c>
      <c r="V48" s="33">
        <f t="shared" ref="V48:AR48" si="14">-$U42/V$5</f>
        <v>-256495.14284099228</v>
      </c>
      <c r="W48" s="33">
        <f t="shared" si="14"/>
        <v>-264924.58860718616</v>
      </c>
      <c r="X48" s="33">
        <f t="shared" si="14"/>
        <v>-278100.52258743031</v>
      </c>
      <c r="Y48" s="33">
        <f t="shared" si="14"/>
        <v>-293220.55839829805</v>
      </c>
      <c r="Z48" s="33">
        <f t="shared" si="14"/>
        <v>-309162.654810832</v>
      </c>
      <c r="AA48" s="33">
        <f t="shared" si="14"/>
        <v>-325971.50640388543</v>
      </c>
      <c r="AB48" s="33">
        <f t="shared" si="14"/>
        <v>-343694.23775402067</v>
      </c>
      <c r="AC48" s="33">
        <f t="shared" si="14"/>
        <v>-362380.53555195429</v>
      </c>
      <c r="AD48" s="33">
        <f t="shared" si="14"/>
        <v>-382082.78790203534</v>
      </c>
      <c r="AE48" s="33">
        <f t="shared" si="14"/>
        <v>-402856.23119529174</v>
      </c>
      <c r="AF48" s="33">
        <f t="shared" si="14"/>
        <v>-424759.10496781056</v>
      </c>
      <c r="AG48" s="33">
        <f t="shared" si="14"/>
        <v>-447852.81517860794</v>
      </c>
      <c r="AH48" s="33">
        <f t="shared" si="14"/>
        <v>-472202.10636474582</v>
      </c>
      <c r="AI48" s="33">
        <f t="shared" si="14"/>
        <v>-497875.2431563444</v>
      </c>
      <c r="AJ48" s="33">
        <f t="shared" si="14"/>
        <v>-524944.20166037511</v>
      </c>
      <c r="AK48" s="33">
        <f t="shared" si="14"/>
        <v>-553484.87124979275</v>
      </c>
      <c r="AL48" s="33">
        <f t="shared" si="14"/>
        <v>-583577.26732373179</v>
      </c>
      <c r="AM48" s="33">
        <f t="shared" si="14"/>
        <v>-615305.7556352528</v>
      </c>
      <c r="AN48" s="33">
        <f t="shared" si="14"/>
        <v>-648759.28881555516</v>
      </c>
      <c r="AO48" s="33">
        <f t="shared" si="14"/>
        <v>-684031.65575776552</v>
      </c>
      <c r="AP48" s="33">
        <f t="shared" si="14"/>
        <v>-721221.74455946137</v>
      </c>
      <c r="AQ48" s="33">
        <f t="shared" si="14"/>
        <v>-760433.81976110791</v>
      </c>
      <c r="AR48" s="33">
        <f t="shared" si="14"/>
        <v>-801777.81465765892</v>
      </c>
    </row>
    <row r="49" spans="1:44">
      <c r="A49" s="9" t="s">
        <v>37</v>
      </c>
      <c r="U49" s="33">
        <f>+Inputs!V43</f>
        <v>213071.86809113901</v>
      </c>
      <c r="V49" s="33">
        <f t="shared" ref="V49:AR49" si="15">+V33</f>
        <v>217425.80856483025</v>
      </c>
      <c r="W49" s="33">
        <f t="shared" si="15"/>
        <v>218602.13181663418</v>
      </c>
      <c r="X49" s="33">
        <f t="shared" si="15"/>
        <v>219396.55312813984</v>
      </c>
      <c r="Y49" s="33">
        <f t="shared" si="15"/>
        <v>220244.65286035021</v>
      </c>
      <c r="Z49" s="33">
        <f t="shared" si="15"/>
        <v>220457.0113352323</v>
      </c>
      <c r="AA49" s="33">
        <f t="shared" si="15"/>
        <v>220519.64531638619</v>
      </c>
      <c r="AB49" s="33">
        <f t="shared" si="15"/>
        <v>222357.89862610315</v>
      </c>
      <c r="AC49" s="33">
        <f t="shared" si="15"/>
        <v>219822.85274162918</v>
      </c>
      <c r="AD49" s="33">
        <f t="shared" si="15"/>
        <v>217159.50947298051</v>
      </c>
      <c r="AE49" s="33">
        <f t="shared" si="15"/>
        <v>214286.10413902675</v>
      </c>
      <c r="AF49" s="33">
        <f t="shared" si="15"/>
        <v>210998.37940703778</v>
      </c>
      <c r="AG49" s="33">
        <f t="shared" si="15"/>
        <v>207417.3448395101</v>
      </c>
      <c r="AH49" s="33">
        <f t="shared" si="15"/>
        <v>203485.30860397746</v>
      </c>
      <c r="AI49" s="33">
        <f t="shared" si="15"/>
        <v>199336.97572981211</v>
      </c>
      <c r="AJ49" s="33">
        <f t="shared" si="15"/>
        <v>195068.82262693832</v>
      </c>
      <c r="AK49" s="33">
        <f t="shared" si="15"/>
        <v>190579.45282667864</v>
      </c>
      <c r="AL49" s="33">
        <f t="shared" si="15"/>
        <v>186022.43439469847</v>
      </c>
      <c r="AM49" s="33">
        <f t="shared" si="15"/>
        <v>181029.2577950455</v>
      </c>
      <c r="AN49" s="33">
        <f t="shared" si="15"/>
        <v>175826.99309946498</v>
      </c>
      <c r="AO49" s="33">
        <f t="shared" si="15"/>
        <v>170449.6117478011</v>
      </c>
      <c r="AP49" s="33">
        <f t="shared" si="15"/>
        <v>164714.87170283851</v>
      </c>
      <c r="AQ49" s="33">
        <f t="shared" si="15"/>
        <v>158919.39690824994</v>
      </c>
      <c r="AR49" s="33">
        <f t="shared" si="15"/>
        <v>152881.18925598849</v>
      </c>
    </row>
    <row r="50" spans="1:44">
      <c r="A50" s="9" t="s">
        <v>38</v>
      </c>
      <c r="U50" s="49">
        <f>+Inputs!V44</f>
        <v>39466.178159313502</v>
      </c>
      <c r="V50" s="49">
        <f t="shared" ref="V50:AR50" si="16">-SUM(V47:V49)</f>
        <v>34991.934116255754</v>
      </c>
      <c r="W50" s="49">
        <f t="shared" si="16"/>
        <v>33545.558600618213</v>
      </c>
      <c r="X50" s="49">
        <f t="shared" si="16"/>
        <v>35023.63525275432</v>
      </c>
      <c r="Y50" s="49">
        <f t="shared" si="16"/>
        <v>36546.2657837476</v>
      </c>
      <c r="Z50" s="49">
        <f t="shared" si="16"/>
        <v>37240.606825383496</v>
      </c>
      <c r="AA50" s="49">
        <f t="shared" si="16"/>
        <v>37105.939186930889</v>
      </c>
      <c r="AB50" s="49">
        <f t="shared" si="16"/>
        <v>36811.063660784712</v>
      </c>
      <c r="AC50" s="49">
        <f t="shared" si="16"/>
        <v>36325.606743369281</v>
      </c>
      <c r="AD50" s="49">
        <f t="shared" si="16"/>
        <v>35590.419589103345</v>
      </c>
      <c r="AE50" s="49">
        <f t="shared" si="16"/>
        <v>34619.843059014587</v>
      </c>
      <c r="AF50" s="49">
        <f t="shared" si="16"/>
        <v>33412.247884900629</v>
      </c>
      <c r="AG50" s="49">
        <f t="shared" si="16"/>
        <v>31936.872997125931</v>
      </c>
      <c r="AH50" s="49">
        <f t="shared" si="16"/>
        <v>30192.4298983872</v>
      </c>
      <c r="AI50" s="49">
        <f t="shared" si="16"/>
        <v>28187.564947395818</v>
      </c>
      <c r="AJ50" s="49">
        <f t="shared" si="16"/>
        <v>25940.994879832753</v>
      </c>
      <c r="AK50" s="49">
        <f t="shared" si="16"/>
        <v>23477.49684009701</v>
      </c>
      <c r="AL50" s="49">
        <f t="shared" si="16"/>
        <v>20810.733178936061</v>
      </c>
      <c r="AM50" s="49">
        <f t="shared" si="16"/>
        <v>17929.605541087454</v>
      </c>
      <c r="AN50" s="49">
        <f t="shared" si="16"/>
        <v>14823.887302342977</v>
      </c>
      <c r="AO50" s="49">
        <f t="shared" si="16"/>
        <v>11485.370366231626</v>
      </c>
      <c r="AP50" s="49">
        <f t="shared" si="16"/>
        <v>7885.1336003678734</v>
      </c>
      <c r="AQ50" s="49">
        <f t="shared" si="16"/>
        <v>4057.4822798026726</v>
      </c>
      <c r="AR50" s="49">
        <f t="shared" si="16"/>
        <v>0</v>
      </c>
    </row>
    <row r="51" spans="1:44">
      <c r="A51" s="9"/>
    </row>
    <row r="52" spans="1:44">
      <c r="A52" s="9" t="s">
        <v>0</v>
      </c>
      <c r="U52" s="33">
        <f>+U42</f>
        <v>252538.04625045252</v>
      </c>
      <c r="V52" s="33">
        <f t="shared" ref="V52:AR52" si="17">SUM(V49:V50)</f>
        <v>252417.74268108601</v>
      </c>
      <c r="W52" s="33">
        <f t="shared" si="17"/>
        <v>252147.69041725239</v>
      </c>
      <c r="X52" s="33">
        <f t="shared" si="17"/>
        <v>254420.18838089416</v>
      </c>
      <c r="Y52" s="33">
        <f t="shared" si="17"/>
        <v>256790.91864409781</v>
      </c>
      <c r="Z52" s="33">
        <f t="shared" si="17"/>
        <v>257697.61816061579</v>
      </c>
      <c r="AA52" s="33">
        <f t="shared" si="17"/>
        <v>257625.58450331708</v>
      </c>
      <c r="AB52" s="33">
        <f t="shared" si="17"/>
        <v>259168.96228688787</v>
      </c>
      <c r="AC52" s="33">
        <f t="shared" si="17"/>
        <v>256148.45948499846</v>
      </c>
      <c r="AD52" s="33">
        <f t="shared" si="17"/>
        <v>252749.92906208386</v>
      </c>
      <c r="AE52" s="33">
        <f t="shared" si="17"/>
        <v>248905.94719804134</v>
      </c>
      <c r="AF52" s="33">
        <f t="shared" si="17"/>
        <v>244410.62729193841</v>
      </c>
      <c r="AG52" s="33">
        <f t="shared" si="17"/>
        <v>239354.21783663603</v>
      </c>
      <c r="AH52" s="33">
        <f t="shared" si="17"/>
        <v>233677.73850236466</v>
      </c>
      <c r="AI52" s="33">
        <f t="shared" si="17"/>
        <v>227524.54067720793</v>
      </c>
      <c r="AJ52" s="33">
        <f t="shared" si="17"/>
        <v>221009.81750677107</v>
      </c>
      <c r="AK52" s="33">
        <f t="shared" si="17"/>
        <v>214056.94966677565</v>
      </c>
      <c r="AL52" s="33">
        <f t="shared" si="17"/>
        <v>206833.16757363454</v>
      </c>
      <c r="AM52" s="33">
        <f t="shared" si="17"/>
        <v>198958.86333613296</v>
      </c>
      <c r="AN52" s="33">
        <f t="shared" si="17"/>
        <v>190650.88040180795</v>
      </c>
      <c r="AO52" s="33">
        <f t="shared" si="17"/>
        <v>181934.98211403273</v>
      </c>
      <c r="AP52" s="33">
        <f t="shared" si="17"/>
        <v>172600.00530320639</v>
      </c>
      <c r="AQ52" s="33">
        <f t="shared" si="17"/>
        <v>162976.87918805261</v>
      </c>
      <c r="AR52" s="33">
        <f t="shared" si="17"/>
        <v>152881.18925598849</v>
      </c>
    </row>
    <row r="53" spans="1:44">
      <c r="A53" s="135"/>
      <c r="B53" s="136"/>
      <c r="C53" s="136"/>
      <c r="D53" s="136"/>
      <c r="E53" s="136"/>
      <c r="F53" s="136"/>
      <c r="G53" s="136"/>
      <c r="H53" s="136"/>
      <c r="I53" s="136"/>
      <c r="J53" s="136"/>
      <c r="K53" s="136"/>
      <c r="L53" s="136"/>
      <c r="M53" s="136"/>
      <c r="N53" s="136"/>
      <c r="O53" s="136"/>
      <c r="P53" s="136"/>
      <c r="Q53" s="136"/>
      <c r="R53" s="136"/>
      <c r="S53" s="136"/>
      <c r="T53" s="136"/>
    </row>
    <row r="54" spans="1:44">
      <c r="A54" s="19" t="s">
        <v>30</v>
      </c>
      <c r="B54" s="20"/>
      <c r="U54" s="20"/>
      <c r="V54" s="20">
        <v>0</v>
      </c>
      <c r="W54" s="20">
        <f>+V58</f>
        <v>4077.4001599062744</v>
      </c>
      <c r="X54" s="20">
        <f>+W58</f>
        <v>12776.89818993376</v>
      </c>
      <c r="Y54" s="20">
        <f>+X58</f>
        <v>23680.33420653615</v>
      </c>
      <c r="Z54" s="20">
        <f>+Y58</f>
        <v>36429.639754200223</v>
      </c>
      <c r="AA54" s="20">
        <f>+Z58</f>
        <v>51465.036650216214</v>
      </c>
      <c r="AB54" s="20">
        <f t="shared" ref="AB54:AR54" si="18">+AA58</f>
        <v>68345.921900568355</v>
      </c>
      <c r="AC54" s="20">
        <f t="shared" si="18"/>
        <v>84525.2754671328</v>
      </c>
      <c r="AD54" s="20">
        <f t="shared" si="18"/>
        <v>106232.07606695584</v>
      </c>
      <c r="AE54" s="20">
        <f t="shared" si="18"/>
        <v>129332.85883995148</v>
      </c>
      <c r="AF54" s="20">
        <f t="shared" si="18"/>
        <v>153950.2839972504</v>
      </c>
      <c r="AG54" s="20">
        <f t="shared" si="18"/>
        <v>180348.47767587216</v>
      </c>
      <c r="AH54" s="20">
        <f t="shared" si="18"/>
        <v>208498.59734197191</v>
      </c>
      <c r="AI54" s="20">
        <f t="shared" si="18"/>
        <v>238524.36786238116</v>
      </c>
      <c r="AJ54" s="20">
        <f t="shared" si="18"/>
        <v>270350.70247913647</v>
      </c>
      <c r="AK54" s="20">
        <f t="shared" si="18"/>
        <v>303934.38415360404</v>
      </c>
      <c r="AL54" s="20">
        <f t="shared" si="18"/>
        <v>339427.9215830171</v>
      </c>
      <c r="AM54" s="20">
        <f t="shared" si="18"/>
        <v>376744.09975009726</v>
      </c>
      <c r="AN54" s="20">
        <f t="shared" si="18"/>
        <v>416346.89229911985</v>
      </c>
      <c r="AO54" s="20">
        <f t="shared" si="18"/>
        <v>458108.40841374721</v>
      </c>
      <c r="AP54" s="20">
        <f t="shared" si="18"/>
        <v>502096.67364373279</v>
      </c>
      <c r="AQ54" s="20">
        <f t="shared" si="18"/>
        <v>548621.73925625498</v>
      </c>
      <c r="AR54" s="20">
        <f t="shared" si="18"/>
        <v>597456.9405730553</v>
      </c>
    </row>
    <row r="55" spans="1:44">
      <c r="A55" s="19" t="s">
        <v>31</v>
      </c>
      <c r="B55" s="20"/>
      <c r="U55" s="20"/>
      <c r="V55" s="20">
        <f t="shared" ref="V55:AR55" si="19">+V29</f>
        <v>4045.7034717201277</v>
      </c>
      <c r="W55" s="20">
        <f t="shared" si="19"/>
        <v>8427.0258060235337</v>
      </c>
      <c r="X55" s="20">
        <f t="shared" si="19"/>
        <v>10018.839563776201</v>
      </c>
      <c r="Y55" s="20">
        <f t="shared" si="19"/>
        <v>11158.492624555138</v>
      </c>
      <c r="Z55" s="20">
        <f t="shared" si="19"/>
        <v>12709.260684611947</v>
      </c>
      <c r="AA55" s="20">
        <f t="shared" si="19"/>
        <v>13710.083324582658</v>
      </c>
      <c r="AB55" s="20">
        <f t="shared" si="19"/>
        <v>12133.611066284444</v>
      </c>
      <c r="AC55" s="20">
        <f t="shared" si="19"/>
        <v>16658.399477628569</v>
      </c>
      <c r="AD55" s="20">
        <f t="shared" si="19"/>
        <v>16866.547121421398</v>
      </c>
      <c r="AE55" s="20">
        <f t="shared" si="19"/>
        <v>17120.325178205654</v>
      </c>
      <c r="AF55" s="20">
        <f t="shared" si="19"/>
        <v>17550.963257322779</v>
      </c>
      <c r="AG55" s="20">
        <f t="shared" si="19"/>
        <v>17859.265897712663</v>
      </c>
      <c r="AH55" s="20">
        <f t="shared" si="19"/>
        <v>18195.289435222512</v>
      </c>
      <c r="AI55" s="20">
        <f t="shared" si="19"/>
        <v>18358.93503551391</v>
      </c>
      <c r="AJ55" s="20">
        <f t="shared" si="19"/>
        <v>18385.203332739431</v>
      </c>
      <c r="AK55" s="20">
        <f t="shared" si="19"/>
        <v>18466.92765454435</v>
      </c>
      <c r="AL55" s="20">
        <f t="shared" si="19"/>
        <v>18362.656286502672</v>
      </c>
      <c r="AM55" s="20">
        <f t="shared" si="19"/>
        <v>18613.606957671527</v>
      </c>
      <c r="AN55" s="20">
        <f t="shared" si="19"/>
        <v>18619.020761630054</v>
      </c>
      <c r="AO55" s="20">
        <f t="shared" si="19"/>
        <v>18576.398401201604</v>
      </c>
      <c r="AP55" s="20">
        <f t="shared" si="19"/>
        <v>18717.759775364109</v>
      </c>
      <c r="AQ55" s="20">
        <f t="shared" si="19"/>
        <v>18504.182109189343</v>
      </c>
      <c r="AR55" s="20">
        <f t="shared" si="19"/>
        <v>18454.886651683784</v>
      </c>
    </row>
    <row r="56" spans="1:44">
      <c r="A56" s="19" t="s">
        <v>32</v>
      </c>
      <c r="B56" s="20"/>
      <c r="U56" s="20"/>
      <c r="V56" s="20">
        <f t="shared" ref="V56:AR56" si="20">+V55*V3*$U4</f>
        <v>31.69668818614684</v>
      </c>
      <c r="W56" s="20">
        <f t="shared" si="20"/>
        <v>138.47271378200801</v>
      </c>
      <c r="X56" s="20">
        <f t="shared" si="20"/>
        <v>249.14178284656307</v>
      </c>
      <c r="Y56" s="20">
        <f t="shared" si="20"/>
        <v>303.33781200561242</v>
      </c>
      <c r="Z56" s="20">
        <f t="shared" si="20"/>
        <v>345.49463426587488</v>
      </c>
      <c r="AA56" s="20">
        <f t="shared" si="20"/>
        <v>372.70147662613493</v>
      </c>
      <c r="AB56" s="20">
        <f t="shared" si="20"/>
        <v>329.8458991203164</v>
      </c>
      <c r="AC56" s="20">
        <f t="shared" si="20"/>
        <v>452.84991612034537</v>
      </c>
      <c r="AD56" s="20">
        <f t="shared" si="20"/>
        <v>458.50830143874384</v>
      </c>
      <c r="AE56" s="20">
        <f t="shared" si="20"/>
        <v>465.40712577551585</v>
      </c>
      <c r="AF56" s="20">
        <f t="shared" si="20"/>
        <v>477.11379773210518</v>
      </c>
      <c r="AG56" s="20">
        <f t="shared" si="20"/>
        <v>485.49484448438989</v>
      </c>
      <c r="AH56" s="20">
        <f t="shared" si="20"/>
        <v>494.62946939119149</v>
      </c>
      <c r="AI56" s="20">
        <f t="shared" si="20"/>
        <v>499.07808982828362</v>
      </c>
      <c r="AJ56" s="20">
        <f t="shared" si="20"/>
        <v>499.79217981100834</v>
      </c>
      <c r="AK56" s="20">
        <f t="shared" si="20"/>
        <v>502.01381294713593</v>
      </c>
      <c r="AL56" s="20">
        <f t="shared" si="20"/>
        <v>499.17925009883584</v>
      </c>
      <c r="AM56" s="20">
        <f t="shared" si="20"/>
        <v>506.00121342981356</v>
      </c>
      <c r="AN56" s="20">
        <f t="shared" si="20"/>
        <v>506.14838487157198</v>
      </c>
      <c r="AO56" s="20">
        <f t="shared" si="20"/>
        <v>504.98971819589315</v>
      </c>
      <c r="AP56" s="20">
        <f t="shared" si="20"/>
        <v>508.83255354860017</v>
      </c>
      <c r="AQ56" s="20">
        <f t="shared" si="20"/>
        <v>503.02655589904742</v>
      </c>
      <c r="AR56" s="20">
        <f t="shared" si="20"/>
        <v>501.68648455386892</v>
      </c>
    </row>
    <row r="57" spans="1:44">
      <c r="A57" s="19" t="s">
        <v>33</v>
      </c>
      <c r="B57" s="20"/>
      <c r="U57" s="20"/>
      <c r="V57" s="20">
        <f>V54*'Pi''s Calc'!V3</f>
        <v>0</v>
      </c>
      <c r="W57" s="20">
        <f>W54*'Pi''s Calc'!W3</f>
        <v>133.9995102219433</v>
      </c>
      <c r="X57" s="20">
        <f>X54*'Pi''s Calc'!X3</f>
        <v>635.45466997962774</v>
      </c>
      <c r="Y57" s="20">
        <f>Y54*'Pi''s Calc'!Y3</f>
        <v>1287.4751111033172</v>
      </c>
      <c r="Z57" s="20">
        <f>Z54*'Pi''s Calc'!Z3</f>
        <v>1980.6415771381714</v>
      </c>
      <c r="AA57" s="20">
        <f>AA54*'Pi''s Calc'!AA3</f>
        <v>2798.1004491433487</v>
      </c>
      <c r="AB57" s="20">
        <f>AB54*'Pi''s Calc'!AB3</f>
        <v>3715.8966011596754</v>
      </c>
      <c r="AC57" s="20">
        <f>AC54*'Pi''s Calc'!AC3</f>
        <v>4595.551206074113</v>
      </c>
      <c r="AD57" s="20">
        <f>AD54*'Pi''s Calc'!AD3</f>
        <v>5775.7273501354966</v>
      </c>
      <c r="AE57" s="20">
        <f>AE54*'Pi''s Calc'!AE3</f>
        <v>7031.6928533177534</v>
      </c>
      <c r="AF57" s="20">
        <f>AF54*'Pi''s Calc'!AF3</f>
        <v>8370.1166235668607</v>
      </c>
      <c r="AG57" s="20">
        <f>AG54*'Pi''s Calc'!AG3</f>
        <v>9805.3589239027006</v>
      </c>
      <c r="AH57" s="20">
        <f>AH54*'Pi''s Calc'!AH3</f>
        <v>11335.851615795533</v>
      </c>
      <c r="AI57" s="20">
        <f>AI54*'Pi''s Calc'!AI3</f>
        <v>12968.321491413106</v>
      </c>
      <c r="AJ57" s="20">
        <f>AJ54*'Pi''s Calc'!AJ3</f>
        <v>14698.686161917141</v>
      </c>
      <c r="AK57" s="20">
        <f>AK54*'Pi''s Calc'!AK3</f>
        <v>16524.595961921532</v>
      </c>
      <c r="AL57" s="20">
        <f>AL54*'Pi''s Calc'!AL3</f>
        <v>18454.342630478695</v>
      </c>
      <c r="AM57" s="20">
        <f>AM54*'Pi''s Calc'!AM3</f>
        <v>20483.184377921258</v>
      </c>
      <c r="AN57" s="20">
        <f>AN54*'Pi''s Calc'!AN3</f>
        <v>22636.346968125796</v>
      </c>
      <c r="AO57" s="20">
        <f>AO54*'Pi''s Calc'!AO3</f>
        <v>24906.877110588157</v>
      </c>
      <c r="AP57" s="20">
        <f>AP54*'Pi''s Calc'!AP3</f>
        <v>27298.473283609481</v>
      </c>
      <c r="AQ57" s="20">
        <f>AQ54*'Pi''s Calc'!AQ3</f>
        <v>29827.992651711887</v>
      </c>
      <c r="AR57" s="20">
        <f>AR54*'Pi''s Calc'!AR3</f>
        <v>32483.111692377544</v>
      </c>
    </row>
    <row r="58" spans="1:44">
      <c r="A58" s="19" t="s">
        <v>34</v>
      </c>
      <c r="B58" s="20"/>
      <c r="U58" s="60"/>
      <c r="V58" s="60">
        <f t="shared" ref="V58:AR58" si="21">SUM(V54:V57)</f>
        <v>4077.4001599062744</v>
      </c>
      <c r="W58" s="60">
        <f t="shared" si="21"/>
        <v>12776.89818993376</v>
      </c>
      <c r="X58" s="60">
        <f t="shared" si="21"/>
        <v>23680.33420653615</v>
      </c>
      <c r="Y58" s="60">
        <f t="shared" si="21"/>
        <v>36429.639754200223</v>
      </c>
      <c r="Z58" s="60">
        <f t="shared" si="21"/>
        <v>51465.036650216214</v>
      </c>
      <c r="AA58" s="60">
        <f t="shared" si="21"/>
        <v>68345.921900568355</v>
      </c>
      <c r="AB58" s="60">
        <f t="shared" si="21"/>
        <v>84525.2754671328</v>
      </c>
      <c r="AC58" s="60">
        <f t="shared" si="21"/>
        <v>106232.07606695584</v>
      </c>
      <c r="AD58" s="60">
        <f t="shared" si="21"/>
        <v>129332.85883995148</v>
      </c>
      <c r="AE58" s="60">
        <f t="shared" si="21"/>
        <v>153950.2839972504</v>
      </c>
      <c r="AF58" s="60">
        <f t="shared" si="21"/>
        <v>180348.47767587216</v>
      </c>
      <c r="AG58" s="60">
        <f t="shared" si="21"/>
        <v>208498.59734197191</v>
      </c>
      <c r="AH58" s="60">
        <f t="shared" si="21"/>
        <v>238524.36786238116</v>
      </c>
      <c r="AI58" s="60">
        <f t="shared" si="21"/>
        <v>270350.70247913647</v>
      </c>
      <c r="AJ58" s="60">
        <f t="shared" si="21"/>
        <v>303934.38415360404</v>
      </c>
      <c r="AK58" s="60">
        <f t="shared" si="21"/>
        <v>339427.9215830171</v>
      </c>
      <c r="AL58" s="60">
        <f t="shared" si="21"/>
        <v>376744.09975009726</v>
      </c>
      <c r="AM58" s="60">
        <f t="shared" si="21"/>
        <v>416346.89229911985</v>
      </c>
      <c r="AN58" s="60">
        <f t="shared" si="21"/>
        <v>458108.40841374721</v>
      </c>
      <c r="AO58" s="60">
        <f t="shared" si="21"/>
        <v>502096.67364373279</v>
      </c>
      <c r="AP58" s="60">
        <f t="shared" si="21"/>
        <v>548621.73925625498</v>
      </c>
      <c r="AQ58" s="60">
        <f t="shared" si="21"/>
        <v>597456.9405730553</v>
      </c>
      <c r="AR58" s="60">
        <f t="shared" si="21"/>
        <v>648896.62540167058</v>
      </c>
    </row>
    <row r="60" spans="1:44">
      <c r="A60" s="11" t="s">
        <v>353</v>
      </c>
      <c r="V60" s="33">
        <f>+U63</f>
        <v>252538.04625045252</v>
      </c>
      <c r="W60" s="33">
        <f>+V63</f>
        <v>252417.74268108601</v>
      </c>
      <c r="X60" s="33">
        <f t="shared" ref="X60:AR60" si="22">+W63</f>
        <v>252147.69041725242</v>
      </c>
      <c r="Y60" s="33">
        <f t="shared" si="22"/>
        <v>254420.18838089419</v>
      </c>
      <c r="Z60" s="33">
        <f t="shared" si="22"/>
        <v>256790.91864409784</v>
      </c>
      <c r="AA60" s="33">
        <f t="shared" si="22"/>
        <v>257697.61816061585</v>
      </c>
      <c r="AB60" s="33">
        <f t="shared" si="22"/>
        <v>257625.58450331711</v>
      </c>
      <c r="AC60" s="33">
        <f t="shared" si="22"/>
        <v>259168.96228688789</v>
      </c>
      <c r="AD60" s="33">
        <f t="shared" si="22"/>
        <v>256148.45948499846</v>
      </c>
      <c r="AE60" s="33">
        <f t="shared" si="22"/>
        <v>252749.92906208389</v>
      </c>
      <c r="AF60" s="33">
        <f t="shared" si="22"/>
        <v>248905.94719804134</v>
      </c>
      <c r="AG60" s="33">
        <f t="shared" si="22"/>
        <v>244410.62729193846</v>
      </c>
      <c r="AH60" s="33">
        <f t="shared" si="22"/>
        <v>239354.21783663606</v>
      </c>
      <c r="AI60" s="33">
        <f t="shared" si="22"/>
        <v>233677.73850236478</v>
      </c>
      <c r="AJ60" s="33">
        <f t="shared" si="22"/>
        <v>227524.54067720796</v>
      </c>
      <c r="AK60" s="33">
        <f t="shared" si="22"/>
        <v>221009.81750677107</v>
      </c>
      <c r="AL60" s="33">
        <f t="shared" si="22"/>
        <v>214056.94966677573</v>
      </c>
      <c r="AM60" s="33">
        <f t="shared" si="22"/>
        <v>206833.16757363454</v>
      </c>
      <c r="AN60" s="33">
        <f t="shared" si="22"/>
        <v>198958.86333613287</v>
      </c>
      <c r="AO60" s="33">
        <f t="shared" si="22"/>
        <v>190650.88040180787</v>
      </c>
      <c r="AP60" s="33">
        <f t="shared" si="22"/>
        <v>181934.98211403243</v>
      </c>
      <c r="AQ60" s="33">
        <f t="shared" si="22"/>
        <v>172600.0053032061</v>
      </c>
      <c r="AR60" s="33">
        <f t="shared" si="22"/>
        <v>162976.87918805244</v>
      </c>
    </row>
    <row r="61" spans="1:44">
      <c r="A61" s="11" t="s">
        <v>354</v>
      </c>
      <c r="V61" s="33">
        <f>+V60*V3</f>
        <v>3957.0965905397743</v>
      </c>
      <c r="W61" s="33">
        <f t="shared" ref="W61:AR61" si="23">+W60*W3</f>
        <v>8295.4462559719759</v>
      </c>
      <c r="X61" s="33">
        <f t="shared" si="23"/>
        <v>12540.479310264518</v>
      </c>
      <c r="Y61" s="33">
        <f t="shared" si="23"/>
        <v>13832.560699764403</v>
      </c>
      <c r="Z61" s="33">
        <f t="shared" si="23"/>
        <v>13961.454835395802</v>
      </c>
      <c r="AA61" s="33">
        <f t="shared" si="23"/>
        <v>14010.751143910069</v>
      </c>
      <c r="AB61" s="33">
        <f t="shared" si="23"/>
        <v>14006.834748975563</v>
      </c>
      <c r="AC61" s="33">
        <f t="shared" si="23"/>
        <v>14090.746591859466</v>
      </c>
      <c r="AD61" s="33">
        <f t="shared" si="23"/>
        <v>13926.524999945568</v>
      </c>
      <c r="AE61" s="33">
        <f t="shared" si="23"/>
        <v>13741.750439938633</v>
      </c>
      <c r="AF61" s="33">
        <f t="shared" si="23"/>
        <v>13532.757148952</v>
      </c>
      <c r="AG61" s="33">
        <f t="shared" si="23"/>
        <v>13288.351286894644</v>
      </c>
      <c r="AH61" s="33">
        <f t="shared" si="23"/>
        <v>13013.439570342414</v>
      </c>
      <c r="AI61" s="33">
        <f t="shared" si="23"/>
        <v>12704.815300185392</v>
      </c>
      <c r="AJ61" s="33">
        <f t="shared" si="23"/>
        <v>12370.272342113549</v>
      </c>
      <c r="AK61" s="33">
        <f t="shared" si="23"/>
        <v>12016.073627496147</v>
      </c>
      <c r="AL61" s="33">
        <f t="shared" si="23"/>
        <v>11638.05344346032</v>
      </c>
      <c r="AM61" s="33">
        <f t="shared" si="23"/>
        <v>11245.303933599684</v>
      </c>
      <c r="AN61" s="33">
        <f t="shared" si="23"/>
        <v>10817.186212176626</v>
      </c>
      <c r="AO61" s="33">
        <f t="shared" si="23"/>
        <v>10365.489831622073</v>
      </c>
      <c r="AP61" s="33">
        <f t="shared" si="23"/>
        <v>9891.6155180863461</v>
      </c>
      <c r="AQ61" s="33">
        <f t="shared" si="23"/>
        <v>9384.082549934732</v>
      </c>
      <c r="AR61" s="33">
        <f t="shared" si="23"/>
        <v>8860.8832041734295</v>
      </c>
    </row>
    <row r="62" spans="1:44">
      <c r="A62" s="11" t="s">
        <v>35</v>
      </c>
      <c r="V62" s="33">
        <f>-V55-V56</f>
        <v>-4077.4001599062744</v>
      </c>
      <c r="W62" s="33">
        <f>-W55-W56</f>
        <v>-8565.4985198055419</v>
      </c>
      <c r="X62" s="33">
        <f t="shared" ref="X62:AR62" si="24">-X55-X56</f>
        <v>-10267.981346622764</v>
      </c>
      <c r="Y62" s="33">
        <f t="shared" si="24"/>
        <v>-11461.830436560751</v>
      </c>
      <c r="Z62" s="33">
        <f t="shared" si="24"/>
        <v>-13054.755318877822</v>
      </c>
      <c r="AA62" s="33">
        <f t="shared" si="24"/>
        <v>-14082.784801208792</v>
      </c>
      <c r="AB62" s="33">
        <f t="shared" si="24"/>
        <v>-12463.456965404761</v>
      </c>
      <c r="AC62" s="33">
        <f t="shared" si="24"/>
        <v>-17111.249393748913</v>
      </c>
      <c r="AD62" s="33">
        <f t="shared" si="24"/>
        <v>-17325.055422860143</v>
      </c>
      <c r="AE62" s="33">
        <f t="shared" si="24"/>
        <v>-17585.732303981171</v>
      </c>
      <c r="AF62" s="33">
        <f t="shared" si="24"/>
        <v>-18028.077055054884</v>
      </c>
      <c r="AG62" s="33">
        <f t="shared" si="24"/>
        <v>-18344.760742197053</v>
      </c>
      <c r="AH62" s="33">
        <f t="shared" si="24"/>
        <v>-18689.918904613703</v>
      </c>
      <c r="AI62" s="33">
        <f t="shared" si="24"/>
        <v>-18858.013125342193</v>
      </c>
      <c r="AJ62" s="33">
        <f t="shared" si="24"/>
        <v>-18884.995512550438</v>
      </c>
      <c r="AK62" s="33">
        <f t="shared" si="24"/>
        <v>-18968.941467491484</v>
      </c>
      <c r="AL62" s="33">
        <f t="shared" si="24"/>
        <v>-18861.835536601509</v>
      </c>
      <c r="AM62" s="33">
        <f t="shared" si="24"/>
        <v>-19119.608171101339</v>
      </c>
      <c r="AN62" s="33">
        <f t="shared" si="24"/>
        <v>-19125.169146501627</v>
      </c>
      <c r="AO62" s="33">
        <f t="shared" si="24"/>
        <v>-19081.388119397496</v>
      </c>
      <c r="AP62" s="33">
        <f t="shared" si="24"/>
        <v>-19226.592328912709</v>
      </c>
      <c r="AQ62" s="33">
        <f t="shared" si="24"/>
        <v>-19007.20866508839</v>
      </c>
      <c r="AR62" s="33">
        <f t="shared" si="24"/>
        <v>-18956.573136237654</v>
      </c>
    </row>
    <row r="63" spans="1:44">
      <c r="A63" s="11" t="s">
        <v>355</v>
      </c>
      <c r="U63" s="49">
        <f>+U52</f>
        <v>252538.04625045252</v>
      </c>
      <c r="V63" s="49">
        <f t="shared" ref="V63:AR63" si="25">SUM(V60:V62)</f>
        <v>252417.74268108601</v>
      </c>
      <c r="W63" s="49">
        <f t="shared" si="25"/>
        <v>252147.69041725242</v>
      </c>
      <c r="X63" s="49">
        <f t="shared" si="25"/>
        <v>254420.18838089419</v>
      </c>
      <c r="Y63" s="49">
        <f t="shared" si="25"/>
        <v>256790.91864409784</v>
      </c>
      <c r="Z63" s="49">
        <f t="shared" si="25"/>
        <v>257697.61816061585</v>
      </c>
      <c r="AA63" s="49">
        <f t="shared" si="25"/>
        <v>257625.58450331711</v>
      </c>
      <c r="AB63" s="49">
        <f t="shared" si="25"/>
        <v>259168.96228688789</v>
      </c>
      <c r="AC63" s="49">
        <f t="shared" si="25"/>
        <v>256148.45948499846</v>
      </c>
      <c r="AD63" s="49">
        <f t="shared" si="25"/>
        <v>252749.92906208389</v>
      </c>
      <c r="AE63" s="49">
        <f t="shared" si="25"/>
        <v>248905.94719804134</v>
      </c>
      <c r="AF63" s="49">
        <f t="shared" si="25"/>
        <v>244410.62729193846</v>
      </c>
      <c r="AG63" s="49">
        <f t="shared" si="25"/>
        <v>239354.21783663606</v>
      </c>
      <c r="AH63" s="49">
        <f t="shared" si="25"/>
        <v>233677.73850236478</v>
      </c>
      <c r="AI63" s="49">
        <f t="shared" si="25"/>
        <v>227524.54067720796</v>
      </c>
      <c r="AJ63" s="49">
        <f t="shared" si="25"/>
        <v>221009.81750677107</v>
      </c>
      <c r="AK63" s="49">
        <f t="shared" si="25"/>
        <v>214056.94966677573</v>
      </c>
      <c r="AL63" s="49">
        <f t="shared" si="25"/>
        <v>206833.16757363454</v>
      </c>
      <c r="AM63" s="49">
        <f t="shared" si="25"/>
        <v>198958.86333613287</v>
      </c>
      <c r="AN63" s="49">
        <f t="shared" si="25"/>
        <v>190650.88040180787</v>
      </c>
      <c r="AO63" s="49">
        <f t="shared" si="25"/>
        <v>181934.98211403243</v>
      </c>
      <c r="AP63" s="49">
        <f t="shared" si="25"/>
        <v>172600.0053032061</v>
      </c>
      <c r="AQ63" s="49">
        <f t="shared" si="25"/>
        <v>162976.87918805244</v>
      </c>
      <c r="AR63" s="49">
        <f t="shared" si="25"/>
        <v>152881.18925598823</v>
      </c>
    </row>
    <row r="65" spans="1:44">
      <c r="A65" s="11" t="s">
        <v>251</v>
      </c>
      <c r="V65" s="33">
        <f>+V7+V8</f>
        <v>21271.167318732845</v>
      </c>
      <c r="W65" s="33">
        <f t="shared" ref="W65:AA65" si="26">+W7+W8</f>
        <v>18760.845425326079</v>
      </c>
      <c r="X65" s="33">
        <f t="shared" si="26"/>
        <v>19122.014923505907</v>
      </c>
      <c r="Y65" s="33">
        <f t="shared" si="26"/>
        <v>19783.147603245496</v>
      </c>
      <c r="Z65" s="33">
        <f t="shared" si="26"/>
        <v>19401.313513621913</v>
      </c>
      <c r="AA65" s="33">
        <f t="shared" si="26"/>
        <v>19515.012992584154</v>
      </c>
    </row>
    <row r="66" spans="1:44">
      <c r="A66" s="11" t="s">
        <v>0</v>
      </c>
      <c r="V66" s="33">
        <f>+V52</f>
        <v>252417.74268108601</v>
      </c>
      <c r="W66" s="33">
        <f t="shared" ref="W66:AA66" si="27">+W52</f>
        <v>252147.69041725239</v>
      </c>
      <c r="X66" s="33">
        <f t="shared" si="27"/>
        <v>254420.18838089416</v>
      </c>
      <c r="Y66" s="33">
        <f t="shared" si="27"/>
        <v>256790.91864409781</v>
      </c>
      <c r="Z66" s="33">
        <f t="shared" si="27"/>
        <v>257697.61816061579</v>
      </c>
      <c r="AA66" s="33">
        <f t="shared" si="27"/>
        <v>257625.58450331708</v>
      </c>
    </row>
    <row r="67" spans="1:44">
      <c r="A67" s="11" t="s">
        <v>252</v>
      </c>
      <c r="V67" s="213">
        <f>+V65/V66</f>
        <v>8.4269699478327215E-2</v>
      </c>
      <c r="W67" s="213">
        <f t="shared" ref="W67:AA67" si="28">+W65/W66</f>
        <v>7.4404193011963549E-2</v>
      </c>
      <c r="X67" s="213">
        <f t="shared" si="28"/>
        <v>7.5159188605261981E-2</v>
      </c>
      <c r="Y67" s="213">
        <f t="shared" si="28"/>
        <v>7.7039903543723698E-2</v>
      </c>
      <c r="Z67" s="213">
        <f t="shared" si="28"/>
        <v>7.5287127805463885E-2</v>
      </c>
      <c r="AA67" s="213">
        <f t="shared" si="28"/>
        <v>7.5749514669545118E-2</v>
      </c>
    </row>
    <row r="69" spans="1:44">
      <c r="A69" s="62" t="s">
        <v>288</v>
      </c>
    </row>
    <row r="70" spans="1:44">
      <c r="A70" s="11" t="s">
        <v>341</v>
      </c>
      <c r="U70" s="226" t="s">
        <v>347</v>
      </c>
      <c r="V70" s="33">
        <f>+V60*V3-V56</f>
        <v>3925.3999023536276</v>
      </c>
      <c r="W70" s="33">
        <f>+W60*W3-W56</f>
        <v>8156.9735421899677</v>
      </c>
      <c r="X70" s="33">
        <f t="shared" ref="X70:AR70" si="29">+X60*X3-X56</f>
        <v>12291.337527417954</v>
      </c>
      <c r="Y70" s="33">
        <f t="shared" si="29"/>
        <v>13529.22288775879</v>
      </c>
      <c r="Z70" s="33">
        <f t="shared" si="29"/>
        <v>13615.960201129927</v>
      </c>
      <c r="AA70" s="33">
        <f t="shared" si="29"/>
        <v>13638.049667283934</v>
      </c>
      <c r="AB70" s="33">
        <f t="shared" si="29"/>
        <v>13676.988849855246</v>
      </c>
      <c r="AC70" s="33">
        <f t="shared" si="29"/>
        <v>13637.896675739121</v>
      </c>
      <c r="AD70" s="33">
        <f t="shared" si="29"/>
        <v>13468.016698506824</v>
      </c>
      <c r="AE70" s="33">
        <f t="shared" si="29"/>
        <v>13276.343314163118</v>
      </c>
      <c r="AF70" s="33">
        <f t="shared" si="29"/>
        <v>13055.643351219895</v>
      </c>
      <c r="AG70" s="33">
        <f t="shared" si="29"/>
        <v>12802.856442410253</v>
      </c>
      <c r="AH70" s="33">
        <f t="shared" si="29"/>
        <v>12518.810100951223</v>
      </c>
      <c r="AI70" s="33">
        <f t="shared" si="29"/>
        <v>12205.737210357109</v>
      </c>
      <c r="AJ70" s="33">
        <f t="shared" si="29"/>
        <v>11870.48016230254</v>
      </c>
      <c r="AK70" s="33">
        <f t="shared" si="29"/>
        <v>11514.059814549011</v>
      </c>
      <c r="AL70" s="33">
        <f t="shared" si="29"/>
        <v>11138.874193361484</v>
      </c>
      <c r="AM70" s="33">
        <f t="shared" si="29"/>
        <v>10739.30272016987</v>
      </c>
      <c r="AN70" s="33">
        <f t="shared" si="29"/>
        <v>10311.037827305054</v>
      </c>
      <c r="AO70" s="33">
        <f t="shared" si="29"/>
        <v>9860.5001134261802</v>
      </c>
      <c r="AP70" s="33">
        <f t="shared" si="29"/>
        <v>9382.782964537746</v>
      </c>
      <c r="AQ70" s="33">
        <f t="shared" si="29"/>
        <v>8881.0559940356852</v>
      </c>
      <c r="AR70" s="33">
        <f t="shared" si="29"/>
        <v>8359.1967196195601</v>
      </c>
    </row>
    <row r="71" spans="1:44">
      <c r="A71" s="11" t="s">
        <v>342</v>
      </c>
      <c r="U71" s="226" t="s">
        <v>348</v>
      </c>
      <c r="V71" s="33">
        <f>+'DAV Pi'!V53</f>
        <v>8381.9358956148899</v>
      </c>
      <c r="W71" s="33">
        <f>+'DAV Pi'!W53</f>
        <v>8630.6500665332424</v>
      </c>
      <c r="X71" s="33">
        <f>+'DAV Pi'!X53</f>
        <v>8872.6223177376141</v>
      </c>
      <c r="Y71" s="33">
        <f>+'DAV Pi'!Y53</f>
        <v>9084.1764543880308</v>
      </c>
      <c r="Z71" s="33">
        <f>+'DAV Pi'!Z53</f>
        <v>9279.0524247500325</v>
      </c>
      <c r="AA71" s="33">
        <f>+'DAV Pi'!AA53</f>
        <v>9423.3734813579522</v>
      </c>
      <c r="AB71" s="33">
        <f>+'DAV Pi'!AB53</f>
        <v>9685.6116011146642</v>
      </c>
      <c r="AC71" s="33">
        <f>+'DAV Pi'!AC53</f>
        <v>9849.3534894532841</v>
      </c>
      <c r="AD71" s="33">
        <f>+'DAV Pi'!AD53</f>
        <v>10041.834082396304</v>
      </c>
      <c r="AE71" s="33">
        <f>+'DAV Pi'!AE53</f>
        <v>10228.487835393007</v>
      </c>
      <c r="AF71" s="33">
        <f>+'DAV Pi'!AF53</f>
        <v>10403.247044214973</v>
      </c>
      <c r="AG71" s="33">
        <f>+'DAV Pi'!AG53</f>
        <v>10540.507918311661</v>
      </c>
      <c r="AH71" s="33">
        <f>+'DAV Pi'!AH53</f>
        <v>10671.571317024409</v>
      </c>
      <c r="AI71" s="33">
        <f>+'DAV Pi'!AI53</f>
        <v>10804.93567621842</v>
      </c>
      <c r="AJ71" s="33">
        <f>+'DAV Pi'!AJ53</f>
        <v>10945.730264517704</v>
      </c>
      <c r="AK71" s="33">
        <f>+'DAV Pi'!AK53</f>
        <v>11100.14465394432</v>
      </c>
      <c r="AL71" s="33">
        <f>+'DAV Pi'!AL53</f>
        <v>11255.871921631579</v>
      </c>
      <c r="AM71" s="33">
        <f>+'DAV Pi'!AM53</f>
        <v>11395.000515926295</v>
      </c>
      <c r="AN71" s="33">
        <f>+'DAV Pi'!AN53</f>
        <v>11524.317652704853</v>
      </c>
      <c r="AO71" s="33">
        <f>+'DAV Pi'!AO53</f>
        <v>11639.86313900885</v>
      </c>
      <c r="AP71" s="33">
        <f>+'DAV Pi'!AP53</f>
        <v>11727.524218339182</v>
      </c>
      <c r="AQ71" s="33">
        <f>+'DAV Pi'!AQ53</f>
        <v>11848.248596883128</v>
      </c>
      <c r="AR71" s="33">
        <f>+'DAV Pi'!AR53</f>
        <v>11960.024461127457</v>
      </c>
    </row>
    <row r="72" spans="1:44">
      <c r="A72" s="11" t="s">
        <v>343</v>
      </c>
      <c r="U72" s="226"/>
      <c r="V72" s="33">
        <f>+V8</f>
        <v>8535.2909494267114</v>
      </c>
      <c r="W72" s="33">
        <f>+W8</f>
        <v>8953.8721069889125</v>
      </c>
      <c r="X72" s="33">
        <f t="shared" ref="X72:AR72" si="30">+X8</f>
        <v>9454.9712942626502</v>
      </c>
      <c r="Y72" s="33">
        <f t="shared" si="30"/>
        <v>9850.8714166470982</v>
      </c>
      <c r="Z72" s="33">
        <f t="shared" si="30"/>
        <v>9909.9026139898106</v>
      </c>
      <c r="AA72" s="33">
        <f t="shared" si="30"/>
        <v>10029.005530072303</v>
      </c>
      <c r="AB72" s="33">
        <f t="shared" si="30"/>
        <v>10180.589649722551</v>
      </c>
      <c r="AC72" s="33">
        <f t="shared" si="30"/>
        <v>10358.585097462117</v>
      </c>
      <c r="AD72" s="33">
        <f t="shared" si="30"/>
        <v>10529.438396922804</v>
      </c>
      <c r="AE72" s="33">
        <f t="shared" si="30"/>
        <v>10694.32620025283</v>
      </c>
      <c r="AF72" s="33">
        <f t="shared" si="30"/>
        <v>10852.676860603196</v>
      </c>
      <c r="AG72" s="33">
        <f t="shared" si="30"/>
        <v>11006.20068774362</v>
      </c>
      <c r="AH72" s="33">
        <f t="shared" si="30"/>
        <v>11154.224700546425</v>
      </c>
      <c r="AI72" s="33">
        <f t="shared" si="30"/>
        <v>11297.782259556689</v>
      </c>
      <c r="AJ72" s="33">
        <f t="shared" si="30"/>
        <v>11436.679392085045</v>
      </c>
      <c r="AK72" s="33">
        <f t="shared" si="30"/>
        <v>11571.331872798937</v>
      </c>
      <c r="AL72" s="33">
        <f t="shared" si="30"/>
        <v>11702.129673595129</v>
      </c>
      <c r="AM72" s="33">
        <f t="shared" si="30"/>
        <v>11829.395459716881</v>
      </c>
      <c r="AN72" s="33">
        <f t="shared" si="30"/>
        <v>11952.867178780527</v>
      </c>
      <c r="AO72" s="33">
        <f t="shared" si="30"/>
        <v>12073.481117321051</v>
      </c>
      <c r="AP72" s="33">
        <f t="shared" si="30"/>
        <v>12190.882246137173</v>
      </c>
      <c r="AQ72" s="33">
        <f t="shared" si="30"/>
        <v>12305.324710523269</v>
      </c>
      <c r="AR72" s="33">
        <f t="shared" si="30"/>
        <v>12419.335586329657</v>
      </c>
    </row>
    <row r="73" spans="1:44">
      <c r="A73" s="11" t="s">
        <v>344</v>
      </c>
      <c r="U73" s="226" t="s">
        <v>349</v>
      </c>
    </row>
    <row r="74" spans="1:44">
      <c r="A74" s="11" t="s">
        <v>59</v>
      </c>
      <c r="U74" s="226"/>
      <c r="V74" s="33">
        <f>-V50+U50</f>
        <v>4474.2440430577481</v>
      </c>
      <c r="W74" s="33">
        <f>-W50+V50</f>
        <v>1446.375515637541</v>
      </c>
      <c r="X74" s="33">
        <f t="shared" ref="X74:AR74" si="31">-X50+W50</f>
        <v>-1478.0766521361074</v>
      </c>
      <c r="Y74" s="33">
        <f t="shared" si="31"/>
        <v>-1522.6305309932795</v>
      </c>
      <c r="Z74" s="33">
        <f t="shared" si="31"/>
        <v>-694.34104163589654</v>
      </c>
      <c r="AA74" s="33">
        <f t="shared" si="31"/>
        <v>134.66763845260721</v>
      </c>
      <c r="AB74" s="33">
        <f t="shared" si="31"/>
        <v>294.87552614617744</v>
      </c>
      <c r="AC74" s="33">
        <f t="shared" si="31"/>
        <v>485.45691741543123</v>
      </c>
      <c r="AD74" s="33">
        <f t="shared" si="31"/>
        <v>735.18715426593553</v>
      </c>
      <c r="AE74" s="33">
        <f t="shared" si="31"/>
        <v>970.57653008875786</v>
      </c>
      <c r="AF74" s="33">
        <f t="shared" si="31"/>
        <v>1207.5951741139579</v>
      </c>
      <c r="AG74" s="33">
        <f t="shared" si="31"/>
        <v>1475.3748877746984</v>
      </c>
      <c r="AH74" s="33">
        <f t="shared" si="31"/>
        <v>1744.4430987387314</v>
      </c>
      <c r="AI74" s="33">
        <f t="shared" si="31"/>
        <v>2004.8649509913812</v>
      </c>
      <c r="AJ74" s="33">
        <f t="shared" si="31"/>
        <v>2246.5700675630651</v>
      </c>
      <c r="AK74" s="33">
        <f t="shared" si="31"/>
        <v>2463.4980397357431</v>
      </c>
      <c r="AL74" s="33">
        <f t="shared" si="31"/>
        <v>2666.7636611609487</v>
      </c>
      <c r="AM74" s="33">
        <f t="shared" si="31"/>
        <v>2881.1276378486073</v>
      </c>
      <c r="AN74" s="33">
        <f t="shared" si="31"/>
        <v>3105.7182387444773</v>
      </c>
      <c r="AO74" s="33">
        <f t="shared" si="31"/>
        <v>3338.5169361113512</v>
      </c>
      <c r="AP74" s="33">
        <f t="shared" si="31"/>
        <v>3600.2367658637522</v>
      </c>
      <c r="AQ74" s="33">
        <f t="shared" si="31"/>
        <v>3827.6513205652009</v>
      </c>
      <c r="AR74" s="33">
        <f t="shared" si="31"/>
        <v>4057.4822798026726</v>
      </c>
    </row>
    <row r="75" spans="1:44">
      <c r="A75" s="11" t="s">
        <v>345</v>
      </c>
      <c r="U75" s="226"/>
    </row>
    <row r="76" spans="1:44">
      <c r="A76" s="62" t="s">
        <v>346</v>
      </c>
      <c r="U76" s="227"/>
      <c r="V76" s="49">
        <f>SUM(V70:V75)</f>
        <v>25316.870790452977</v>
      </c>
      <c r="W76" s="49">
        <f>SUM(W70:W75)</f>
        <v>27187.871231349665</v>
      </c>
      <c r="X76" s="49">
        <f t="shared" ref="X76:AR76" si="32">SUM(X70:X75)</f>
        <v>29140.854487282111</v>
      </c>
      <c r="Y76" s="49">
        <f t="shared" si="32"/>
        <v>30941.640227800635</v>
      </c>
      <c r="Z76" s="49">
        <f t="shared" si="32"/>
        <v>32110.574198233873</v>
      </c>
      <c r="AA76" s="49">
        <f t="shared" si="32"/>
        <v>33225.096317166797</v>
      </c>
      <c r="AB76" s="49">
        <f t="shared" si="32"/>
        <v>33838.065626838637</v>
      </c>
      <c r="AC76" s="49">
        <f t="shared" si="32"/>
        <v>34331.292180069955</v>
      </c>
      <c r="AD76" s="49">
        <f t="shared" si="32"/>
        <v>34774.476332091872</v>
      </c>
      <c r="AE76" s="49">
        <f t="shared" si="32"/>
        <v>35169.733879897714</v>
      </c>
      <c r="AF76" s="49">
        <f t="shared" si="32"/>
        <v>35519.162430152021</v>
      </c>
      <c r="AG76" s="49">
        <f t="shared" si="32"/>
        <v>35824.939936240233</v>
      </c>
      <c r="AH76" s="49">
        <f t="shared" si="32"/>
        <v>36089.049217260785</v>
      </c>
      <c r="AI76" s="49">
        <f t="shared" si="32"/>
        <v>36313.3200971236</v>
      </c>
      <c r="AJ76" s="49">
        <f t="shared" si="32"/>
        <v>36499.459886468358</v>
      </c>
      <c r="AK76" s="49">
        <f t="shared" si="32"/>
        <v>36649.03438102801</v>
      </c>
      <c r="AL76" s="49">
        <f t="shared" si="32"/>
        <v>36763.639449749142</v>
      </c>
      <c r="AM76" s="49">
        <f t="shared" si="32"/>
        <v>36844.826333661651</v>
      </c>
      <c r="AN76" s="49">
        <f t="shared" si="32"/>
        <v>36893.940897534914</v>
      </c>
      <c r="AO76" s="49">
        <f t="shared" si="32"/>
        <v>36912.361305867438</v>
      </c>
      <c r="AP76" s="49">
        <f t="shared" si="32"/>
        <v>36901.426194877851</v>
      </c>
      <c r="AQ76" s="49">
        <f t="shared" si="32"/>
        <v>36862.280622007282</v>
      </c>
      <c r="AR76" s="49">
        <f t="shared" si="32"/>
        <v>36796.039046879348</v>
      </c>
    </row>
    <row r="77" spans="1:44">
      <c r="U77" s="226" t="s">
        <v>350</v>
      </c>
      <c r="V77" s="33">
        <f>+V76-V26</f>
        <v>0</v>
      </c>
      <c r="W77" s="33">
        <f>+W76-W26</f>
        <v>5.0931703299283981E-11</v>
      </c>
      <c r="X77" s="33">
        <f t="shared" ref="X77:AR77" si="33">+X76-X26</f>
        <v>0</v>
      </c>
      <c r="Y77" s="33">
        <f t="shared" si="33"/>
        <v>0</v>
      </c>
      <c r="Z77" s="33">
        <f t="shared" si="33"/>
        <v>0</v>
      </c>
      <c r="AA77" s="33">
        <f t="shared" si="33"/>
        <v>0</v>
      </c>
      <c r="AB77" s="33">
        <f t="shared" si="33"/>
        <v>0</v>
      </c>
      <c r="AC77" s="33">
        <f t="shared" si="33"/>
        <v>-5.8207660913467407E-11</v>
      </c>
      <c r="AD77" s="33">
        <f t="shared" si="33"/>
        <v>0</v>
      </c>
      <c r="AE77" s="33">
        <f t="shared" si="33"/>
        <v>0</v>
      </c>
      <c r="AF77" s="33">
        <f t="shared" si="33"/>
        <v>0</v>
      </c>
      <c r="AG77" s="33">
        <f t="shared" si="33"/>
        <v>0</v>
      </c>
      <c r="AH77" s="33">
        <f t="shared" si="33"/>
        <v>6.5483618527650833E-11</v>
      </c>
      <c r="AI77" s="33">
        <f t="shared" si="33"/>
        <v>-7.2759576141834259E-11</v>
      </c>
      <c r="AJ77" s="33">
        <f t="shared" si="33"/>
        <v>0</v>
      </c>
      <c r="AK77" s="33">
        <f t="shared" si="33"/>
        <v>6.5483618527650833E-11</v>
      </c>
      <c r="AL77" s="33">
        <f t="shared" si="33"/>
        <v>-6.5483618527650833E-11</v>
      </c>
      <c r="AM77" s="33">
        <f t="shared" si="33"/>
        <v>-1.0186340659856796E-10</v>
      </c>
      <c r="AN77" s="33">
        <f t="shared" si="33"/>
        <v>0</v>
      </c>
      <c r="AO77" s="33">
        <f t="shared" si="33"/>
        <v>-1.964508555829525E-10</v>
      </c>
      <c r="AP77" s="33">
        <f t="shared" si="33"/>
        <v>0</v>
      </c>
      <c r="AQ77" s="33">
        <f t="shared" si="33"/>
        <v>1.3824319466948509E-10</v>
      </c>
      <c r="AR77" s="33">
        <f t="shared" si="33"/>
        <v>-9.4587448984384537E-11</v>
      </c>
    </row>
    <row r="79" spans="1:44">
      <c r="A79" s="224" t="str">
        <f>+Inputs!A35</f>
        <v>Annual Inflation</v>
      </c>
      <c r="B79" s="224">
        <f>+Inputs!B35</f>
        <v>0</v>
      </c>
      <c r="C79" s="224" t="str">
        <f>+Inputs!C35</f>
        <v>CPIH</v>
      </c>
      <c r="D79" s="224">
        <f>+Inputs!D35</f>
        <v>0</v>
      </c>
      <c r="E79" s="224">
        <f>+Inputs!E35</f>
        <v>0</v>
      </c>
      <c r="F79" s="224">
        <f>+Inputs!F35</f>
        <v>0</v>
      </c>
      <c r="G79" s="224">
        <f>+Inputs!G35</f>
        <v>0</v>
      </c>
      <c r="H79" s="224">
        <f>+Inputs!H35</f>
        <v>0</v>
      </c>
      <c r="I79" s="224">
        <f>+Inputs!I35</f>
        <v>0</v>
      </c>
      <c r="J79" s="224">
        <f>+Inputs!J35</f>
        <v>0</v>
      </c>
      <c r="K79" s="224">
        <f>+Inputs!K35</f>
        <v>0</v>
      </c>
      <c r="L79" s="224">
        <f>+Inputs!L35</f>
        <v>0</v>
      </c>
      <c r="M79" s="224">
        <f>+Inputs!M35</f>
        <v>0</v>
      </c>
      <c r="N79" s="224">
        <f>+Inputs!N35</f>
        <v>0</v>
      </c>
      <c r="O79" s="224">
        <f>+Inputs!O35</f>
        <v>0</v>
      </c>
      <c r="P79" s="224">
        <f>+Inputs!P35</f>
        <v>0</v>
      </c>
      <c r="Q79" s="224">
        <f>+Inputs!Q35</f>
        <v>0</v>
      </c>
      <c r="R79" s="224">
        <f>+Inputs!R35</f>
        <v>0</v>
      </c>
      <c r="S79" s="224">
        <f>+Inputs!S35</f>
        <v>0</v>
      </c>
      <c r="T79" s="224">
        <f>+Inputs!T35</f>
        <v>2.4793388429751984E-2</v>
      </c>
      <c r="U79" s="224">
        <f>+Inputs!U35</f>
        <v>0.08</v>
      </c>
      <c r="V79" s="224">
        <f>+Inputs!V35</f>
        <v>5.5500000000000001E-2</v>
      </c>
      <c r="W79" s="224">
        <f>+Inputs!W35</f>
        <v>2.2799999999999997E-2</v>
      </c>
      <c r="X79" s="224">
        <f>+Inputs!X35</f>
        <v>1.09E-2</v>
      </c>
      <c r="Y79" s="224">
        <f>+Inputs!Y35</f>
        <v>2.0899999999999998E-2</v>
      </c>
      <c r="Z79" s="224">
        <f>+Inputs!Z35</f>
        <v>2.0899999999999998E-2</v>
      </c>
      <c r="AA79" s="224">
        <f>+Inputs!AA35</f>
        <v>2.0899999999999998E-2</v>
      </c>
      <c r="AB79" s="224">
        <f>+Inputs!AB35</f>
        <v>2.0899999999999998E-2</v>
      </c>
      <c r="AC79" s="224">
        <f>+Inputs!AC35</f>
        <v>2.0899999999999998E-2</v>
      </c>
      <c r="AD79" s="224">
        <f>+Inputs!AD35</f>
        <v>2.0899999999999998E-2</v>
      </c>
      <c r="AE79" s="224">
        <f>+Inputs!AE35</f>
        <v>2.0899999999999998E-2</v>
      </c>
      <c r="AF79" s="224">
        <f>+Inputs!AF35</f>
        <v>2.0899999999999998E-2</v>
      </c>
      <c r="AG79" s="224">
        <f>+Inputs!AG35</f>
        <v>2.0899999999999998E-2</v>
      </c>
      <c r="AH79" s="224">
        <f>+Inputs!AH35</f>
        <v>2.0899999999999998E-2</v>
      </c>
      <c r="AI79" s="224">
        <f>+Inputs!AI35</f>
        <v>2.0899999999999998E-2</v>
      </c>
      <c r="AJ79" s="224">
        <f>+Inputs!AJ35</f>
        <v>2.0899999999999998E-2</v>
      </c>
      <c r="AK79" s="224">
        <f>+Inputs!AK35</f>
        <v>2.0899999999999998E-2</v>
      </c>
      <c r="AL79" s="224">
        <f>+Inputs!AL35</f>
        <v>2.0899999999999998E-2</v>
      </c>
      <c r="AM79" s="224">
        <f>+Inputs!AM35</f>
        <v>2.0899999999999998E-2</v>
      </c>
      <c r="AN79" s="224">
        <f>+Inputs!AN35</f>
        <v>2.0899999999999998E-2</v>
      </c>
      <c r="AO79" s="224">
        <f>+Inputs!AO35</f>
        <v>2.0899999999999998E-2</v>
      </c>
      <c r="AP79" s="224">
        <f>+Inputs!AP35</f>
        <v>2.0899999999999998E-2</v>
      </c>
      <c r="AQ79" s="224">
        <f>+Inputs!AQ35</f>
        <v>2.0899999999999998E-2</v>
      </c>
      <c r="AR79" s="224">
        <f>+Inputs!AR35</f>
        <v>2.0899999999999998E-2</v>
      </c>
    </row>
    <row r="80" spans="1:44">
      <c r="A80" s="224" t="str">
        <f>+Inputs!A36</f>
        <v>Inflation factor</v>
      </c>
      <c r="B80" s="224">
        <f>+Inputs!B36</f>
        <v>0</v>
      </c>
      <c r="C80" s="224">
        <f>+Inputs!C36</f>
        <v>0</v>
      </c>
      <c r="D80" s="224">
        <f>+Inputs!D36</f>
        <v>0</v>
      </c>
      <c r="E80" s="224">
        <f>+Inputs!E36</f>
        <v>0</v>
      </c>
      <c r="F80" s="224">
        <f>+Inputs!F36</f>
        <v>0</v>
      </c>
      <c r="G80" s="224">
        <f>+Inputs!G36</f>
        <v>0</v>
      </c>
      <c r="H80" s="224">
        <f>+Inputs!H36</f>
        <v>0</v>
      </c>
      <c r="I80" s="224">
        <f>+Inputs!I36</f>
        <v>0</v>
      </c>
      <c r="J80" s="224">
        <f>+Inputs!J36</f>
        <v>0</v>
      </c>
      <c r="K80" s="224">
        <f>+Inputs!K36</f>
        <v>0</v>
      </c>
      <c r="L80" s="224">
        <f>+Inputs!L36</f>
        <v>0</v>
      </c>
      <c r="M80" s="224">
        <f>+Inputs!M36</f>
        <v>0</v>
      </c>
      <c r="N80" s="224">
        <f>+Inputs!N36</f>
        <v>0</v>
      </c>
      <c r="O80" s="224">
        <f>+Inputs!O36</f>
        <v>0</v>
      </c>
      <c r="P80" s="224">
        <f>+Inputs!P36</f>
        <v>0</v>
      </c>
      <c r="Q80" s="224">
        <f>+Inputs!Q36</f>
        <v>0</v>
      </c>
      <c r="R80" s="224">
        <f>+Inputs!R36</f>
        <v>0</v>
      </c>
      <c r="S80" s="224">
        <f>+Inputs!S36</f>
        <v>1</v>
      </c>
      <c r="T80" s="224">
        <f>+Inputs!T36</f>
        <v>1.024793388429752</v>
      </c>
      <c r="U80" s="224">
        <f>+Inputs!U36</f>
        <v>1.1067768595041321</v>
      </c>
      <c r="V80" s="224">
        <f>+Inputs!V36</f>
        <v>1.1682029752066114</v>
      </c>
      <c r="W80" s="224">
        <f>+Inputs!W36</f>
        <v>1.1948380030413221</v>
      </c>
      <c r="X80" s="224">
        <f>+Inputs!X36</f>
        <v>1.2078617372744727</v>
      </c>
      <c r="Y80" s="224">
        <f>+Inputs!Y36</f>
        <v>1.2331060475835092</v>
      </c>
      <c r="Z80" s="224">
        <f>+Inputs!Z36</f>
        <v>1.2588779639780046</v>
      </c>
      <c r="AA80" s="224">
        <f>+Inputs!AA36</f>
        <v>1.2851885134251448</v>
      </c>
      <c r="AB80" s="224">
        <f>+Inputs!AB36</f>
        <v>1.3120489533557305</v>
      </c>
      <c r="AC80" s="224">
        <f>+Inputs!AC36</f>
        <v>1.3394707764808653</v>
      </c>
      <c r="AD80" s="224">
        <f>+Inputs!AD36</f>
        <v>1.3674657157093153</v>
      </c>
      <c r="AE80" s="224">
        <f>+Inputs!AE36</f>
        <v>1.3960457491676399</v>
      </c>
      <c r="AF80" s="224">
        <f>+Inputs!AF36</f>
        <v>1.4252231053252435</v>
      </c>
      <c r="AG80" s="224">
        <f>+Inputs!AG36</f>
        <v>1.4550102682265411</v>
      </c>
      <c r="AH80" s="224">
        <f>+Inputs!AH36</f>
        <v>1.4854199828324759</v>
      </c>
      <c r="AI80" s="224">
        <f>+Inputs!AI36</f>
        <v>1.5164652604736746</v>
      </c>
      <c r="AJ80" s="224">
        <f>+Inputs!AJ36</f>
        <v>1.5481593844175743</v>
      </c>
      <c r="AK80" s="224">
        <f>+Inputs!AK36</f>
        <v>1.5805159155519015</v>
      </c>
      <c r="AL80" s="224">
        <f>+Inputs!AL36</f>
        <v>1.6135486981869362</v>
      </c>
      <c r="AM80" s="224">
        <f>+Inputs!AM36</f>
        <v>1.6472718659790433</v>
      </c>
      <c r="AN80" s="224">
        <f>+Inputs!AN36</f>
        <v>1.6816998479780052</v>
      </c>
      <c r="AO80" s="224">
        <f>+Inputs!AO36</f>
        <v>1.7168473748007456</v>
      </c>
      <c r="AP80" s="224">
        <f>+Inputs!AP36</f>
        <v>1.7527294849340811</v>
      </c>
      <c r="AQ80" s="224">
        <f>+Inputs!AQ36</f>
        <v>1.7893615311692035</v>
      </c>
      <c r="AR80" s="224">
        <f>+Inputs!AR36</f>
        <v>1.8267591871706399</v>
      </c>
    </row>
    <row r="82" spans="1:44">
      <c r="A82" s="62" t="s">
        <v>292</v>
      </c>
    </row>
    <row r="83" spans="1:44">
      <c r="A83" s="11" t="s">
        <v>341</v>
      </c>
      <c r="V83" s="33">
        <f t="shared" ref="V83:AR83" si="34">+V70*V$80</f>
        <v>4585.6638448052499</v>
      </c>
      <c r="W83" s="33">
        <f t="shared" si="34"/>
        <v>9746.2619780111618</v>
      </c>
      <c r="X83" s="33">
        <f t="shared" si="34"/>
        <v>14846.236299293971</v>
      </c>
      <c r="Y83" s="33">
        <f t="shared" si="34"/>
        <v>16682.966562000591</v>
      </c>
      <c r="Z83" s="33">
        <f t="shared" si="34"/>
        <v>17140.832255603982</v>
      </c>
      <c r="AA83" s="33">
        <f t="shared" si="34"/>
        <v>17527.464777914931</v>
      </c>
      <c r="AB83" s="33">
        <f t="shared" si="34"/>
        <v>17944.878905510574</v>
      </c>
      <c r="AC83" s="33">
        <f t="shared" si="34"/>
        <v>18267.564049818091</v>
      </c>
      <c r="AD83" s="33">
        <f t="shared" si="34"/>
        <v>18417.051093808645</v>
      </c>
      <c r="AE83" s="33">
        <f t="shared" si="34"/>
        <v>18534.382648227638</v>
      </c>
      <c r="AF83" s="33">
        <f t="shared" si="34"/>
        <v>18607.204559044487</v>
      </c>
      <c r="AG83" s="33">
        <f t="shared" si="34"/>
        <v>18628.287586337243</v>
      </c>
      <c r="AH83" s="33">
        <f t="shared" si="34"/>
        <v>18595.690685237991</v>
      </c>
      <c r="AI83" s="33">
        <f t="shared" si="34"/>
        <v>18509.576457977415</v>
      </c>
      <c r="AJ83" s="33">
        <f t="shared" si="34"/>
        <v>18377.395260811329</v>
      </c>
      <c r="AK83" s="33">
        <f t="shared" si="34"/>
        <v>18198.154789511289</v>
      </c>
      <c r="AL83" s="33">
        <f t="shared" si="34"/>
        <v>17973.11595396648</v>
      </c>
      <c r="AM83" s="33">
        <f t="shared" si="34"/>
        <v>17690.551231168036</v>
      </c>
      <c r="AN83" s="33">
        <f t="shared" si="34"/>
        <v>17340.07074667437</v>
      </c>
      <c r="AO83" s="33">
        <f t="shared" si="34"/>
        <v>16928.973733958192</v>
      </c>
      <c r="AP83" s="33">
        <f t="shared" si="34"/>
        <v>16445.480352682513</v>
      </c>
      <c r="AQ83" s="33">
        <f t="shared" si="34"/>
        <v>15891.419951887126</v>
      </c>
      <c r="AR83" s="33">
        <f t="shared" si="34"/>
        <v>15270.239404931706</v>
      </c>
    </row>
    <row r="84" spans="1:44">
      <c r="A84" s="11" t="s">
        <v>342</v>
      </c>
      <c r="V84" s="33">
        <f t="shared" ref="V84:AR84" si="35">+V71*V$80</f>
        <v>9791.802451248408</v>
      </c>
      <c r="W84" s="33">
        <f t="shared" si="35"/>
        <v>10312.228690445034</v>
      </c>
      <c r="X84" s="33">
        <f t="shared" si="35"/>
        <v>10716.901006882812</v>
      </c>
      <c r="Y84" s="33">
        <f t="shared" si="35"/>
        <v>11201.7529232216</v>
      </c>
      <c r="Z84" s="33">
        <f t="shared" si="35"/>
        <v>11681.194624114487</v>
      </c>
      <c r="AA84" s="33">
        <f t="shared" si="35"/>
        <v>12110.811355956359</v>
      </c>
      <c r="AB84" s="33">
        <f t="shared" si="35"/>
        <v>12707.996563852616</v>
      </c>
      <c r="AC84" s="33">
        <f t="shared" si="35"/>
        <v>13192.921166352511</v>
      </c>
      <c r="AD84" s="33">
        <f t="shared" si="35"/>
        <v>13731.863830518258</v>
      </c>
      <c r="AE84" s="33">
        <f t="shared" si="35"/>
        <v>14279.436963013322</v>
      </c>
      <c r="AF84" s="33">
        <f t="shared" si="35"/>
        <v>14826.948057821726</v>
      </c>
      <c r="AG84" s="33">
        <f t="shared" si="35"/>
        <v>15336.547253466631</v>
      </c>
      <c r="AH84" s="33">
        <f t="shared" si="35"/>
        <v>15851.765282529939</v>
      </c>
      <c r="AI84" s="33">
        <f t="shared" si="35"/>
        <v>16385.309594637863</v>
      </c>
      <c r="AJ84" s="33">
        <f t="shared" si="35"/>
        <v>16945.73502831654</v>
      </c>
      <c r="AK84" s="33">
        <f t="shared" si="35"/>
        <v>17543.955290487353</v>
      </c>
      <c r="AL84" s="33">
        <f t="shared" si="35"/>
        <v>18161.897486107522</v>
      </c>
      <c r="AM84" s="33">
        <f t="shared" si="35"/>
        <v>18770.663762702068</v>
      </c>
      <c r="AN84" s="33">
        <f t="shared" si="35"/>
        <v>19380.443244603994</v>
      </c>
      <c r="AO84" s="33">
        <f t="shared" si="35"/>
        <v>19983.868473247312</v>
      </c>
      <c r="AP84" s="33">
        <f t="shared" si="35"/>
        <v>20555.177482761595</v>
      </c>
      <c r="AQ84" s="33">
        <f t="shared" si="35"/>
        <v>21200.800250992161</v>
      </c>
      <c r="AR84" s="33">
        <f t="shared" si="35"/>
        <v>21848.084563150165</v>
      </c>
    </row>
    <row r="85" spans="1:44">
      <c r="A85" s="11" t="s">
        <v>343</v>
      </c>
      <c r="V85" s="33">
        <f t="shared" ref="V85:AR85" si="36">+V72*V$80</f>
        <v>9970.9522813743479</v>
      </c>
      <c r="W85" s="33">
        <f t="shared" si="36"/>
        <v>10698.426667802029</v>
      </c>
      <c r="X85" s="33">
        <f t="shared" si="36"/>
        <v>11420.298053368353</v>
      </c>
      <c r="Y85" s="33">
        <f t="shared" si="36"/>
        <v>12147.169117835067</v>
      </c>
      <c r="Z85" s="33">
        <f t="shared" si="36"/>
        <v>12475.358025919799</v>
      </c>
      <c r="AA85" s="33">
        <f t="shared" si="36"/>
        <v>12889.162708326181</v>
      </c>
      <c r="AB85" s="33">
        <f t="shared" si="36"/>
        <v>13357.431994462657</v>
      </c>
      <c r="AC85" s="33">
        <f t="shared" si="36"/>
        <v>13875.022023740701</v>
      </c>
      <c r="AD85" s="33">
        <f t="shared" si="36"/>
        <v>14398.646013465188</v>
      </c>
      <c r="AE85" s="33">
        <f t="shared" si="36"/>
        <v>14929.768632075082</v>
      </c>
      <c r="AF85" s="33">
        <f t="shared" si="36"/>
        <v>15467.485816360302</v>
      </c>
      <c r="AG85" s="33">
        <f t="shared" si="36"/>
        <v>16014.135014828986</v>
      </c>
      <c r="AH85" s="33">
        <f t="shared" si="36"/>
        <v>16568.708263195251</v>
      </c>
      <c r="AI85" s="33">
        <f t="shared" si="36"/>
        <v>17132.694317013495</v>
      </c>
      <c r="AJ85" s="33">
        <f t="shared" si="36"/>
        <v>17705.802527431541</v>
      </c>
      <c r="AK85" s="33">
        <f t="shared" si="36"/>
        <v>18288.674189091711</v>
      </c>
      <c r="AL85" s="33">
        <f t="shared" si="36"/>
        <v>18881.956100844138</v>
      </c>
      <c r="AM85" s="33">
        <f t="shared" si="36"/>
        <v>19486.230332331848</v>
      </c>
      <c r="AN85" s="33">
        <f t="shared" si="36"/>
        <v>20101.1349174565</v>
      </c>
      <c r="AO85" s="33">
        <f t="shared" si="36"/>
        <v>20728.324360979019</v>
      </c>
      <c r="AP85" s="33">
        <f t="shared" si="36"/>
        <v>21367.318760164042</v>
      </c>
      <c r="AQ85" s="33">
        <f t="shared" si="36"/>
        <v>22018.674665556155</v>
      </c>
      <c r="AR85" s="33">
        <f t="shared" si="36"/>
        <v>22687.135380882966</v>
      </c>
    </row>
    <row r="86" spans="1:44">
      <c r="A86" s="11" t="s">
        <v>344</v>
      </c>
      <c r="V86" s="33">
        <f t="shared" ref="V86:AR86" si="37">+V73*V$80</f>
        <v>0</v>
      </c>
      <c r="W86" s="33">
        <f t="shared" si="37"/>
        <v>0</v>
      </c>
      <c r="X86" s="33">
        <f t="shared" si="37"/>
        <v>0</v>
      </c>
      <c r="Y86" s="33">
        <f t="shared" si="37"/>
        <v>0</v>
      </c>
      <c r="Z86" s="33">
        <f t="shared" si="37"/>
        <v>0</v>
      </c>
      <c r="AA86" s="33">
        <f t="shared" si="37"/>
        <v>0</v>
      </c>
      <c r="AB86" s="33">
        <f t="shared" si="37"/>
        <v>0</v>
      </c>
      <c r="AC86" s="33">
        <f t="shared" si="37"/>
        <v>0</v>
      </c>
      <c r="AD86" s="33">
        <f t="shared" si="37"/>
        <v>0</v>
      </c>
      <c r="AE86" s="33">
        <f t="shared" si="37"/>
        <v>0</v>
      </c>
      <c r="AF86" s="33">
        <f t="shared" si="37"/>
        <v>0</v>
      </c>
      <c r="AG86" s="33">
        <f t="shared" si="37"/>
        <v>0</v>
      </c>
      <c r="AH86" s="33">
        <f t="shared" si="37"/>
        <v>0</v>
      </c>
      <c r="AI86" s="33">
        <f t="shared" si="37"/>
        <v>0</v>
      </c>
      <c r="AJ86" s="33">
        <f t="shared" si="37"/>
        <v>0</v>
      </c>
      <c r="AK86" s="33">
        <f t="shared" si="37"/>
        <v>0</v>
      </c>
      <c r="AL86" s="33">
        <f t="shared" si="37"/>
        <v>0</v>
      </c>
      <c r="AM86" s="33">
        <f t="shared" si="37"/>
        <v>0</v>
      </c>
      <c r="AN86" s="33">
        <f t="shared" si="37"/>
        <v>0</v>
      </c>
      <c r="AO86" s="33">
        <f t="shared" si="37"/>
        <v>0</v>
      </c>
      <c r="AP86" s="33">
        <f t="shared" si="37"/>
        <v>0</v>
      </c>
      <c r="AQ86" s="33">
        <f t="shared" si="37"/>
        <v>0</v>
      </c>
      <c r="AR86" s="33">
        <f t="shared" si="37"/>
        <v>0</v>
      </c>
    </row>
    <row r="87" spans="1:44">
      <c r="A87" s="11" t="s">
        <v>59</v>
      </c>
      <c r="V87" s="33">
        <f t="shared" ref="V87:AR87" si="38">+V74*V$80</f>
        <v>5226.8252029005189</v>
      </c>
      <c r="W87" s="33">
        <f t="shared" si="38"/>
        <v>1728.1844327522222</v>
      </c>
      <c r="X87" s="33">
        <f t="shared" si="38"/>
        <v>-1785.3122328739551</v>
      </c>
      <c r="Y87" s="33">
        <f t="shared" si="38"/>
        <v>-1877.5649160031028</v>
      </c>
      <c r="Z87" s="33">
        <f t="shared" si="38"/>
        <v>-874.09063680096438</v>
      </c>
      <c r="AA87" s="33">
        <f t="shared" si="38"/>
        <v>173.07330206938113</v>
      </c>
      <c r="AB87" s="33">
        <f t="shared" si="38"/>
        <v>386.89112545031242</v>
      </c>
      <c r="AC87" s="33">
        <f t="shared" si="38"/>
        <v>650.25535411845499</v>
      </c>
      <c r="AD87" s="33">
        <f t="shared" si="38"/>
        <v>1005.3432280885623</v>
      </c>
      <c r="AE87" s="33">
        <f t="shared" si="38"/>
        <v>1354.9692390722885</v>
      </c>
      <c r="AF87" s="33">
        <f t="shared" si="38"/>
        <v>1721.0925440264732</v>
      </c>
      <c r="AG87" s="33">
        <f t="shared" si="38"/>
        <v>2146.6856111957668</v>
      </c>
      <c r="AH87" s="33">
        <f t="shared" si="38"/>
        <v>2591.2306377807172</v>
      </c>
      <c r="AI87" s="33">
        <f t="shared" si="38"/>
        <v>3040.3080501196855</v>
      </c>
      <c r="AJ87" s="33">
        <f t="shared" si="38"/>
        <v>3478.0485328493833</v>
      </c>
      <c r="AK87" s="33">
        <f t="shared" si="38"/>
        <v>3893.5978597332528</v>
      </c>
      <c r="AL87" s="33">
        <f t="shared" si="38"/>
        <v>4302.9530338384766</v>
      </c>
      <c r="AM87" s="33">
        <f t="shared" si="38"/>
        <v>4746.0005001226682</v>
      </c>
      <c r="AN87" s="33">
        <f t="shared" si="38"/>
        <v>5222.885889959106</v>
      </c>
      <c r="AO87" s="33">
        <f t="shared" si="38"/>
        <v>5731.7240374906014</v>
      </c>
      <c r="AP87" s="33">
        <f t="shared" si="38"/>
        <v>6310.2411322731159</v>
      </c>
      <c r="AQ87" s="33">
        <f t="shared" si="38"/>
        <v>6849.052027748372</v>
      </c>
      <c r="AR87" s="33">
        <f t="shared" si="38"/>
        <v>7412.0430314116047</v>
      </c>
    </row>
    <row r="88" spans="1:44">
      <c r="A88" s="11" t="s">
        <v>345</v>
      </c>
      <c r="V88" s="33">
        <f t="shared" ref="V88:AR88" si="39">+V75*V$80</f>
        <v>0</v>
      </c>
      <c r="W88" s="33">
        <f t="shared" si="39"/>
        <v>0</v>
      </c>
      <c r="X88" s="33">
        <f t="shared" si="39"/>
        <v>0</v>
      </c>
      <c r="Y88" s="33">
        <f t="shared" si="39"/>
        <v>0</v>
      </c>
      <c r="Z88" s="33">
        <f t="shared" si="39"/>
        <v>0</v>
      </c>
      <c r="AA88" s="33">
        <f t="shared" si="39"/>
        <v>0</v>
      </c>
      <c r="AB88" s="33">
        <f t="shared" si="39"/>
        <v>0</v>
      </c>
      <c r="AC88" s="33">
        <f t="shared" si="39"/>
        <v>0</v>
      </c>
      <c r="AD88" s="33">
        <f t="shared" si="39"/>
        <v>0</v>
      </c>
      <c r="AE88" s="33">
        <f t="shared" si="39"/>
        <v>0</v>
      </c>
      <c r="AF88" s="33">
        <f t="shared" si="39"/>
        <v>0</v>
      </c>
      <c r="AG88" s="33">
        <f t="shared" si="39"/>
        <v>0</v>
      </c>
      <c r="AH88" s="33">
        <f t="shared" si="39"/>
        <v>0</v>
      </c>
      <c r="AI88" s="33">
        <f t="shared" si="39"/>
        <v>0</v>
      </c>
      <c r="AJ88" s="33">
        <f t="shared" si="39"/>
        <v>0</v>
      </c>
      <c r="AK88" s="33">
        <f t="shared" si="39"/>
        <v>0</v>
      </c>
      <c r="AL88" s="33">
        <f t="shared" si="39"/>
        <v>0</v>
      </c>
      <c r="AM88" s="33">
        <f t="shared" si="39"/>
        <v>0</v>
      </c>
      <c r="AN88" s="33">
        <f t="shared" si="39"/>
        <v>0</v>
      </c>
      <c r="AO88" s="33">
        <f t="shared" si="39"/>
        <v>0</v>
      </c>
      <c r="AP88" s="33">
        <f t="shared" si="39"/>
        <v>0</v>
      </c>
      <c r="AQ88" s="33">
        <f t="shared" si="39"/>
        <v>0</v>
      </c>
      <c r="AR88" s="33">
        <f t="shared" si="39"/>
        <v>0</v>
      </c>
    </row>
    <row r="89" spans="1:44">
      <c r="A89" s="62" t="s">
        <v>346</v>
      </c>
      <c r="U89" s="227"/>
      <c r="V89" s="49">
        <f>SUM(V83:V88)</f>
        <v>29575.243780328525</v>
      </c>
      <c r="W89" s="49">
        <f t="shared" ref="W89:AR89" si="40">SUM(W83:W88)</f>
        <v>32485.101769010445</v>
      </c>
      <c r="X89" s="49">
        <f t="shared" si="40"/>
        <v>35198.123126671177</v>
      </c>
      <c r="Y89" s="49">
        <f t="shared" si="40"/>
        <v>38154.323687054159</v>
      </c>
      <c r="Z89" s="49">
        <f t="shared" si="40"/>
        <v>40423.2942688373</v>
      </c>
      <c r="AA89" s="49">
        <f t="shared" si="40"/>
        <v>42700.512144266853</v>
      </c>
      <c r="AB89" s="49">
        <f t="shared" si="40"/>
        <v>44397.198589276159</v>
      </c>
      <c r="AC89" s="49">
        <f t="shared" si="40"/>
        <v>45985.762594029751</v>
      </c>
      <c r="AD89" s="49">
        <f t="shared" si="40"/>
        <v>47552.904165880653</v>
      </c>
      <c r="AE89" s="49">
        <f t="shared" si="40"/>
        <v>49098.557482388336</v>
      </c>
      <c r="AF89" s="49">
        <f t="shared" si="40"/>
        <v>50622.730977252992</v>
      </c>
      <c r="AG89" s="49">
        <f t="shared" si="40"/>
        <v>52125.655465828626</v>
      </c>
      <c r="AH89" s="49">
        <f t="shared" si="40"/>
        <v>53607.394868743897</v>
      </c>
      <c r="AI89" s="49">
        <f t="shared" si="40"/>
        <v>55067.888419748459</v>
      </c>
      <c r="AJ89" s="49">
        <f t="shared" si="40"/>
        <v>56506.981349408787</v>
      </c>
      <c r="AK89" s="49">
        <f t="shared" si="40"/>
        <v>57924.382128823607</v>
      </c>
      <c r="AL89" s="49">
        <f t="shared" si="40"/>
        <v>59319.922574756623</v>
      </c>
      <c r="AM89" s="49">
        <f t="shared" si="40"/>
        <v>60693.44582632462</v>
      </c>
      <c r="AN89" s="49">
        <f t="shared" si="40"/>
        <v>62044.534798693967</v>
      </c>
      <c r="AO89" s="49">
        <f t="shared" si="40"/>
        <v>63372.890605675122</v>
      </c>
      <c r="AP89" s="49">
        <f t="shared" si="40"/>
        <v>64678.217727881267</v>
      </c>
      <c r="AQ89" s="49">
        <f t="shared" si="40"/>
        <v>65959.946896183814</v>
      </c>
      <c r="AR89" s="49">
        <f t="shared" si="40"/>
        <v>67217.502380376449</v>
      </c>
    </row>
    <row r="90" spans="1:44">
      <c r="U90" s="226" t="s">
        <v>350</v>
      </c>
      <c r="V90" s="33">
        <f>+V89-Financeability!V14</f>
        <v>0</v>
      </c>
      <c r="W90" s="33">
        <f>+W89-Financeability!W14</f>
        <v>5.8207660913467407E-11</v>
      </c>
      <c r="X90" s="33">
        <f>+X89-Financeability!X14</f>
        <v>0</v>
      </c>
      <c r="Y90" s="33">
        <f>+Y89-Financeability!Y14</f>
        <v>0</v>
      </c>
      <c r="Z90" s="33">
        <f>+Z89-Financeability!Z14</f>
        <v>0</v>
      </c>
      <c r="AA90" s="33">
        <f>+AA89-Financeability!AA14</f>
        <v>0</v>
      </c>
      <c r="AB90" s="33">
        <f>+AB89-Financeability!AB14</f>
        <v>0</v>
      </c>
      <c r="AC90" s="33">
        <f>+AC89-Financeability!AC14</f>
        <v>-8.7311491370201111E-11</v>
      </c>
      <c r="AD90" s="33">
        <f>+AD89-Financeability!AD14</f>
        <v>6.5483618527650833E-11</v>
      </c>
      <c r="AE90" s="33">
        <f>+AE89-Financeability!AE14</f>
        <v>0</v>
      </c>
      <c r="AF90" s="33">
        <f>+AF89-Financeability!AF14</f>
        <v>0</v>
      </c>
      <c r="AG90" s="33">
        <f>+AG89-Financeability!AG14</f>
        <v>0</v>
      </c>
      <c r="AH90" s="33">
        <f>+AH89-Financeability!AH14</f>
        <v>1.0186340659856796E-10</v>
      </c>
      <c r="AI90" s="33">
        <f>+AI89-Financeability!AI14</f>
        <v>-1.1641532182693481E-10</v>
      </c>
      <c r="AJ90" s="33">
        <f>+AJ89-Financeability!AJ14</f>
        <v>-6.5483618527650833E-11</v>
      </c>
      <c r="AK90" s="33">
        <f>+AK89-Financeability!AK14</f>
        <v>1.0913936421275139E-10</v>
      </c>
      <c r="AL90" s="33">
        <f>+AL89-Financeability!AL14</f>
        <v>-1.0186340659856796E-10</v>
      </c>
      <c r="AM90" s="33">
        <f>+AM89-Financeability!AM14</f>
        <v>-1.673470251262188E-10</v>
      </c>
      <c r="AN90" s="33">
        <f>+AN89-Financeability!AN14</f>
        <v>0</v>
      </c>
      <c r="AO90" s="33">
        <f>+AO89-Financeability!AO14</f>
        <v>-3.4924596548080444E-10</v>
      </c>
      <c r="AP90" s="33">
        <f>+AP89-Financeability!AP14</f>
        <v>0</v>
      </c>
      <c r="AQ90" s="33">
        <f>+AQ89-Financeability!AQ14</f>
        <v>2.4738255888223648E-10</v>
      </c>
      <c r="AR90" s="33">
        <f>+AR89-Financeability!AR14</f>
        <v>-1.7462298274040222E-10</v>
      </c>
    </row>
    <row r="92" spans="1:44">
      <c r="A92" s="33"/>
      <c r="U92" s="11"/>
    </row>
    <row r="93" spans="1:44">
      <c r="U93" s="232"/>
    </row>
    <row r="94" spans="1:44">
      <c r="U94" s="232"/>
      <c r="V94" s="10"/>
      <c r="W94" s="10"/>
      <c r="X94" s="10"/>
      <c r="Y94" s="10"/>
      <c r="Z94" s="10"/>
      <c r="AA94" s="10"/>
      <c r="AB94" s="10"/>
      <c r="AC94" s="10"/>
      <c r="AD94" s="10"/>
      <c r="AE94" s="10"/>
      <c r="AF94" s="10"/>
      <c r="AG94" s="10"/>
      <c r="AH94" s="10"/>
      <c r="AI94" s="10"/>
      <c r="AJ94" s="10"/>
      <c r="AK94" s="10"/>
      <c r="AL94" s="10"/>
      <c r="AM94" s="10"/>
      <c r="AN94" s="10"/>
      <c r="AO94" s="10"/>
      <c r="AP94" s="10"/>
      <c r="AQ94" s="10"/>
      <c r="AR94" s="10"/>
    </row>
    <row r="95" spans="1:44">
      <c r="U95" s="232"/>
    </row>
    <row r="97" spans="1:21">
      <c r="A97" s="33"/>
      <c r="U97" s="11"/>
    </row>
    <row r="98" spans="1:21">
      <c r="U98" s="232"/>
    </row>
    <row r="99" spans="1:21">
      <c r="U99" s="232"/>
    </row>
  </sheetData>
  <dataConsolidate/>
  <conditionalFormatting sqref="AS50:XFD50 A50:S50">
    <cfRule type="top10" dxfId="0" priority="1" rank="1"/>
    <cfRule type="top10" priority="2" rank="1"/>
  </conditionalFormatting>
  <pageMargins left="0.70866141732283472" right="0.70866141732283472" top="0.74803149606299213" bottom="0.74803149606299213" header="0.31496062992125984" footer="0.31496062992125984"/>
  <pageSetup paperSize="8" scale="5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R80"/>
  <sheetViews>
    <sheetView zoomScaleNormal="100" workbookViewId="0">
      <pane xSplit="19" ySplit="1" topLeftCell="Z61" activePane="bottomRight" state="frozen"/>
      <selection pane="topRight" activeCell="T1" sqref="T1"/>
      <selection pane="bottomLeft" activeCell="A2" sqref="A2"/>
      <selection pane="bottomRight" activeCell="AB1" sqref="AB1:AR79"/>
    </sheetView>
  </sheetViews>
  <sheetFormatPr defaultColWidth="9.08984375" defaultRowHeight="13"/>
  <cols>
    <col min="1" max="1" width="47.08984375" style="30" bestFit="1" customWidth="1"/>
    <col min="2" max="19" width="6.81640625" style="31" hidden="1" customWidth="1"/>
    <col min="20" max="44" width="6.08984375" style="31" bestFit="1" customWidth="1"/>
    <col min="45" max="16384" width="9.08984375" style="30"/>
  </cols>
  <sheetData>
    <row r="1" spans="1:44" s="34" customFormat="1">
      <c r="A1" s="34" t="s">
        <v>53</v>
      </c>
      <c r="B1" s="38"/>
      <c r="C1" s="38"/>
      <c r="D1" s="38"/>
      <c r="E1" s="38"/>
      <c r="F1" s="38"/>
      <c r="G1" s="38"/>
      <c r="H1" s="38"/>
      <c r="I1" s="38"/>
      <c r="J1" s="38"/>
      <c r="K1" s="38"/>
      <c r="L1" s="38"/>
      <c r="M1" s="38"/>
      <c r="N1" s="38"/>
      <c r="O1" s="38"/>
      <c r="P1" s="38"/>
      <c r="Q1" s="38"/>
      <c r="R1" s="38"/>
      <c r="S1" s="38"/>
      <c r="T1" s="38">
        <f>+Inputs!T1</f>
        <v>2021</v>
      </c>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c r="AM1" s="38">
        <f>+Inputs!AM1</f>
        <v>2040</v>
      </c>
      <c r="AN1" s="38">
        <f>+Inputs!AN1</f>
        <v>2041</v>
      </c>
      <c r="AO1" s="38">
        <f>+Inputs!AO1</f>
        <v>2042</v>
      </c>
      <c r="AP1" s="38">
        <f>+Inputs!AP1</f>
        <v>2043</v>
      </c>
      <c r="AQ1" s="38">
        <f>+Inputs!AQ1</f>
        <v>2044</v>
      </c>
      <c r="AR1" s="38">
        <f>+Inputs!AR1</f>
        <v>2045</v>
      </c>
    </row>
    <row r="2" spans="1:44">
      <c r="A2" s="5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c r="A3" s="30" t="s">
        <v>60</v>
      </c>
      <c r="B3" s="33"/>
      <c r="C3" s="33"/>
      <c r="D3" s="33"/>
      <c r="E3" s="33"/>
      <c r="F3" s="33"/>
      <c r="G3" s="33"/>
      <c r="H3" s="33"/>
      <c r="I3" s="33"/>
      <c r="J3" s="33"/>
      <c r="K3" s="33"/>
      <c r="L3" s="68"/>
      <c r="M3" s="69"/>
      <c r="N3" s="69"/>
      <c r="O3" s="69"/>
      <c r="P3" s="69"/>
      <c r="Q3" s="69"/>
      <c r="R3" s="69"/>
      <c r="S3" s="69"/>
      <c r="T3" s="81"/>
      <c r="U3" s="81"/>
      <c r="V3" s="81">
        <f>+Inputs!V100</f>
        <v>0.19</v>
      </c>
      <c r="W3" s="81">
        <f>+Inputs!W100</f>
        <v>0.19</v>
      </c>
      <c r="X3" s="81">
        <f>+Inputs!X100</f>
        <v>0.19</v>
      </c>
      <c r="Y3" s="81">
        <f>+Inputs!Y100</f>
        <v>0.19</v>
      </c>
      <c r="Z3" s="81">
        <f>+Inputs!Z100</f>
        <v>0.19</v>
      </c>
      <c r="AA3" s="81">
        <f>+Inputs!AA100</f>
        <v>0.19</v>
      </c>
      <c r="AB3" s="81">
        <f>+Inputs!AB100</f>
        <v>0.19</v>
      </c>
      <c r="AC3" s="81">
        <f>+Inputs!AC100</f>
        <v>0.19</v>
      </c>
      <c r="AD3" s="81">
        <f>+Inputs!AD100</f>
        <v>0.19</v>
      </c>
      <c r="AE3" s="81">
        <f>+Inputs!AE100</f>
        <v>0.19</v>
      </c>
      <c r="AF3" s="81">
        <f>+Inputs!AF100</f>
        <v>0.19</v>
      </c>
      <c r="AG3" s="81">
        <f>+Inputs!AG100</f>
        <v>0.19</v>
      </c>
      <c r="AH3" s="81">
        <f>+Inputs!AH100</f>
        <v>0.19</v>
      </c>
      <c r="AI3" s="81">
        <f>+Inputs!AI100</f>
        <v>0.19</v>
      </c>
      <c r="AJ3" s="81">
        <f>+Inputs!AJ100</f>
        <v>0.19</v>
      </c>
      <c r="AK3" s="81">
        <f>+Inputs!AK100</f>
        <v>0.19</v>
      </c>
      <c r="AL3" s="81">
        <f>+Inputs!AL100</f>
        <v>0.19</v>
      </c>
      <c r="AM3" s="81">
        <f>+Inputs!AM100</f>
        <v>0.19</v>
      </c>
      <c r="AN3" s="81">
        <f>+Inputs!AN100</f>
        <v>0.19</v>
      </c>
      <c r="AO3" s="81">
        <f>+Inputs!AO100</f>
        <v>0.19</v>
      </c>
      <c r="AP3" s="81">
        <f>+Inputs!AP100</f>
        <v>0.19</v>
      </c>
      <c r="AQ3" s="81">
        <f>+Inputs!AQ100</f>
        <v>0.19</v>
      </c>
      <c r="AR3" s="81">
        <f>+Inputs!AR100</f>
        <v>0.19</v>
      </c>
    </row>
    <row r="4" spans="1:44">
      <c r="A4" s="30" t="s">
        <v>61</v>
      </c>
      <c r="B4" s="33"/>
      <c r="C4" s="33"/>
      <c r="D4" s="33"/>
      <c r="E4" s="33"/>
      <c r="F4" s="33"/>
      <c r="G4" s="33"/>
      <c r="H4" s="33"/>
      <c r="I4" s="33"/>
      <c r="J4" s="33"/>
      <c r="K4" s="33"/>
      <c r="L4" s="68"/>
      <c r="M4" s="69"/>
      <c r="N4" s="69"/>
      <c r="O4" s="69"/>
      <c r="P4" s="69"/>
      <c r="Q4" s="69"/>
      <c r="R4" s="69"/>
      <c r="S4" s="69"/>
      <c r="T4" s="81"/>
      <c r="U4" s="81"/>
      <c r="V4" s="81">
        <f>+Inputs!V101</f>
        <v>0.19</v>
      </c>
      <c r="W4" s="81">
        <f>+Inputs!W101</f>
        <v>0.19</v>
      </c>
      <c r="X4" s="81">
        <f>+Inputs!X101</f>
        <v>0.19</v>
      </c>
      <c r="Y4" s="81">
        <f>+Inputs!Y101</f>
        <v>0.19</v>
      </c>
      <c r="Z4" s="81">
        <f>+Inputs!Z101</f>
        <v>0.19</v>
      </c>
      <c r="AA4" s="81">
        <f>+Inputs!AA101</f>
        <v>0.19</v>
      </c>
      <c r="AB4" s="81">
        <f>+Inputs!AB101</f>
        <v>0.19</v>
      </c>
      <c r="AC4" s="81">
        <f>+Inputs!AC101</f>
        <v>0.19</v>
      </c>
      <c r="AD4" s="81">
        <f>+Inputs!AD101</f>
        <v>0.19</v>
      </c>
      <c r="AE4" s="81">
        <f>+Inputs!AE101</f>
        <v>0.19</v>
      </c>
      <c r="AF4" s="81">
        <f>+Inputs!AF101</f>
        <v>0.19</v>
      </c>
      <c r="AG4" s="81">
        <f>+Inputs!AG101</f>
        <v>0.19</v>
      </c>
      <c r="AH4" s="81">
        <f>+Inputs!AH101</f>
        <v>0.19</v>
      </c>
      <c r="AI4" s="81">
        <f>+Inputs!AI101</f>
        <v>0.19</v>
      </c>
      <c r="AJ4" s="81">
        <f>+Inputs!AJ101</f>
        <v>0.19</v>
      </c>
      <c r="AK4" s="81">
        <f>+Inputs!AK101</f>
        <v>0.19</v>
      </c>
      <c r="AL4" s="81">
        <f>+Inputs!AL101</f>
        <v>0.19</v>
      </c>
      <c r="AM4" s="81">
        <f>+Inputs!AM101</f>
        <v>0.19</v>
      </c>
      <c r="AN4" s="81">
        <f>+Inputs!AN101</f>
        <v>0.19</v>
      </c>
      <c r="AO4" s="81">
        <f>+Inputs!AO101</f>
        <v>0.19</v>
      </c>
      <c r="AP4" s="81">
        <f>+Inputs!AP101</f>
        <v>0.19</v>
      </c>
      <c r="AQ4" s="81">
        <f>+Inputs!AQ101</f>
        <v>0.19</v>
      </c>
      <c r="AR4" s="81">
        <f>+Inputs!AR101</f>
        <v>0.19</v>
      </c>
    </row>
    <row r="5" spans="1:44">
      <c r="B5" s="33"/>
      <c r="C5" s="33"/>
      <c r="D5" s="33"/>
      <c r="E5" s="33"/>
      <c r="F5" s="33"/>
      <c r="G5" s="33"/>
      <c r="H5" s="33"/>
      <c r="I5" s="33"/>
      <c r="J5" s="33"/>
      <c r="K5" s="33"/>
      <c r="L5" s="68"/>
      <c r="M5" s="33"/>
      <c r="N5" s="33"/>
      <c r="O5" s="33"/>
      <c r="P5" s="33"/>
      <c r="Q5" s="33"/>
      <c r="R5" s="33"/>
      <c r="S5" s="33"/>
      <c r="T5" s="10"/>
      <c r="U5" s="10"/>
      <c r="V5" s="10"/>
      <c r="W5" s="10"/>
      <c r="X5" s="10"/>
      <c r="Y5" s="10"/>
      <c r="Z5" s="10"/>
      <c r="AA5" s="10"/>
      <c r="AB5" s="10"/>
      <c r="AC5" s="10"/>
      <c r="AD5" s="10"/>
      <c r="AE5" s="10"/>
      <c r="AF5" s="10"/>
      <c r="AG5" s="10"/>
      <c r="AH5" s="10"/>
      <c r="AI5" s="10"/>
      <c r="AJ5" s="10"/>
      <c r="AK5" s="10"/>
      <c r="AL5" s="10"/>
      <c r="AM5" s="10"/>
      <c r="AN5" s="10"/>
      <c r="AO5" s="10"/>
      <c r="AP5" s="10"/>
      <c r="AQ5" s="10"/>
      <c r="AR5" s="10"/>
    </row>
    <row r="6" spans="1:44">
      <c r="A6" s="30" t="s">
        <v>263</v>
      </c>
      <c r="B6" s="33"/>
      <c r="C6" s="33"/>
      <c r="D6" s="33"/>
      <c r="E6" s="33"/>
      <c r="F6" s="33"/>
      <c r="G6" s="33"/>
      <c r="H6" s="33"/>
      <c r="I6" s="33"/>
      <c r="J6" s="33"/>
      <c r="K6" s="33"/>
      <c r="L6" s="68"/>
      <c r="M6" s="33"/>
      <c r="N6" s="33"/>
      <c r="O6" s="33"/>
      <c r="P6" s="33"/>
      <c r="Q6" s="33"/>
      <c r="R6" s="33"/>
      <c r="S6" s="33"/>
      <c r="T6" s="10">
        <f>+Inputs!T36</f>
        <v>1.024793388429752</v>
      </c>
      <c r="U6" s="10">
        <f>+Inputs!U36</f>
        <v>1.1067768595041321</v>
      </c>
      <c r="V6" s="10">
        <f>+Inputs!V36</f>
        <v>1.1682029752066114</v>
      </c>
      <c r="W6" s="10">
        <f>+Inputs!W36</f>
        <v>1.1948380030413221</v>
      </c>
      <c r="X6" s="10">
        <f>+Inputs!X36</f>
        <v>1.2078617372744727</v>
      </c>
      <c r="Y6" s="10">
        <f>+Inputs!Y36</f>
        <v>1.2331060475835092</v>
      </c>
      <c r="Z6" s="10">
        <f>+Inputs!Z36</f>
        <v>1.2588779639780046</v>
      </c>
      <c r="AA6" s="10">
        <f>+Inputs!AA36</f>
        <v>1.2851885134251448</v>
      </c>
      <c r="AB6" s="10">
        <f>+Inputs!AB36</f>
        <v>1.3120489533557305</v>
      </c>
      <c r="AC6" s="10">
        <f>+Inputs!AC36</f>
        <v>1.3394707764808653</v>
      </c>
      <c r="AD6" s="10">
        <f>+Inputs!AD36</f>
        <v>1.3674657157093153</v>
      </c>
      <c r="AE6" s="10">
        <f>+Inputs!AE36</f>
        <v>1.3960457491676399</v>
      </c>
      <c r="AF6" s="10">
        <f>+Inputs!AF36</f>
        <v>1.4252231053252435</v>
      </c>
      <c r="AG6" s="10">
        <f>+Inputs!AG36</f>
        <v>1.4550102682265411</v>
      </c>
      <c r="AH6" s="10">
        <f>+Inputs!AH36</f>
        <v>1.4854199828324759</v>
      </c>
      <c r="AI6" s="10">
        <f>+Inputs!AI36</f>
        <v>1.5164652604736746</v>
      </c>
      <c r="AJ6" s="10">
        <f>+Inputs!AJ36</f>
        <v>1.5481593844175743</v>
      </c>
      <c r="AK6" s="10">
        <f>+Inputs!AK36</f>
        <v>1.5805159155519015</v>
      </c>
      <c r="AL6" s="10">
        <f>+Inputs!AL36</f>
        <v>1.6135486981869362</v>
      </c>
      <c r="AM6" s="10">
        <f>+Inputs!AM36</f>
        <v>1.6472718659790433</v>
      </c>
      <c r="AN6" s="10">
        <f>+Inputs!AN36</f>
        <v>1.6816998479780052</v>
      </c>
      <c r="AO6" s="10">
        <f>+Inputs!AO36</f>
        <v>1.7168473748007456</v>
      </c>
      <c r="AP6" s="10">
        <f>+Inputs!AP36</f>
        <v>1.7527294849340811</v>
      </c>
      <c r="AQ6" s="10">
        <f>+Inputs!AQ36</f>
        <v>1.7893615311692035</v>
      </c>
      <c r="AR6" s="10">
        <f>+Inputs!AR36</f>
        <v>1.8267591871706399</v>
      </c>
    </row>
    <row r="7" spans="1:4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c r="A8" s="30" t="s">
        <v>62</v>
      </c>
      <c r="B8" s="33"/>
      <c r="C8" s="33"/>
      <c r="D8" s="33"/>
      <c r="E8" s="33"/>
      <c r="F8" s="33"/>
      <c r="G8" s="33"/>
      <c r="H8" s="33"/>
      <c r="I8" s="33"/>
      <c r="J8" s="33"/>
      <c r="K8" s="33"/>
      <c r="L8" s="68"/>
      <c r="M8" s="78"/>
      <c r="N8" s="78"/>
      <c r="O8" s="78"/>
      <c r="P8" s="78"/>
      <c r="Q8" s="33"/>
      <c r="R8" s="33"/>
      <c r="S8" s="33"/>
      <c r="T8" s="33"/>
      <c r="U8" s="33"/>
      <c r="V8" s="33">
        <f>+'Pi''s Calc'!V26*'UR Tax Calculation'!V6</f>
        <v>29575.243780328521</v>
      </c>
      <c r="W8" s="33">
        <f>+'Pi''s Calc'!W26*'UR Tax Calculation'!W6</f>
        <v>32485.101769010387</v>
      </c>
      <c r="X8" s="33">
        <f>+'Pi''s Calc'!X26*'UR Tax Calculation'!X6</f>
        <v>35198.123126671184</v>
      </c>
      <c r="Y8" s="33">
        <f>+'Pi''s Calc'!Y26*'UR Tax Calculation'!Y6</f>
        <v>38154.323687054144</v>
      </c>
      <c r="Z8" s="33">
        <f>+'Pi''s Calc'!Z26*'UR Tax Calculation'!Z6</f>
        <v>40423.294268837293</v>
      </c>
      <c r="AA8" s="33">
        <f>+'Pi''s Calc'!AA26*'UR Tax Calculation'!AA6</f>
        <v>42700.512144266868</v>
      </c>
      <c r="AB8" s="33">
        <f>+'Pi''s Calc'!AB26*'UR Tax Calculation'!AB6</f>
        <v>44397.198589276122</v>
      </c>
      <c r="AC8" s="33">
        <f>+'Pi''s Calc'!AC26*'UR Tax Calculation'!AC6</f>
        <v>45985.762594029839</v>
      </c>
      <c r="AD8" s="33">
        <f>+'Pi''s Calc'!AD26*'UR Tax Calculation'!AD6</f>
        <v>47552.904165880587</v>
      </c>
      <c r="AE8" s="33">
        <f>+'Pi''s Calc'!AE26*'UR Tax Calculation'!AE6</f>
        <v>49098.557482388329</v>
      </c>
      <c r="AF8" s="33">
        <f>+'Pi''s Calc'!AF26*'UR Tax Calculation'!AF6</f>
        <v>50622.730977252948</v>
      </c>
      <c r="AG8" s="33">
        <f>+'Pi''s Calc'!AG26*'UR Tax Calculation'!AG6</f>
        <v>52125.655465828677</v>
      </c>
      <c r="AH8" s="33">
        <f>+'Pi''s Calc'!AH26*'UR Tax Calculation'!AH6</f>
        <v>53607.394868743795</v>
      </c>
      <c r="AI8" s="33">
        <f>+'Pi''s Calc'!AI26*'UR Tax Calculation'!AI6</f>
        <v>55067.888419748575</v>
      </c>
      <c r="AJ8" s="33">
        <f>+'Pi''s Calc'!AJ26*'UR Tax Calculation'!AJ6</f>
        <v>56506.981349408852</v>
      </c>
      <c r="AK8" s="33">
        <f>+'Pi''s Calc'!AK26*'UR Tax Calculation'!AK6</f>
        <v>57924.382128823498</v>
      </c>
      <c r="AL8" s="33">
        <f>+'Pi''s Calc'!AL26*'UR Tax Calculation'!AL6</f>
        <v>59319.922574756725</v>
      </c>
      <c r="AM8" s="33">
        <f>+'Pi''s Calc'!AM26*'UR Tax Calculation'!AM6</f>
        <v>60693.445826324787</v>
      </c>
      <c r="AN8" s="33">
        <f>+'Pi''s Calc'!AN26*'UR Tax Calculation'!AN6</f>
        <v>62044.53479869396</v>
      </c>
      <c r="AO8" s="33">
        <f>+'Pi''s Calc'!AO26*'UR Tax Calculation'!AO6</f>
        <v>63372.890605675471</v>
      </c>
      <c r="AP8" s="33">
        <f>+'Pi''s Calc'!AP26*'UR Tax Calculation'!AP6</f>
        <v>64678.217727881303</v>
      </c>
      <c r="AQ8" s="33">
        <f>+'Pi''s Calc'!AQ26*'UR Tax Calculation'!AQ6</f>
        <v>65959.946896183566</v>
      </c>
      <c r="AR8" s="33">
        <f>+'Pi''s Calc'!AR26*'UR Tax Calculation'!AR6</f>
        <v>67217.502380376623</v>
      </c>
    </row>
    <row r="9" spans="1:44">
      <c r="A9" s="30" t="s">
        <v>63</v>
      </c>
      <c r="B9" s="33"/>
      <c r="C9" s="33"/>
      <c r="D9" s="33"/>
      <c r="E9" s="33"/>
      <c r="F9" s="33"/>
      <c r="G9" s="33"/>
      <c r="H9" s="33"/>
      <c r="I9" s="33"/>
      <c r="J9" s="33"/>
      <c r="K9" s="33"/>
      <c r="L9" s="68"/>
      <c r="M9" s="78"/>
      <c r="N9" s="78"/>
      <c r="O9" s="78"/>
      <c r="P9" s="78"/>
      <c r="Q9" s="33"/>
      <c r="R9" s="33"/>
      <c r="S9" s="33"/>
      <c r="T9" s="33"/>
      <c r="U9" s="33"/>
      <c r="V9" s="33">
        <f>+'Pi''s Calc'!V28*'UR Tax Calculation'!V6</f>
        <v>-9970.9522813743479</v>
      </c>
      <c r="W9" s="33">
        <f>+'Pi''s Calc'!W28*'UR Tax Calculation'!W6</f>
        <v>-10698.426667802029</v>
      </c>
      <c r="X9" s="33">
        <f>+'Pi''s Calc'!X28*'UR Tax Calculation'!X6</f>
        <v>-11420.298053368353</v>
      </c>
      <c r="Y9" s="33">
        <f>+'Pi''s Calc'!Y28*'UR Tax Calculation'!Y6</f>
        <v>-12147.169117835067</v>
      </c>
      <c r="Z9" s="33">
        <f>+'Pi''s Calc'!Z28*'UR Tax Calculation'!Z6</f>
        <v>-12475.358025919799</v>
      </c>
      <c r="AA9" s="33">
        <f>+'Pi''s Calc'!AA28*'UR Tax Calculation'!AA6</f>
        <v>-12889.162708326181</v>
      </c>
      <c r="AB9" s="33">
        <f>+'Pi''s Calc'!AB28*'UR Tax Calculation'!AB6</f>
        <v>-13357.431994462657</v>
      </c>
      <c r="AC9" s="33">
        <f>+'Pi''s Calc'!AC28*'UR Tax Calculation'!AC6</f>
        <v>-13875.022023740701</v>
      </c>
      <c r="AD9" s="33">
        <f>+'Pi''s Calc'!AD28*'UR Tax Calculation'!AD6</f>
        <v>-14398.646013465188</v>
      </c>
      <c r="AE9" s="33">
        <f>+'Pi''s Calc'!AE28*'UR Tax Calculation'!AE6</f>
        <v>-14929.768632075082</v>
      </c>
      <c r="AF9" s="33">
        <f>+'Pi''s Calc'!AF28*'UR Tax Calculation'!AF6</f>
        <v>-15467.485816360302</v>
      </c>
      <c r="AG9" s="33">
        <f>+'Pi''s Calc'!AG28*'UR Tax Calculation'!AG6</f>
        <v>-16014.135014828986</v>
      </c>
      <c r="AH9" s="33">
        <f>+'Pi''s Calc'!AH28*'UR Tax Calculation'!AH6</f>
        <v>-16568.708263195251</v>
      </c>
      <c r="AI9" s="33">
        <f>+'Pi''s Calc'!AI28*'UR Tax Calculation'!AI6</f>
        <v>-17132.694317013495</v>
      </c>
      <c r="AJ9" s="33">
        <f>+'Pi''s Calc'!AJ28*'UR Tax Calculation'!AJ6</f>
        <v>-17705.802527431541</v>
      </c>
      <c r="AK9" s="33">
        <f>+'Pi''s Calc'!AK28*'UR Tax Calculation'!AK6</f>
        <v>-18288.674189091711</v>
      </c>
      <c r="AL9" s="33">
        <f>+'Pi''s Calc'!AL28*'UR Tax Calculation'!AL6</f>
        <v>-18881.956100844138</v>
      </c>
      <c r="AM9" s="33">
        <f>+'Pi''s Calc'!AM28*'UR Tax Calculation'!AM6</f>
        <v>-19486.230332331848</v>
      </c>
      <c r="AN9" s="33">
        <f>+'Pi''s Calc'!AN28*'UR Tax Calculation'!AN6</f>
        <v>-20101.1349174565</v>
      </c>
      <c r="AO9" s="33">
        <f>+'Pi''s Calc'!AO28*'UR Tax Calculation'!AO6</f>
        <v>-20728.324360979019</v>
      </c>
      <c r="AP9" s="33">
        <f>+'Pi''s Calc'!AP28*'UR Tax Calculation'!AP6</f>
        <v>-21367.318760164042</v>
      </c>
      <c r="AQ9" s="33">
        <f>+'Pi''s Calc'!AQ28*'UR Tax Calculation'!AQ6</f>
        <v>-22018.674665556155</v>
      </c>
      <c r="AR9" s="33">
        <f>+'Pi''s Calc'!AR28*'UR Tax Calculation'!AR6</f>
        <v>-22687.135380882966</v>
      </c>
    </row>
    <row r="10" spans="1:44">
      <c r="A10" s="30" t="s">
        <v>64</v>
      </c>
      <c r="B10" s="33"/>
      <c r="C10" s="33"/>
      <c r="D10" s="33"/>
      <c r="E10" s="33"/>
      <c r="F10" s="33"/>
      <c r="G10" s="33"/>
      <c r="H10" s="33"/>
      <c r="I10" s="33"/>
      <c r="J10" s="33"/>
      <c r="K10" s="33"/>
      <c r="L10" s="68"/>
      <c r="M10" s="78"/>
      <c r="N10" s="78"/>
      <c r="O10" s="78"/>
      <c r="P10" s="78"/>
      <c r="Q10" s="33"/>
      <c r="R10" s="33"/>
      <c r="S10" s="33"/>
      <c r="T10" s="33"/>
      <c r="U10" s="33"/>
      <c r="V10" s="33">
        <f>-Financeability!V24</f>
        <v>-5070.3255354709836</v>
      </c>
      <c r="W10" s="33">
        <f>-Financeability!W24</f>
        <v>-5262.5211948089209</v>
      </c>
      <c r="X10" s="33">
        <f>-Financeability!X24</f>
        <v>-8552.0712035663928</v>
      </c>
      <c r="Y10" s="33">
        <f>-Financeability!Y24</f>
        <v>-12028.289533740841</v>
      </c>
      <c r="Z10" s="33">
        <f>-Financeability!Z24</f>
        <v>-12358.039694528605</v>
      </c>
      <c r="AA10" s="33">
        <f>-Financeability!AA24</f>
        <v>-12636.5418762804</v>
      </c>
      <c r="AB10" s="33">
        <f>-Financeability!AB24</f>
        <v>-12937.897642530075</v>
      </c>
      <c r="AC10" s="33">
        <f>-Financeability!AC24</f>
        <v>-13169.342034302212</v>
      </c>
      <c r="AD10" s="33">
        <f>-Financeability!AD24</f>
        <v>-13276.997173861788</v>
      </c>
      <c r="AE10" s="33">
        <f>-Financeability!AE24</f>
        <v>-13361.446380432728</v>
      </c>
      <c r="AF10" s="33">
        <f>-Financeability!AF24</f>
        <v>-13413.742586063774</v>
      </c>
      <c r="AG10" s="33">
        <f>-Financeability!AG24</f>
        <v>-13428.755038800766</v>
      </c>
      <c r="AH10" s="33">
        <f>-Financeability!AH24</f>
        <v>-13405.041961688206</v>
      </c>
      <c r="AI10" s="33">
        <f>-Financeability!AI24</f>
        <v>-13342.779822731354</v>
      </c>
      <c r="AJ10" s="33">
        <f>-Financeability!AJ24</f>
        <v>-13247.333849460718</v>
      </c>
      <c r="AK10" s="33">
        <f>-Financeability!AK24</f>
        <v>-13117.930815050941</v>
      </c>
      <c r="AL10" s="33">
        <f>-Financeability!AL24</f>
        <v>-12955.555762827369</v>
      </c>
      <c r="AM10" s="33">
        <f>-Financeability!AM24</f>
        <v>-12751.57903704055</v>
      </c>
      <c r="AN10" s="33">
        <f>-Financeability!AN24</f>
        <v>-12498.700036603319</v>
      </c>
      <c r="AO10" s="33">
        <f>-Financeability!AO24</f>
        <v>-12202.120679756128</v>
      </c>
      <c r="AP10" s="33">
        <f>-Financeability!AP24</f>
        <v>-11853.266592473516</v>
      </c>
      <c r="AQ10" s="33">
        <f>-Financeability!AQ24</f>
        <v>-11453.643278416854</v>
      </c>
      <c r="AR10" s="33">
        <f>-Financeability!AR24</f>
        <v>-11005.55704189567</v>
      </c>
    </row>
    <row r="11" spans="1:44">
      <c r="A11" s="30" t="s">
        <v>65</v>
      </c>
      <c r="B11" s="33"/>
      <c r="C11" s="33"/>
      <c r="D11" s="33"/>
      <c r="E11" s="33"/>
      <c r="F11" s="33"/>
      <c r="G11" s="33"/>
      <c r="H11" s="33"/>
      <c r="I11" s="33"/>
      <c r="J11" s="33"/>
      <c r="K11" s="33"/>
      <c r="L11" s="68"/>
      <c r="M11" s="78"/>
      <c r="N11" s="78"/>
      <c r="O11" s="33"/>
      <c r="P11" s="33"/>
      <c r="Q11" s="33"/>
      <c r="R11" s="33"/>
      <c r="S11" s="33"/>
      <c r="T11" s="33"/>
      <c r="U11" s="33"/>
      <c r="V11" s="33">
        <f>-V79</f>
        <v>-9925.7995048208704</v>
      </c>
      <c r="W11" s="33">
        <f t="shared" ref="W11:AA11" si="0">-W79</f>
        <v>-9746.9681550058976</v>
      </c>
      <c r="X11" s="33">
        <f t="shared" si="0"/>
        <v>-9769.2203624941812</v>
      </c>
      <c r="Y11" s="33">
        <f t="shared" si="0"/>
        <v>-9834.8811863841038</v>
      </c>
      <c r="Z11" s="33">
        <f t="shared" si="0"/>
        <v>-9877.4503999422195</v>
      </c>
      <c r="AA11" s="33">
        <f t="shared" si="0"/>
        <v>-9937.0832460276451</v>
      </c>
      <c r="AB11" s="33">
        <f t="shared" ref="AB11:AN11" si="1">-AB79</f>
        <v>-10201.122933134799</v>
      </c>
      <c r="AC11" s="33">
        <f t="shared" si="1"/>
        <v>-10066.112119790843</v>
      </c>
      <c r="AD11" s="33">
        <f t="shared" si="1"/>
        <v>-9969.3893607388545</v>
      </c>
      <c r="AE11" s="33">
        <f t="shared" si="1"/>
        <v>-9898.0041235586796</v>
      </c>
      <c r="AF11" s="33">
        <f t="shared" si="1"/>
        <v>-9827.1301971662142</v>
      </c>
      <c r="AG11" s="33">
        <f t="shared" si="1"/>
        <v>-9764.0649260078862</v>
      </c>
      <c r="AH11" s="33">
        <f t="shared" si="1"/>
        <v>-9700.4982571972305</v>
      </c>
      <c r="AI11" s="33">
        <f t="shared" si="1"/>
        <v>-9650.1212742300559</v>
      </c>
      <c r="AJ11" s="33">
        <f t="shared" si="1"/>
        <v>-9622.5575001303914</v>
      </c>
      <c r="AK11" s="33">
        <f t="shared" si="1"/>
        <v>-9605.8634293478608</v>
      </c>
      <c r="AL11" s="33">
        <f t="shared" si="1"/>
        <v>-9616.4470023165777</v>
      </c>
      <c r="AM11" s="33">
        <f t="shared" si="1"/>
        <v>-9607.4263896057455</v>
      </c>
      <c r="AN11" s="33">
        <f t="shared" si="1"/>
        <v>-9605.5005899107982</v>
      </c>
      <c r="AO11" s="33">
        <f t="shared" ref="AO11:AR11" si="2">-AO79</f>
        <v>-9612.280941031675</v>
      </c>
      <c r="AP11" s="33">
        <f t="shared" si="2"/>
        <v>-9600.9025084951572</v>
      </c>
      <c r="AQ11" s="33">
        <f t="shared" si="2"/>
        <v>-9613.8028933438745</v>
      </c>
      <c r="AR11" s="33">
        <f t="shared" si="2"/>
        <v>-9624.4863277870099</v>
      </c>
    </row>
    <row r="12" spans="1:44">
      <c r="A12" s="30" t="s">
        <v>66</v>
      </c>
      <c r="B12" s="33"/>
      <c r="C12" s="33"/>
      <c r="D12" s="33"/>
      <c r="E12" s="33"/>
      <c r="F12" s="33"/>
      <c r="G12" s="33"/>
      <c r="H12" s="33"/>
      <c r="I12" s="33"/>
      <c r="J12" s="33"/>
      <c r="K12" s="33"/>
      <c r="L12" s="68"/>
      <c r="M12" s="78"/>
      <c r="N12" s="78"/>
      <c r="O12" s="78"/>
      <c r="P12" s="78"/>
      <c r="Q12" s="33"/>
      <c r="R12" s="33"/>
      <c r="S12" s="33"/>
      <c r="T12" s="49"/>
      <c r="U12" s="49"/>
      <c r="V12" s="49">
        <f t="shared" ref="V12:AA12" si="3">SUM(V8:V11)</f>
        <v>4608.166458662321</v>
      </c>
      <c r="W12" s="49">
        <f t="shared" si="3"/>
        <v>6777.1857513935411</v>
      </c>
      <c r="X12" s="49">
        <f t="shared" si="3"/>
        <v>5456.5335072422586</v>
      </c>
      <c r="Y12" s="49">
        <f t="shared" si="3"/>
        <v>4143.9838490941329</v>
      </c>
      <c r="Z12" s="49">
        <f t="shared" si="3"/>
        <v>5712.4461484466701</v>
      </c>
      <c r="AA12" s="49">
        <f t="shared" si="3"/>
        <v>7237.7243136326415</v>
      </c>
      <c r="AB12" s="49">
        <f t="shared" ref="AB12:AN12" si="4">SUM(AB8:AB11)</f>
        <v>7900.7460191485934</v>
      </c>
      <c r="AC12" s="49">
        <f t="shared" si="4"/>
        <v>8875.2864161960824</v>
      </c>
      <c r="AD12" s="49">
        <f t="shared" si="4"/>
        <v>9907.871617814757</v>
      </c>
      <c r="AE12" s="49">
        <f t="shared" si="4"/>
        <v>10909.338346321842</v>
      </c>
      <c r="AF12" s="49">
        <f t="shared" si="4"/>
        <v>11914.372377662661</v>
      </c>
      <c r="AG12" s="49">
        <f t="shared" si="4"/>
        <v>12918.700486191039</v>
      </c>
      <c r="AH12" s="49">
        <f t="shared" si="4"/>
        <v>13933.146386663107</v>
      </c>
      <c r="AI12" s="49">
        <f t="shared" si="4"/>
        <v>14942.293005773674</v>
      </c>
      <c r="AJ12" s="49">
        <f t="shared" si="4"/>
        <v>15931.287472386208</v>
      </c>
      <c r="AK12" s="49">
        <f t="shared" si="4"/>
        <v>16911.913695332987</v>
      </c>
      <c r="AL12" s="49">
        <f t="shared" si="4"/>
        <v>17865.963708768642</v>
      </c>
      <c r="AM12" s="49">
        <f t="shared" si="4"/>
        <v>18848.210067346641</v>
      </c>
      <c r="AN12" s="49">
        <f t="shared" si="4"/>
        <v>19839.199254723346</v>
      </c>
      <c r="AO12" s="49">
        <f t="shared" ref="AO12:AR12" si="5">SUM(AO8:AO11)</f>
        <v>20830.164623908655</v>
      </c>
      <c r="AP12" s="49">
        <f t="shared" si="5"/>
        <v>21856.729866748592</v>
      </c>
      <c r="AQ12" s="49">
        <f t="shared" si="5"/>
        <v>22873.826058866682</v>
      </c>
      <c r="AR12" s="49">
        <f t="shared" si="5"/>
        <v>23900.323629810977</v>
      </c>
    </row>
    <row r="13" spans="1:44">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c r="A14" s="30" t="s">
        <v>185</v>
      </c>
      <c r="B14" s="33"/>
      <c r="C14" s="33"/>
      <c r="D14" s="33"/>
      <c r="E14" s="33"/>
      <c r="F14" s="33"/>
      <c r="G14" s="33"/>
      <c r="H14" s="33"/>
      <c r="I14" s="33"/>
      <c r="J14" s="33"/>
      <c r="K14" s="33"/>
      <c r="L14" s="33"/>
      <c r="M14" s="33"/>
      <c r="N14" s="33"/>
      <c r="O14" s="33"/>
      <c r="P14" s="33"/>
      <c r="Q14" s="33"/>
      <c r="R14" s="33"/>
      <c r="S14" s="33"/>
      <c r="T14" s="33"/>
      <c r="U14" s="33"/>
      <c r="V14" s="33">
        <f>+Inputs!V102</f>
        <v>5000</v>
      </c>
      <c r="W14" s="33">
        <f>+V14</f>
        <v>5000</v>
      </c>
      <c r="X14" s="33">
        <f t="shared" ref="X14:AA14" si="6">+W14</f>
        <v>5000</v>
      </c>
      <c r="Y14" s="33">
        <f t="shared" si="6"/>
        <v>5000</v>
      </c>
      <c r="Z14" s="33">
        <f t="shared" si="6"/>
        <v>5000</v>
      </c>
      <c r="AA14" s="33">
        <f t="shared" si="6"/>
        <v>5000</v>
      </c>
      <c r="AB14" s="33">
        <f t="shared" ref="AB14" si="7">+AA14</f>
        <v>5000</v>
      </c>
      <c r="AC14" s="33">
        <f t="shared" ref="AC14" si="8">+AB14</f>
        <v>5000</v>
      </c>
      <c r="AD14" s="33">
        <f t="shared" ref="AD14" si="9">+AC14</f>
        <v>5000</v>
      </c>
      <c r="AE14" s="33">
        <f t="shared" ref="AE14" si="10">+AD14</f>
        <v>5000</v>
      </c>
      <c r="AF14" s="33">
        <f t="shared" ref="AF14" si="11">+AE14</f>
        <v>5000</v>
      </c>
      <c r="AG14" s="33">
        <f t="shared" ref="AG14" si="12">+AF14</f>
        <v>5000</v>
      </c>
      <c r="AH14" s="33">
        <f t="shared" ref="AH14" si="13">+AG14</f>
        <v>5000</v>
      </c>
      <c r="AI14" s="33">
        <f t="shared" ref="AI14" si="14">+AH14</f>
        <v>5000</v>
      </c>
      <c r="AJ14" s="33">
        <f t="shared" ref="AJ14" si="15">+AI14</f>
        <v>5000</v>
      </c>
      <c r="AK14" s="33">
        <f t="shared" ref="AK14" si="16">+AJ14</f>
        <v>5000</v>
      </c>
      <c r="AL14" s="33">
        <f t="shared" ref="AL14" si="17">+AK14</f>
        <v>5000</v>
      </c>
      <c r="AM14" s="33">
        <f t="shared" ref="AM14" si="18">+AL14</f>
        <v>5000</v>
      </c>
      <c r="AN14" s="33">
        <f t="shared" ref="AN14" si="19">+AM14</f>
        <v>5000</v>
      </c>
      <c r="AO14" s="33">
        <f t="shared" ref="AO14" si="20">+AN14</f>
        <v>5000</v>
      </c>
      <c r="AP14" s="33">
        <f t="shared" ref="AP14" si="21">+AO14</f>
        <v>5000</v>
      </c>
      <c r="AQ14" s="33">
        <f t="shared" ref="AQ14" si="22">+AP14</f>
        <v>5000</v>
      </c>
      <c r="AR14" s="33">
        <f t="shared" ref="AR14" si="23">+AQ14</f>
        <v>5000</v>
      </c>
    </row>
    <row r="15" spans="1:44">
      <c r="A15" s="30" t="s">
        <v>186</v>
      </c>
      <c r="B15" s="33"/>
      <c r="C15" s="33"/>
      <c r="D15" s="33"/>
      <c r="E15" s="33"/>
      <c r="F15" s="33"/>
      <c r="G15" s="33"/>
      <c r="H15" s="33"/>
      <c r="I15" s="33"/>
      <c r="J15" s="33"/>
      <c r="K15" s="33"/>
      <c r="L15" s="33"/>
      <c r="M15" s="33"/>
      <c r="N15" s="33"/>
      <c r="O15" s="33"/>
      <c r="P15" s="33"/>
      <c r="Q15" s="33"/>
      <c r="R15" s="33"/>
      <c r="S15" s="33"/>
      <c r="T15" s="33"/>
      <c r="U15" s="33"/>
      <c r="V15" s="33">
        <f>IF(V19&gt;=0,0,IF(V12&lt;0,0,IF(V12-V14&lt;0,0,(V12-V14)*50%)))</f>
        <v>0</v>
      </c>
      <c r="W15" s="33">
        <f t="shared" ref="W15:AA15" si="24">IF(W19&gt;=0,0,IF(W12&lt;0,0,IF(W12-W14&lt;0,0,(W12-W14)*50%)))</f>
        <v>0</v>
      </c>
      <c r="X15" s="33">
        <f t="shared" si="24"/>
        <v>0</v>
      </c>
      <c r="Y15" s="33">
        <f t="shared" si="24"/>
        <v>0</v>
      </c>
      <c r="Z15" s="33">
        <f t="shared" si="24"/>
        <v>0</v>
      </c>
      <c r="AA15" s="33">
        <f t="shared" si="24"/>
        <v>0</v>
      </c>
      <c r="AB15" s="33">
        <f t="shared" ref="AB15:AN15" si="25">IF(AB19&gt;=0,0,IF(AB12&lt;0,0,IF(AB12-AB14&lt;0,0,(AB12-AB14)*50%)))</f>
        <v>0</v>
      </c>
      <c r="AC15" s="33">
        <f t="shared" si="25"/>
        <v>0</v>
      </c>
      <c r="AD15" s="33">
        <f t="shared" si="25"/>
        <v>0</v>
      </c>
      <c r="AE15" s="33">
        <f t="shared" si="25"/>
        <v>0</v>
      </c>
      <c r="AF15" s="33">
        <f t="shared" si="25"/>
        <v>0</v>
      </c>
      <c r="AG15" s="33">
        <f t="shared" si="25"/>
        <v>0</v>
      </c>
      <c r="AH15" s="33">
        <f t="shared" si="25"/>
        <v>0</v>
      </c>
      <c r="AI15" s="33">
        <f t="shared" si="25"/>
        <v>0</v>
      </c>
      <c r="AJ15" s="33">
        <f t="shared" si="25"/>
        <v>0</v>
      </c>
      <c r="AK15" s="33">
        <f t="shared" si="25"/>
        <v>0</v>
      </c>
      <c r="AL15" s="33">
        <f t="shared" si="25"/>
        <v>0</v>
      </c>
      <c r="AM15" s="33">
        <f t="shared" si="25"/>
        <v>0</v>
      </c>
      <c r="AN15" s="33">
        <f t="shared" si="25"/>
        <v>0</v>
      </c>
      <c r="AO15" s="33">
        <f t="shared" ref="AO15:AR15" si="26">IF(AO19&gt;=0,0,IF(AO12&lt;0,0,IF(AO12-AO14&lt;0,0,(AO12-AO14)*50%)))</f>
        <v>0</v>
      </c>
      <c r="AP15" s="33">
        <f t="shared" si="26"/>
        <v>0</v>
      </c>
      <c r="AQ15" s="33">
        <f t="shared" si="26"/>
        <v>0</v>
      </c>
      <c r="AR15" s="33">
        <f t="shared" si="26"/>
        <v>0</v>
      </c>
    </row>
    <row r="16" spans="1:44">
      <c r="A16" s="30" t="s">
        <v>187</v>
      </c>
      <c r="B16" s="33"/>
      <c r="C16" s="33"/>
      <c r="D16" s="33"/>
      <c r="E16" s="33"/>
      <c r="F16" s="33"/>
      <c r="G16" s="33"/>
      <c r="H16" s="33"/>
      <c r="I16" s="33"/>
      <c r="J16" s="33"/>
      <c r="K16" s="33"/>
      <c r="L16" s="33"/>
      <c r="M16" s="33"/>
      <c r="N16" s="33"/>
      <c r="O16" s="33"/>
      <c r="P16" s="33"/>
      <c r="Q16" s="33"/>
      <c r="R16" s="33"/>
      <c r="S16" s="33"/>
      <c r="T16" s="33"/>
      <c r="U16" s="33"/>
      <c r="V16" s="33">
        <f>IF(V19&gt;=0,0,IF(V12&lt;0,0,IF(V12-V14&lt;0,V12,SUM(V14:V15))))</f>
        <v>0</v>
      </c>
      <c r="W16" s="33">
        <f t="shared" ref="W16:AA16" si="27">IF(W19&gt;=0,0,IF(W12&lt;0,0,IF(W12-W14&lt;0,W12,SUM(W14:W15))))</f>
        <v>0</v>
      </c>
      <c r="X16" s="33">
        <f t="shared" si="27"/>
        <v>0</v>
      </c>
      <c r="Y16" s="33">
        <f t="shared" si="27"/>
        <v>0</v>
      </c>
      <c r="Z16" s="33">
        <f t="shared" si="27"/>
        <v>0</v>
      </c>
      <c r="AA16" s="33">
        <f t="shared" si="27"/>
        <v>0</v>
      </c>
      <c r="AB16" s="33">
        <f t="shared" ref="AB16:AN16" si="28">IF(AB19&gt;=0,0,IF(AB12&lt;0,0,IF(AB12-AB14&lt;0,AB12,SUM(AB14:AB15))))</f>
        <v>0</v>
      </c>
      <c r="AC16" s="33">
        <f t="shared" si="28"/>
        <v>0</v>
      </c>
      <c r="AD16" s="33">
        <f t="shared" si="28"/>
        <v>0</v>
      </c>
      <c r="AE16" s="33">
        <f t="shared" si="28"/>
        <v>0</v>
      </c>
      <c r="AF16" s="33">
        <f t="shared" si="28"/>
        <v>0</v>
      </c>
      <c r="AG16" s="33">
        <f t="shared" si="28"/>
        <v>0</v>
      </c>
      <c r="AH16" s="33">
        <f t="shared" si="28"/>
        <v>0</v>
      </c>
      <c r="AI16" s="33">
        <f t="shared" si="28"/>
        <v>0</v>
      </c>
      <c r="AJ16" s="33">
        <f t="shared" si="28"/>
        <v>0</v>
      </c>
      <c r="AK16" s="33">
        <f t="shared" si="28"/>
        <v>0</v>
      </c>
      <c r="AL16" s="33">
        <f t="shared" si="28"/>
        <v>0</v>
      </c>
      <c r="AM16" s="33">
        <f t="shared" si="28"/>
        <v>0</v>
      </c>
      <c r="AN16" s="33">
        <f t="shared" si="28"/>
        <v>0</v>
      </c>
      <c r="AO16" s="33">
        <f t="shared" ref="AO16:AR16" si="29">IF(AO19&gt;=0,0,IF(AO12&lt;0,0,IF(AO12-AO14&lt;0,AO12,SUM(AO14:AO15))))</f>
        <v>0</v>
      </c>
      <c r="AP16" s="33">
        <f t="shared" si="29"/>
        <v>0</v>
      </c>
      <c r="AQ16" s="33">
        <f t="shared" si="29"/>
        <v>0</v>
      </c>
      <c r="AR16" s="33">
        <f t="shared" si="29"/>
        <v>0</v>
      </c>
    </row>
    <row r="17" spans="1:44">
      <c r="B17" s="33"/>
      <c r="C17" s="33"/>
      <c r="D17" s="33"/>
      <c r="E17" s="33"/>
      <c r="F17" s="33"/>
      <c r="G17" s="33"/>
      <c r="H17" s="33"/>
      <c r="I17" s="33"/>
      <c r="J17" s="33"/>
      <c r="K17" s="33"/>
      <c r="L17" s="68"/>
      <c r="M17" s="78"/>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c r="A18" s="1" t="s">
        <v>26</v>
      </c>
      <c r="B18" s="74"/>
      <c r="C18" s="74"/>
      <c r="D18" s="75"/>
      <c r="E18" s="75"/>
      <c r="F18" s="75"/>
      <c r="G18" s="75"/>
      <c r="H18" s="75"/>
      <c r="I18" s="75"/>
      <c r="J18" s="75"/>
      <c r="K18" s="75"/>
      <c r="L18" s="75"/>
      <c r="M18" s="75"/>
      <c r="N18" s="75"/>
      <c r="O18" s="75"/>
      <c r="P18" s="75"/>
      <c r="Q18" s="75"/>
      <c r="R18" s="75"/>
      <c r="S18" s="75"/>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c r="A19" s="1" t="s">
        <v>86</v>
      </c>
      <c r="B19" s="74"/>
      <c r="C19" s="74"/>
      <c r="D19" s="75"/>
      <c r="E19" s="75"/>
      <c r="F19" s="75"/>
      <c r="G19" s="75"/>
      <c r="H19" s="75"/>
      <c r="I19" s="75"/>
      <c r="J19" s="75"/>
      <c r="K19" s="75"/>
      <c r="L19" s="75"/>
      <c r="M19" s="75"/>
      <c r="N19" s="75"/>
      <c r="O19" s="75"/>
      <c r="P19" s="75"/>
      <c r="Q19" s="75"/>
      <c r="R19" s="75"/>
      <c r="S19" s="75"/>
      <c r="T19" s="33"/>
      <c r="U19" s="33"/>
      <c r="V19" s="33">
        <f>Inputs!T99</f>
        <v>0</v>
      </c>
      <c r="W19" s="33">
        <f>IF(V22&lt;0,V22,0)</f>
        <v>0</v>
      </c>
      <c r="X19" s="33">
        <f>IF(W22&lt;0,W22,0)</f>
        <v>0</v>
      </c>
      <c r="Y19" s="33">
        <f>IF(X22&lt;0,X22,0)</f>
        <v>0</v>
      </c>
      <c r="Z19" s="33">
        <f>IF(Y22&lt;0,Y22,0)</f>
        <v>0</v>
      </c>
      <c r="AA19" s="33">
        <f>IF(Z22&lt;0,Z22,0)</f>
        <v>0</v>
      </c>
      <c r="AB19" s="33">
        <f t="shared" ref="AB19:AN19" si="30">IF(AA22&lt;0,AA22,0)</f>
        <v>0</v>
      </c>
      <c r="AC19" s="33">
        <f t="shared" si="30"/>
        <v>0</v>
      </c>
      <c r="AD19" s="33">
        <f t="shared" si="30"/>
        <v>0</v>
      </c>
      <c r="AE19" s="33">
        <f t="shared" si="30"/>
        <v>0</v>
      </c>
      <c r="AF19" s="33">
        <f t="shared" si="30"/>
        <v>0</v>
      </c>
      <c r="AG19" s="33">
        <f t="shared" si="30"/>
        <v>0</v>
      </c>
      <c r="AH19" s="33">
        <f t="shared" si="30"/>
        <v>0</v>
      </c>
      <c r="AI19" s="33">
        <f t="shared" si="30"/>
        <v>0</v>
      </c>
      <c r="AJ19" s="33">
        <f t="shared" si="30"/>
        <v>0</v>
      </c>
      <c r="AK19" s="33">
        <f t="shared" si="30"/>
        <v>0</v>
      </c>
      <c r="AL19" s="33">
        <f t="shared" si="30"/>
        <v>0</v>
      </c>
      <c r="AM19" s="33">
        <f t="shared" si="30"/>
        <v>0</v>
      </c>
      <c r="AN19" s="33">
        <f t="shared" si="30"/>
        <v>0</v>
      </c>
      <c r="AO19" s="33">
        <f t="shared" ref="AO19:AR19" si="31">IF(AN22&lt;0,AN22,0)</f>
        <v>0</v>
      </c>
      <c r="AP19" s="33">
        <f t="shared" si="31"/>
        <v>0</v>
      </c>
      <c r="AQ19" s="33">
        <f t="shared" si="31"/>
        <v>0</v>
      </c>
      <c r="AR19" s="33">
        <f t="shared" si="31"/>
        <v>0</v>
      </c>
    </row>
    <row r="20" spans="1:44">
      <c r="A20" s="1" t="s">
        <v>87</v>
      </c>
      <c r="B20" s="74"/>
      <c r="C20" s="74"/>
      <c r="D20" s="75"/>
      <c r="E20" s="75"/>
      <c r="F20" s="75"/>
      <c r="G20" s="75"/>
      <c r="H20" s="75"/>
      <c r="I20" s="75"/>
      <c r="J20" s="75"/>
      <c r="K20" s="75"/>
      <c r="L20" s="75"/>
      <c r="M20" s="75"/>
      <c r="N20" s="75"/>
      <c r="O20" s="75"/>
      <c r="P20" s="75"/>
      <c r="Q20" s="75"/>
      <c r="R20" s="75"/>
      <c r="S20" s="75"/>
      <c r="T20" s="33"/>
      <c r="U20" s="33"/>
      <c r="V20" s="33">
        <f>IF((V19*-1)&lt;V16,V19*-1,V16)</f>
        <v>0</v>
      </c>
      <c r="W20" s="33">
        <f t="shared" ref="W20:AA20" si="32">IF((W19*-1)&lt;W16,W19*-1,W16)</f>
        <v>0</v>
      </c>
      <c r="X20" s="33">
        <f t="shared" si="32"/>
        <v>0</v>
      </c>
      <c r="Y20" s="33">
        <f t="shared" si="32"/>
        <v>0</v>
      </c>
      <c r="Z20" s="33">
        <f t="shared" si="32"/>
        <v>0</v>
      </c>
      <c r="AA20" s="33">
        <f t="shared" si="32"/>
        <v>0</v>
      </c>
      <c r="AB20" s="33">
        <f t="shared" ref="AB20:AN20" si="33">IF((AB19*-1)&lt;AB16,AB19*-1,AB16)</f>
        <v>0</v>
      </c>
      <c r="AC20" s="33">
        <f t="shared" si="33"/>
        <v>0</v>
      </c>
      <c r="AD20" s="33">
        <f t="shared" si="33"/>
        <v>0</v>
      </c>
      <c r="AE20" s="33">
        <f t="shared" si="33"/>
        <v>0</v>
      </c>
      <c r="AF20" s="33">
        <f t="shared" si="33"/>
        <v>0</v>
      </c>
      <c r="AG20" s="33">
        <f t="shared" si="33"/>
        <v>0</v>
      </c>
      <c r="AH20" s="33">
        <f t="shared" si="33"/>
        <v>0</v>
      </c>
      <c r="AI20" s="33">
        <f t="shared" si="33"/>
        <v>0</v>
      </c>
      <c r="AJ20" s="33">
        <f t="shared" si="33"/>
        <v>0</v>
      </c>
      <c r="AK20" s="33">
        <f t="shared" si="33"/>
        <v>0</v>
      </c>
      <c r="AL20" s="33">
        <f t="shared" si="33"/>
        <v>0</v>
      </c>
      <c r="AM20" s="33">
        <f t="shared" si="33"/>
        <v>0</v>
      </c>
      <c r="AN20" s="33">
        <f t="shared" si="33"/>
        <v>0</v>
      </c>
      <c r="AO20" s="33">
        <f t="shared" ref="AO20:AR20" si="34">IF((AO19*-1)&lt;AO16,AO19*-1,AO16)</f>
        <v>0</v>
      </c>
      <c r="AP20" s="33">
        <f t="shared" si="34"/>
        <v>0</v>
      </c>
      <c r="AQ20" s="33">
        <f t="shared" si="34"/>
        <v>0</v>
      </c>
      <c r="AR20" s="33">
        <f t="shared" si="34"/>
        <v>0</v>
      </c>
    </row>
    <row r="21" spans="1:44">
      <c r="A21" s="1" t="s">
        <v>188</v>
      </c>
      <c r="B21" s="74"/>
      <c r="C21" s="74"/>
      <c r="D21" s="75"/>
      <c r="E21" s="75"/>
      <c r="F21" s="75"/>
      <c r="G21" s="75"/>
      <c r="H21" s="75"/>
      <c r="I21" s="75"/>
      <c r="J21" s="75"/>
      <c r="K21" s="75"/>
      <c r="L21" s="75"/>
      <c r="M21" s="75"/>
      <c r="N21" s="75"/>
      <c r="O21" s="75"/>
      <c r="P21" s="75"/>
      <c r="Q21" s="75"/>
      <c r="R21" s="75"/>
      <c r="S21" s="75"/>
      <c r="T21" s="33"/>
      <c r="U21" s="33"/>
      <c r="V21" s="33">
        <f>IF(V12&gt;0,0,V12)</f>
        <v>0</v>
      </c>
      <c r="W21" s="33">
        <f t="shared" ref="W21:AA21" si="35">IF(W12&gt;0,0,W12)</f>
        <v>0</v>
      </c>
      <c r="X21" s="33">
        <f t="shared" si="35"/>
        <v>0</v>
      </c>
      <c r="Y21" s="33">
        <f t="shared" si="35"/>
        <v>0</v>
      </c>
      <c r="Z21" s="33">
        <f t="shared" si="35"/>
        <v>0</v>
      </c>
      <c r="AA21" s="33">
        <f t="shared" si="35"/>
        <v>0</v>
      </c>
      <c r="AB21" s="33">
        <f t="shared" ref="AB21:AN21" si="36">IF(AB12&gt;0,0,AB12)</f>
        <v>0</v>
      </c>
      <c r="AC21" s="33">
        <f t="shared" si="36"/>
        <v>0</v>
      </c>
      <c r="AD21" s="33">
        <f t="shared" si="36"/>
        <v>0</v>
      </c>
      <c r="AE21" s="33">
        <f t="shared" si="36"/>
        <v>0</v>
      </c>
      <c r="AF21" s="33">
        <f t="shared" si="36"/>
        <v>0</v>
      </c>
      <c r="AG21" s="33">
        <f t="shared" si="36"/>
        <v>0</v>
      </c>
      <c r="AH21" s="33">
        <f t="shared" si="36"/>
        <v>0</v>
      </c>
      <c r="AI21" s="33">
        <f t="shared" si="36"/>
        <v>0</v>
      </c>
      <c r="AJ21" s="33">
        <f t="shared" si="36"/>
        <v>0</v>
      </c>
      <c r="AK21" s="33">
        <f t="shared" si="36"/>
        <v>0</v>
      </c>
      <c r="AL21" s="33">
        <f t="shared" si="36"/>
        <v>0</v>
      </c>
      <c r="AM21" s="33">
        <f t="shared" si="36"/>
        <v>0</v>
      </c>
      <c r="AN21" s="33">
        <f t="shared" si="36"/>
        <v>0</v>
      </c>
      <c r="AO21" s="33">
        <f t="shared" ref="AO21:AR21" si="37">IF(AO12&gt;0,0,AO12)</f>
        <v>0</v>
      </c>
      <c r="AP21" s="33">
        <f t="shared" si="37"/>
        <v>0</v>
      </c>
      <c r="AQ21" s="33">
        <f t="shared" si="37"/>
        <v>0</v>
      </c>
      <c r="AR21" s="33">
        <f t="shared" si="37"/>
        <v>0</v>
      </c>
    </row>
    <row r="22" spans="1:44">
      <c r="A22" s="1" t="s">
        <v>88</v>
      </c>
      <c r="B22" s="74"/>
      <c r="C22" s="74"/>
      <c r="D22" s="75"/>
      <c r="E22" s="75"/>
      <c r="F22" s="75"/>
      <c r="G22" s="75"/>
      <c r="H22" s="75"/>
      <c r="I22" s="75"/>
      <c r="J22" s="75"/>
      <c r="K22" s="75"/>
      <c r="L22" s="75"/>
      <c r="M22" s="75"/>
      <c r="N22" s="75"/>
      <c r="O22" s="75"/>
      <c r="P22" s="75"/>
      <c r="Q22" s="75"/>
      <c r="R22" s="75"/>
      <c r="S22" s="75"/>
      <c r="T22" s="33"/>
      <c r="U22" s="33"/>
      <c r="V22" s="33">
        <f>V19+V20+V21</f>
        <v>0</v>
      </c>
      <c r="W22" s="33">
        <f t="shared" ref="W22:AA22" si="38">W19+W20+W21</f>
        <v>0</v>
      </c>
      <c r="X22" s="33">
        <f t="shared" si="38"/>
        <v>0</v>
      </c>
      <c r="Y22" s="33">
        <f t="shared" si="38"/>
        <v>0</v>
      </c>
      <c r="Z22" s="33">
        <f t="shared" si="38"/>
        <v>0</v>
      </c>
      <c r="AA22" s="33">
        <f t="shared" si="38"/>
        <v>0</v>
      </c>
      <c r="AB22" s="33">
        <f t="shared" ref="AB22:AN22" si="39">AB19+AB20+AB21</f>
        <v>0</v>
      </c>
      <c r="AC22" s="33">
        <f t="shared" si="39"/>
        <v>0</v>
      </c>
      <c r="AD22" s="33">
        <f t="shared" si="39"/>
        <v>0</v>
      </c>
      <c r="AE22" s="33">
        <f t="shared" si="39"/>
        <v>0</v>
      </c>
      <c r="AF22" s="33">
        <f t="shared" si="39"/>
        <v>0</v>
      </c>
      <c r="AG22" s="33">
        <f t="shared" si="39"/>
        <v>0</v>
      </c>
      <c r="AH22" s="33">
        <f t="shared" si="39"/>
        <v>0</v>
      </c>
      <c r="AI22" s="33">
        <f t="shared" si="39"/>
        <v>0</v>
      </c>
      <c r="AJ22" s="33">
        <f t="shared" si="39"/>
        <v>0</v>
      </c>
      <c r="AK22" s="33">
        <f t="shared" si="39"/>
        <v>0</v>
      </c>
      <c r="AL22" s="33">
        <f t="shared" si="39"/>
        <v>0</v>
      </c>
      <c r="AM22" s="33">
        <f t="shared" si="39"/>
        <v>0</v>
      </c>
      <c r="AN22" s="33">
        <f t="shared" si="39"/>
        <v>0</v>
      </c>
      <c r="AO22" s="33">
        <f t="shared" ref="AO22:AR22" si="40">AO19+AO20+AO21</f>
        <v>0</v>
      </c>
      <c r="AP22" s="33">
        <f t="shared" si="40"/>
        <v>0</v>
      </c>
      <c r="AQ22" s="33">
        <f t="shared" si="40"/>
        <v>0</v>
      </c>
      <c r="AR22" s="33">
        <f t="shared" si="40"/>
        <v>0</v>
      </c>
    </row>
    <row r="23" spans="1:44">
      <c r="A23" s="1"/>
      <c r="B23" s="74"/>
      <c r="C23" s="74"/>
      <c r="D23" s="75"/>
      <c r="E23" s="75"/>
      <c r="F23" s="75"/>
      <c r="G23" s="75"/>
      <c r="H23" s="75"/>
      <c r="I23" s="75"/>
      <c r="J23" s="75"/>
      <c r="K23" s="75"/>
      <c r="L23" s="75"/>
      <c r="M23" s="75"/>
      <c r="N23" s="75"/>
      <c r="O23" s="75"/>
      <c r="P23" s="75"/>
      <c r="Q23" s="75"/>
      <c r="R23" s="75"/>
      <c r="S23" s="75"/>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c r="A24" s="1" t="s">
        <v>89</v>
      </c>
      <c r="B24" s="74"/>
      <c r="C24" s="74"/>
      <c r="D24" s="75"/>
      <c r="E24" s="75"/>
      <c r="F24" s="75"/>
      <c r="G24" s="75"/>
      <c r="H24" s="75"/>
      <c r="I24" s="75"/>
      <c r="J24" s="75"/>
      <c r="K24" s="75"/>
      <c r="L24" s="75"/>
      <c r="M24" s="75"/>
      <c r="N24" s="75"/>
      <c r="O24" s="75"/>
      <c r="P24" s="75"/>
      <c r="Q24" s="75"/>
      <c r="R24" s="75"/>
      <c r="S24" s="75"/>
      <c r="T24" s="33"/>
      <c r="U24" s="33"/>
      <c r="V24" s="33">
        <f t="shared" ref="V24:AA24" si="41">IF(V12&gt;0,V12,V12+V16+-V14)</f>
        <v>4608.166458662321</v>
      </c>
      <c r="W24" s="33">
        <f t="shared" si="41"/>
        <v>6777.1857513935411</v>
      </c>
      <c r="X24" s="33">
        <f t="shared" si="41"/>
        <v>5456.5335072422586</v>
      </c>
      <c r="Y24" s="33">
        <f t="shared" si="41"/>
        <v>4143.9838490941329</v>
      </c>
      <c r="Z24" s="33">
        <f t="shared" si="41"/>
        <v>5712.4461484466701</v>
      </c>
      <c r="AA24" s="33">
        <f t="shared" si="41"/>
        <v>7237.7243136326415</v>
      </c>
      <c r="AB24" s="33">
        <f t="shared" ref="AB24:AN24" si="42">IF(AB12&gt;0,AB12,AB12+AB16+-AB14)</f>
        <v>7900.7460191485934</v>
      </c>
      <c r="AC24" s="33">
        <f t="shared" si="42"/>
        <v>8875.2864161960824</v>
      </c>
      <c r="AD24" s="33">
        <f t="shared" si="42"/>
        <v>9907.871617814757</v>
      </c>
      <c r="AE24" s="33">
        <f t="shared" si="42"/>
        <v>10909.338346321842</v>
      </c>
      <c r="AF24" s="33">
        <f t="shared" si="42"/>
        <v>11914.372377662661</v>
      </c>
      <c r="AG24" s="33">
        <f t="shared" si="42"/>
        <v>12918.700486191039</v>
      </c>
      <c r="AH24" s="33">
        <f t="shared" si="42"/>
        <v>13933.146386663107</v>
      </c>
      <c r="AI24" s="33">
        <f t="shared" si="42"/>
        <v>14942.293005773674</v>
      </c>
      <c r="AJ24" s="33">
        <f t="shared" si="42"/>
        <v>15931.287472386208</v>
      </c>
      <c r="AK24" s="33">
        <f t="shared" si="42"/>
        <v>16911.913695332987</v>
      </c>
      <c r="AL24" s="33">
        <f t="shared" si="42"/>
        <v>17865.963708768642</v>
      </c>
      <c r="AM24" s="33">
        <f t="shared" si="42"/>
        <v>18848.210067346641</v>
      </c>
      <c r="AN24" s="33">
        <f t="shared" si="42"/>
        <v>19839.199254723346</v>
      </c>
      <c r="AO24" s="33">
        <f t="shared" ref="AO24:AR24" si="43">IF(AO12&gt;0,AO12,AO12+AO16+-AO14)</f>
        <v>20830.164623908655</v>
      </c>
      <c r="AP24" s="33">
        <f t="shared" si="43"/>
        <v>21856.729866748592</v>
      </c>
      <c r="AQ24" s="33">
        <f t="shared" si="43"/>
        <v>22873.826058866682</v>
      </c>
      <c r="AR24" s="33">
        <f t="shared" si="43"/>
        <v>23900.323629810977</v>
      </c>
    </row>
    <row r="25" spans="1:44">
      <c r="A25" s="1" t="s">
        <v>24</v>
      </c>
      <c r="B25" s="74"/>
      <c r="C25" s="74"/>
      <c r="D25" s="75"/>
      <c r="E25" s="75"/>
      <c r="F25" s="75"/>
      <c r="G25" s="75"/>
      <c r="H25" s="75"/>
      <c r="I25" s="75"/>
      <c r="J25" s="75"/>
      <c r="K25" s="75"/>
      <c r="L25" s="75"/>
      <c r="M25" s="75"/>
      <c r="N25" s="75"/>
      <c r="O25" s="75"/>
      <c r="P25" s="75"/>
      <c r="Q25" s="75"/>
      <c r="R25" s="75"/>
      <c r="S25" s="75"/>
      <c r="T25" s="33"/>
      <c r="U25" s="33"/>
      <c r="V25" s="33">
        <f>V24*Inputs!V101</f>
        <v>875.55162714584105</v>
      </c>
      <c r="W25" s="33">
        <f>W24*Inputs!W101</f>
        <v>1287.6652927647729</v>
      </c>
      <c r="X25" s="33">
        <f>X24*Inputs!X101</f>
        <v>1036.7413663760292</v>
      </c>
      <c r="Y25" s="33">
        <f>Y24*Inputs!Y101</f>
        <v>787.35693132788526</v>
      </c>
      <c r="Z25" s="33">
        <f>Z24*Inputs!Z101</f>
        <v>1085.3647682048672</v>
      </c>
      <c r="AA25" s="33">
        <f>AA24*Inputs!AA101</f>
        <v>1375.1676195902019</v>
      </c>
      <c r="AB25" s="33">
        <f>AB24*Inputs!AB101</f>
        <v>1501.1417436382328</v>
      </c>
      <c r="AC25" s="33">
        <f>AC24*Inputs!AC101</f>
        <v>1686.3044190772557</v>
      </c>
      <c r="AD25" s="33">
        <f>AD24*Inputs!AD101</f>
        <v>1882.4956073848039</v>
      </c>
      <c r="AE25" s="33">
        <f>AE24*Inputs!AE101</f>
        <v>2072.7742858011497</v>
      </c>
      <c r="AF25" s="33">
        <f>AF24*Inputs!AF101</f>
        <v>2263.7307517559057</v>
      </c>
      <c r="AG25" s="33">
        <f>AG24*Inputs!AG101</f>
        <v>2454.5530923762976</v>
      </c>
      <c r="AH25" s="33">
        <f>AH24*Inputs!AH101</f>
        <v>2647.2978134659907</v>
      </c>
      <c r="AI25" s="33">
        <f>AI24*Inputs!AI101</f>
        <v>2839.0356710969982</v>
      </c>
      <c r="AJ25" s="33">
        <f>AJ24*Inputs!AJ101</f>
        <v>3026.9446197533794</v>
      </c>
      <c r="AK25" s="33">
        <f>AK24*Inputs!AK101</f>
        <v>3213.2636021132676</v>
      </c>
      <c r="AL25" s="33">
        <f>AL24*Inputs!AL101</f>
        <v>3394.5331046660422</v>
      </c>
      <c r="AM25" s="33">
        <f>AM24*Inputs!AM101</f>
        <v>3581.1599127958621</v>
      </c>
      <c r="AN25" s="33">
        <f>AN24*Inputs!AN101</f>
        <v>3769.4478583974355</v>
      </c>
      <c r="AO25" s="33">
        <f>AO24*Inputs!AO101</f>
        <v>3957.7312785426443</v>
      </c>
      <c r="AP25" s="33">
        <f>AP24*Inputs!AP101</f>
        <v>4152.7786746822321</v>
      </c>
      <c r="AQ25" s="33">
        <f>AQ24*Inputs!AQ101</f>
        <v>4346.02695118467</v>
      </c>
      <c r="AR25" s="33">
        <f>AR24*Inputs!AR101</f>
        <v>4541.0614896640855</v>
      </c>
    </row>
    <row r="26" spans="1:4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c r="A27" s="23" t="s">
        <v>67</v>
      </c>
      <c r="B27" s="75"/>
      <c r="C27" s="74"/>
      <c r="D27" s="74"/>
      <c r="E27" s="75"/>
      <c r="F27" s="75"/>
      <c r="G27" s="75"/>
      <c r="H27" s="75"/>
      <c r="I27" s="75"/>
      <c r="J27" s="75"/>
      <c r="K27" s="75"/>
      <c r="L27" s="75"/>
      <c r="M27" s="75"/>
      <c r="N27" s="75"/>
      <c r="O27" s="75"/>
      <c r="P27" s="75"/>
      <c r="Q27" s="75"/>
      <c r="R27" s="75"/>
      <c r="S27" s="75"/>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c r="A28" s="1" t="s">
        <v>68</v>
      </c>
      <c r="B28" s="74"/>
      <c r="C28" s="74"/>
      <c r="D28" s="75"/>
      <c r="E28" s="75"/>
      <c r="F28" s="75"/>
      <c r="G28" s="75"/>
      <c r="H28" s="75"/>
      <c r="I28" s="75"/>
      <c r="J28" s="75"/>
      <c r="K28" s="75"/>
      <c r="L28" s="79"/>
      <c r="M28" s="79"/>
      <c r="N28" s="79"/>
      <c r="O28" s="79"/>
      <c r="P28" s="79"/>
      <c r="Q28" s="79"/>
      <c r="R28" s="79"/>
      <c r="S28" s="68"/>
      <c r="T28" s="33">
        <f>'DAV Pi'!T40*T6</f>
        <v>23819.699775666537</v>
      </c>
      <c r="U28" s="33">
        <f>'DAV Pi'!U40*U6</f>
        <v>24843.903555234192</v>
      </c>
      <c r="V28" s="33">
        <f>'DAV Pi'!V40*V6</f>
        <v>14878.088666487001</v>
      </c>
      <c r="W28" s="33">
        <f>'DAV Pi'!W40*W6</f>
        <v>11717.74441556151</v>
      </c>
      <c r="X28" s="33">
        <f>'DAV Pi'!X40*X6</f>
        <v>11676.452112325886</v>
      </c>
      <c r="Y28" s="33">
        <f>'DAV Pi'!Y40*Y6</f>
        <v>12247.549831964156</v>
      </c>
      <c r="Z28" s="33">
        <f>'DAV Pi'!Z40*Z6</f>
        <v>11948.528028607503</v>
      </c>
      <c r="AA28" s="33">
        <f>'DAV Pi'!AA40*AA6</f>
        <v>12191.307829085437</v>
      </c>
      <c r="AB28" s="33">
        <f>'DAV Pi'!AB40*AB6</f>
        <v>15119.874894869456</v>
      </c>
      <c r="AC28" s="33">
        <f>'DAV Pi'!AC40*AC6</f>
        <v>9797.3012870615566</v>
      </c>
      <c r="AD28" s="33">
        <f>'DAV Pi'!AD40*AD6</f>
        <v>10089.833221475998</v>
      </c>
      <c r="AE28" s="33">
        <f>'DAV Pi'!AE40*AE6</f>
        <v>10268.031660911533</v>
      </c>
      <c r="AF28" s="33">
        <f>'DAV Pi'!AF40*AF6</f>
        <v>10141.206805841823</v>
      </c>
      <c r="AG28" s="33">
        <f>'DAV Pi'!AG40*AG6</f>
        <v>10126.10518683967</v>
      </c>
      <c r="AH28" s="33">
        <f>'DAV Pi'!AH40*AH6</f>
        <v>10011.040085048395</v>
      </c>
      <c r="AI28" s="33">
        <f>'DAV Pi'!AI40*AI6</f>
        <v>10094.506902085202</v>
      </c>
      <c r="AJ28" s="33">
        <f>'DAV Pi'!AJ40*AJ6</f>
        <v>10337.953747971498</v>
      </c>
      <c r="AK28" s="33">
        <f>'DAV Pi'!AK40*AK6</f>
        <v>10448.434870378891</v>
      </c>
      <c r="AL28" s="33">
        <f>'DAV Pi'!AL40*AL6</f>
        <v>10808.926327572042</v>
      </c>
      <c r="AM28" s="33">
        <f>'DAV Pi'!AM40*AM6</f>
        <v>10545.544428228855</v>
      </c>
      <c r="AN28" s="33">
        <f>'DAV Pi'!AN40*AN6</f>
        <v>10631.795496904877</v>
      </c>
      <c r="AO28" s="33">
        <f>'DAV Pi'!AO40*AO6</f>
        <v>10751.725416340705</v>
      </c>
      <c r="AP28" s="33">
        <f>'DAV Pi'!AP40*AP6</f>
        <v>10503.729517523469</v>
      </c>
      <c r="AQ28" s="33">
        <f>'DAV Pi'!AQ40*AQ6</f>
        <v>10830.600598694582</v>
      </c>
      <c r="AR28" s="33">
        <f>'DAV Pi'!AR40*AR6</f>
        <v>10817.733260337494</v>
      </c>
    </row>
    <row r="29" spans="1:44">
      <c r="A29" s="1"/>
      <c r="B29" s="74"/>
      <c r="C29" s="74"/>
      <c r="D29" s="75"/>
      <c r="E29" s="75"/>
      <c r="F29" s="75"/>
      <c r="G29" s="75"/>
      <c r="H29" s="75"/>
      <c r="I29" s="75"/>
      <c r="J29" s="75"/>
      <c r="K29" s="75"/>
      <c r="L29" s="79"/>
      <c r="M29" s="79"/>
      <c r="N29" s="79"/>
      <c r="O29" s="79"/>
      <c r="P29" s="79"/>
      <c r="Q29" s="79"/>
      <c r="R29" s="79"/>
      <c r="S29" s="68"/>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c r="A30" s="58" t="s">
        <v>69</v>
      </c>
      <c r="B30" s="80"/>
      <c r="C30" s="80"/>
      <c r="D30" s="75"/>
      <c r="E30" s="75"/>
      <c r="F30" s="75"/>
      <c r="G30" s="75"/>
      <c r="H30" s="75"/>
      <c r="I30" s="75"/>
      <c r="J30" s="75"/>
      <c r="K30" s="75"/>
      <c r="L30" s="79"/>
      <c r="M30" s="79"/>
      <c r="N30" s="79"/>
      <c r="O30" s="79"/>
      <c r="P30" s="79"/>
      <c r="Q30" s="79"/>
      <c r="R30" s="79"/>
      <c r="S30" s="68"/>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c r="A31" s="1" t="s">
        <v>70</v>
      </c>
      <c r="B31" s="74"/>
      <c r="C31" s="74"/>
      <c r="D31" s="75"/>
      <c r="E31" s="75"/>
      <c r="F31" s="75"/>
      <c r="G31" s="75"/>
      <c r="H31" s="75"/>
      <c r="I31" s="75"/>
      <c r="J31" s="75"/>
      <c r="K31" s="75"/>
      <c r="L31" s="79"/>
      <c r="M31" s="79"/>
      <c r="N31" s="79"/>
      <c r="O31" s="79"/>
      <c r="P31" s="79"/>
      <c r="Q31" s="79"/>
      <c r="R31" s="79"/>
      <c r="S31" s="68"/>
      <c r="T31" s="10">
        <f>Inputs!$T$86</f>
        <v>0.13720679924239051</v>
      </c>
      <c r="U31" s="10">
        <f>Inputs!$T$86</f>
        <v>0.13720679924239051</v>
      </c>
      <c r="V31" s="10">
        <f>Inputs!$T$86</f>
        <v>0.13720679924239051</v>
      </c>
      <c r="W31" s="10">
        <f>Inputs!$T$86</f>
        <v>0.13720679924239051</v>
      </c>
      <c r="X31" s="10">
        <f>Inputs!$T$86</f>
        <v>0.13720679924239051</v>
      </c>
      <c r="Y31" s="10">
        <f>Inputs!$T$86</f>
        <v>0.13720679924239051</v>
      </c>
      <c r="Z31" s="10">
        <f>Inputs!$T$86</f>
        <v>0.13720679924239051</v>
      </c>
      <c r="AA31" s="10">
        <f>Inputs!$T$86</f>
        <v>0.13720679924239051</v>
      </c>
      <c r="AB31" s="10">
        <f>Inputs!$T$86</f>
        <v>0.13720679924239051</v>
      </c>
      <c r="AC31" s="10">
        <f>Inputs!$T$86</f>
        <v>0.13720679924239051</v>
      </c>
      <c r="AD31" s="10">
        <f>Inputs!$T$86</f>
        <v>0.13720679924239051</v>
      </c>
      <c r="AE31" s="10">
        <f>Inputs!$T$86</f>
        <v>0.13720679924239051</v>
      </c>
      <c r="AF31" s="10">
        <f>Inputs!$T$86</f>
        <v>0.13720679924239051</v>
      </c>
      <c r="AG31" s="10">
        <f>Inputs!$T$86</f>
        <v>0.13720679924239051</v>
      </c>
      <c r="AH31" s="10">
        <f>Inputs!$T$86</f>
        <v>0.13720679924239051</v>
      </c>
      <c r="AI31" s="10">
        <f>Inputs!$T$86</f>
        <v>0.13720679924239051</v>
      </c>
      <c r="AJ31" s="10">
        <f>Inputs!$T$86</f>
        <v>0.13720679924239051</v>
      </c>
      <c r="AK31" s="10">
        <f>Inputs!$T$86</f>
        <v>0.13720679924239051</v>
      </c>
      <c r="AL31" s="10">
        <f>Inputs!$T$86</f>
        <v>0.13720679924239051</v>
      </c>
      <c r="AM31" s="10">
        <f>Inputs!$T$86</f>
        <v>0.13720679924239051</v>
      </c>
      <c r="AN31" s="10">
        <f>Inputs!$T$86</f>
        <v>0.13720679924239051</v>
      </c>
      <c r="AO31" s="10">
        <f>Inputs!$T$86</f>
        <v>0.13720679924239051</v>
      </c>
      <c r="AP31" s="10">
        <f>Inputs!$T$86</f>
        <v>0.13720679924239051</v>
      </c>
      <c r="AQ31" s="10">
        <f>Inputs!$T$86</f>
        <v>0.13720679924239051</v>
      </c>
      <c r="AR31" s="10">
        <f>Inputs!$T$86</f>
        <v>0.13720679924239051</v>
      </c>
    </row>
    <row r="32" spans="1:44">
      <c r="A32" s="1" t="s">
        <v>71</v>
      </c>
      <c r="B32" s="74"/>
      <c r="C32" s="74"/>
      <c r="D32" s="75"/>
      <c r="E32" s="75"/>
      <c r="F32" s="75"/>
      <c r="G32" s="75"/>
      <c r="H32" s="75"/>
      <c r="I32" s="75"/>
      <c r="J32" s="75"/>
      <c r="K32" s="75"/>
      <c r="L32" s="79"/>
      <c r="M32" s="79"/>
      <c r="N32" s="79"/>
      <c r="O32" s="79"/>
      <c r="P32" s="79"/>
      <c r="Q32" s="79"/>
      <c r="R32" s="79"/>
      <c r="S32" s="68"/>
      <c r="T32" s="10">
        <f>Inputs!$T$87</f>
        <v>0.76453286136229437</v>
      </c>
      <c r="U32" s="10">
        <f>Inputs!$T$87</f>
        <v>0.76453286136229437</v>
      </c>
      <c r="V32" s="10">
        <f>Inputs!$T$87</f>
        <v>0.76453286136229437</v>
      </c>
      <c r="W32" s="10">
        <f>Inputs!$T$87</f>
        <v>0.76453286136229437</v>
      </c>
      <c r="X32" s="10">
        <f>Inputs!$T$87</f>
        <v>0.76453286136229437</v>
      </c>
      <c r="Y32" s="10">
        <f>Inputs!$T$87</f>
        <v>0.76453286136229437</v>
      </c>
      <c r="Z32" s="10">
        <f>Inputs!$T$87</f>
        <v>0.76453286136229437</v>
      </c>
      <c r="AA32" s="10">
        <f>Inputs!$T$87</f>
        <v>0.76453286136229437</v>
      </c>
      <c r="AB32" s="10">
        <f>Inputs!$T$87</f>
        <v>0.76453286136229437</v>
      </c>
      <c r="AC32" s="10">
        <f>Inputs!$T$87</f>
        <v>0.76453286136229437</v>
      </c>
      <c r="AD32" s="10">
        <f>Inputs!$T$87</f>
        <v>0.76453286136229437</v>
      </c>
      <c r="AE32" s="10">
        <f>Inputs!$T$87</f>
        <v>0.76453286136229437</v>
      </c>
      <c r="AF32" s="10">
        <f>Inputs!$T$87</f>
        <v>0.76453286136229437</v>
      </c>
      <c r="AG32" s="10">
        <f>Inputs!$T$87</f>
        <v>0.76453286136229437</v>
      </c>
      <c r="AH32" s="10">
        <f>Inputs!$T$87</f>
        <v>0.76453286136229437</v>
      </c>
      <c r="AI32" s="10">
        <f>Inputs!$T$87</f>
        <v>0.76453286136229437</v>
      </c>
      <c r="AJ32" s="10">
        <f>Inputs!$T$87</f>
        <v>0.76453286136229437</v>
      </c>
      <c r="AK32" s="10">
        <f>Inputs!$T$87</f>
        <v>0.76453286136229437</v>
      </c>
      <c r="AL32" s="10">
        <f>Inputs!$T$87</f>
        <v>0.76453286136229437</v>
      </c>
      <c r="AM32" s="10">
        <f>Inputs!$T$87</f>
        <v>0.76453286136229437</v>
      </c>
      <c r="AN32" s="10">
        <f>Inputs!$T$87</f>
        <v>0.76453286136229437</v>
      </c>
      <c r="AO32" s="10">
        <f>Inputs!$T$87</f>
        <v>0.76453286136229437</v>
      </c>
      <c r="AP32" s="10">
        <f>Inputs!$T$87</f>
        <v>0.76453286136229437</v>
      </c>
      <c r="AQ32" s="10">
        <f>Inputs!$T$87</f>
        <v>0.76453286136229437</v>
      </c>
      <c r="AR32" s="10">
        <f>Inputs!$T$87</f>
        <v>0.76453286136229437</v>
      </c>
    </row>
    <row r="33" spans="1:44">
      <c r="A33" s="1" t="s">
        <v>72</v>
      </c>
      <c r="B33" s="74"/>
      <c r="C33" s="74"/>
      <c r="D33" s="75"/>
      <c r="E33" s="75"/>
      <c r="F33" s="75"/>
      <c r="G33" s="75"/>
      <c r="H33" s="75"/>
      <c r="I33" s="75"/>
      <c r="J33" s="75"/>
      <c r="K33" s="75"/>
      <c r="L33" s="79"/>
      <c r="M33" s="79"/>
      <c r="N33" s="79"/>
      <c r="O33" s="79"/>
      <c r="P33" s="79"/>
      <c r="Q33" s="79"/>
      <c r="R33" s="79"/>
      <c r="S33" s="68"/>
      <c r="T33" s="10">
        <f>Inputs!$T$88</f>
        <v>9.8260339395315158E-2</v>
      </c>
      <c r="U33" s="10">
        <f>Inputs!$T$88</f>
        <v>9.8260339395315158E-2</v>
      </c>
      <c r="V33" s="10">
        <f>Inputs!$T$88</f>
        <v>9.8260339395315158E-2</v>
      </c>
      <c r="W33" s="10">
        <f>Inputs!$T$88</f>
        <v>9.8260339395315158E-2</v>
      </c>
      <c r="X33" s="10">
        <f>Inputs!$T$88</f>
        <v>9.8260339395315158E-2</v>
      </c>
      <c r="Y33" s="10">
        <f>Inputs!$T$88</f>
        <v>9.8260339395315158E-2</v>
      </c>
      <c r="Z33" s="10">
        <f>Inputs!$T$88</f>
        <v>9.8260339395315158E-2</v>
      </c>
      <c r="AA33" s="10">
        <f>Inputs!$T$88</f>
        <v>9.8260339395315158E-2</v>
      </c>
      <c r="AB33" s="10">
        <f>Inputs!$T$88</f>
        <v>9.8260339395315158E-2</v>
      </c>
      <c r="AC33" s="10">
        <f>Inputs!$T$88</f>
        <v>9.8260339395315158E-2</v>
      </c>
      <c r="AD33" s="10">
        <f>Inputs!$T$88</f>
        <v>9.8260339395315158E-2</v>
      </c>
      <c r="AE33" s="10">
        <f>Inputs!$T$88</f>
        <v>9.8260339395315158E-2</v>
      </c>
      <c r="AF33" s="10">
        <f>Inputs!$T$88</f>
        <v>9.8260339395315158E-2</v>
      </c>
      <c r="AG33" s="10">
        <f>Inputs!$T$88</f>
        <v>9.8260339395315158E-2</v>
      </c>
      <c r="AH33" s="10">
        <f>Inputs!$T$88</f>
        <v>9.8260339395315158E-2</v>
      </c>
      <c r="AI33" s="10">
        <f>Inputs!$T$88</f>
        <v>9.8260339395315158E-2</v>
      </c>
      <c r="AJ33" s="10">
        <f>Inputs!$T$88</f>
        <v>9.8260339395315158E-2</v>
      </c>
      <c r="AK33" s="10">
        <f>Inputs!$T$88</f>
        <v>9.8260339395315158E-2</v>
      </c>
      <c r="AL33" s="10">
        <f>Inputs!$T$88</f>
        <v>9.8260339395315158E-2</v>
      </c>
      <c r="AM33" s="10">
        <f>Inputs!$T$88</f>
        <v>9.8260339395315158E-2</v>
      </c>
      <c r="AN33" s="10">
        <f>Inputs!$T$88</f>
        <v>9.8260339395315158E-2</v>
      </c>
      <c r="AO33" s="10">
        <f>Inputs!$T$88</f>
        <v>9.8260339395315158E-2</v>
      </c>
      <c r="AP33" s="10">
        <f>Inputs!$T$88</f>
        <v>9.8260339395315158E-2</v>
      </c>
      <c r="AQ33" s="10">
        <f>Inputs!$T$88</f>
        <v>9.8260339395315158E-2</v>
      </c>
      <c r="AR33" s="10">
        <f>Inputs!$T$88</f>
        <v>9.8260339395315158E-2</v>
      </c>
    </row>
    <row r="34" spans="1:44">
      <c r="A34" s="1"/>
      <c r="B34" s="74"/>
      <c r="C34" s="74"/>
      <c r="D34" s="75"/>
      <c r="E34" s="75"/>
      <c r="F34" s="75"/>
      <c r="G34" s="75"/>
      <c r="H34" s="75"/>
      <c r="I34" s="75"/>
      <c r="J34" s="75"/>
      <c r="K34" s="75"/>
      <c r="L34" s="79"/>
      <c r="M34" s="79"/>
      <c r="N34" s="79"/>
      <c r="O34" s="79"/>
      <c r="P34" s="79"/>
      <c r="Q34" s="79"/>
      <c r="R34" s="79"/>
      <c r="S34" s="68"/>
      <c r="T34" s="214">
        <f t="shared" ref="T34:AA34" si="44">SUM(T31:T33)</f>
        <v>1</v>
      </c>
      <c r="U34" s="214">
        <f t="shared" si="44"/>
        <v>1</v>
      </c>
      <c r="V34" s="214">
        <f t="shared" si="44"/>
        <v>1</v>
      </c>
      <c r="W34" s="214">
        <f t="shared" si="44"/>
        <v>1</v>
      </c>
      <c r="X34" s="214">
        <f t="shared" si="44"/>
        <v>1</v>
      </c>
      <c r="Y34" s="214">
        <f t="shared" si="44"/>
        <v>1</v>
      </c>
      <c r="Z34" s="214">
        <f t="shared" si="44"/>
        <v>1</v>
      </c>
      <c r="AA34" s="214">
        <f t="shared" si="44"/>
        <v>1</v>
      </c>
      <c r="AB34" s="214">
        <f t="shared" ref="AB34:AN34" si="45">SUM(AB31:AB33)</f>
        <v>1</v>
      </c>
      <c r="AC34" s="214">
        <f t="shared" si="45"/>
        <v>1</v>
      </c>
      <c r="AD34" s="214">
        <f t="shared" si="45"/>
        <v>1</v>
      </c>
      <c r="AE34" s="214">
        <f t="shared" si="45"/>
        <v>1</v>
      </c>
      <c r="AF34" s="214">
        <f t="shared" si="45"/>
        <v>1</v>
      </c>
      <c r="AG34" s="214">
        <f t="shared" si="45"/>
        <v>1</v>
      </c>
      <c r="AH34" s="214">
        <f t="shared" si="45"/>
        <v>1</v>
      </c>
      <c r="AI34" s="214">
        <f t="shared" si="45"/>
        <v>1</v>
      </c>
      <c r="AJ34" s="214">
        <f t="shared" si="45"/>
        <v>1</v>
      </c>
      <c r="AK34" s="214">
        <f t="shared" si="45"/>
        <v>1</v>
      </c>
      <c r="AL34" s="214">
        <f t="shared" si="45"/>
        <v>1</v>
      </c>
      <c r="AM34" s="214">
        <f t="shared" si="45"/>
        <v>1</v>
      </c>
      <c r="AN34" s="214">
        <f t="shared" si="45"/>
        <v>1</v>
      </c>
      <c r="AO34" s="214">
        <f t="shared" ref="AO34:AR34" si="46">SUM(AO31:AO33)</f>
        <v>1</v>
      </c>
      <c r="AP34" s="214">
        <f t="shared" si="46"/>
        <v>1</v>
      </c>
      <c r="AQ34" s="214">
        <f t="shared" si="46"/>
        <v>1</v>
      </c>
      <c r="AR34" s="214">
        <f t="shared" si="46"/>
        <v>1</v>
      </c>
    </row>
    <row r="35" spans="1:44">
      <c r="A35" s="1"/>
      <c r="B35" s="74"/>
      <c r="C35" s="74"/>
      <c r="D35" s="75"/>
      <c r="E35" s="75"/>
      <c r="F35" s="75"/>
      <c r="G35" s="75"/>
      <c r="H35" s="75"/>
      <c r="I35" s="75"/>
      <c r="J35" s="75"/>
      <c r="K35" s="75"/>
      <c r="L35" s="79"/>
      <c r="M35" s="79"/>
      <c r="N35" s="79"/>
      <c r="O35" s="79"/>
      <c r="P35" s="79"/>
      <c r="Q35" s="79"/>
      <c r="R35" s="79"/>
      <c r="S35" s="68"/>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row>
    <row r="36" spans="1:44">
      <c r="A36" s="1" t="s">
        <v>173</v>
      </c>
      <c r="B36" s="74"/>
      <c r="C36" s="74"/>
      <c r="D36" s="75"/>
      <c r="E36" s="75"/>
      <c r="F36" s="75"/>
      <c r="G36" s="75"/>
      <c r="H36" s="75"/>
      <c r="I36" s="75"/>
      <c r="J36" s="75"/>
      <c r="K36" s="75"/>
      <c r="L36" s="79"/>
      <c r="M36" s="79"/>
      <c r="N36" s="79"/>
      <c r="O36" s="79"/>
      <c r="P36" s="79"/>
      <c r="Q36" s="79"/>
      <c r="R36" s="79"/>
      <c r="S36" s="68"/>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row>
    <row r="37" spans="1:44">
      <c r="A37" s="1" t="s">
        <v>184</v>
      </c>
      <c r="B37" s="74"/>
      <c r="C37" s="74"/>
      <c r="D37" s="75"/>
      <c r="E37" s="75"/>
      <c r="F37" s="75"/>
      <c r="G37" s="75"/>
      <c r="H37" s="75"/>
      <c r="I37" s="75"/>
      <c r="J37" s="75"/>
      <c r="K37" s="75"/>
      <c r="L37" s="79"/>
      <c r="M37" s="79"/>
      <c r="N37" s="79"/>
      <c r="O37" s="79"/>
      <c r="P37" s="79"/>
      <c r="Q37" s="79"/>
      <c r="R37" s="79"/>
      <c r="S37" s="68"/>
      <c r="T37" s="33">
        <f>T28*T31</f>
        <v>3268.224765133893</v>
      </c>
      <c r="U37" s="33">
        <f>U28*U31</f>
        <v>3408.7524875003296</v>
      </c>
      <c r="V37" s="10"/>
      <c r="W37" s="10"/>
      <c r="X37" s="10"/>
      <c r="Y37" s="10"/>
      <c r="Z37" s="10"/>
      <c r="AA37" s="10"/>
      <c r="AB37" s="10"/>
      <c r="AC37" s="10"/>
      <c r="AD37" s="10"/>
      <c r="AE37" s="10"/>
      <c r="AF37" s="10"/>
      <c r="AG37" s="10"/>
      <c r="AH37" s="10"/>
      <c r="AI37" s="10"/>
      <c r="AJ37" s="10"/>
      <c r="AK37" s="10"/>
      <c r="AL37" s="10"/>
      <c r="AM37" s="10"/>
      <c r="AN37" s="10"/>
      <c r="AO37" s="10"/>
      <c r="AP37" s="10"/>
      <c r="AQ37" s="10"/>
      <c r="AR37" s="10"/>
    </row>
    <row r="38" spans="1:44">
      <c r="A38" s="1" t="s">
        <v>174</v>
      </c>
      <c r="B38" s="74"/>
      <c r="C38" s="74"/>
      <c r="D38" s="75"/>
      <c r="E38" s="75"/>
      <c r="F38" s="75"/>
      <c r="G38" s="75"/>
      <c r="H38" s="75"/>
      <c r="I38" s="75"/>
      <c r="J38" s="75"/>
      <c r="K38" s="75"/>
      <c r="L38" s="79"/>
      <c r="M38" s="79"/>
      <c r="N38" s="79"/>
      <c r="O38" s="79"/>
      <c r="P38" s="79"/>
      <c r="Q38" s="79"/>
      <c r="R38" s="79"/>
      <c r="S38" s="68"/>
      <c r="T38" s="33">
        <f>T37*Inputs!$T$91</f>
        <v>326.82247651338935</v>
      </c>
      <c r="U38" s="33">
        <f>U37*Inputs!$T$91</f>
        <v>340.87524875003299</v>
      </c>
      <c r="V38" s="10"/>
      <c r="W38" s="10"/>
      <c r="X38" s="10"/>
      <c r="Y38" s="10"/>
      <c r="Z38" s="10"/>
      <c r="AA38" s="10"/>
      <c r="AB38" s="10"/>
      <c r="AC38" s="10"/>
      <c r="AD38" s="10"/>
      <c r="AE38" s="10"/>
      <c r="AF38" s="10"/>
      <c r="AG38" s="10"/>
      <c r="AH38" s="10"/>
      <c r="AI38" s="10"/>
      <c r="AJ38" s="10"/>
      <c r="AK38" s="10"/>
      <c r="AL38" s="10"/>
      <c r="AM38" s="10"/>
      <c r="AN38" s="10"/>
      <c r="AO38" s="10"/>
      <c r="AP38" s="10"/>
      <c r="AQ38" s="10"/>
      <c r="AR38" s="10"/>
    </row>
    <row r="39" spans="1:44">
      <c r="A39" s="30" t="s">
        <v>175</v>
      </c>
      <c r="B39" s="74"/>
      <c r="C39" s="74"/>
      <c r="D39" s="75"/>
      <c r="E39" s="75"/>
      <c r="F39" s="75"/>
      <c r="G39" s="75"/>
      <c r="H39" s="75"/>
      <c r="I39" s="75"/>
      <c r="J39" s="75"/>
      <c r="K39" s="75"/>
      <c r="L39" s="79"/>
      <c r="M39" s="79"/>
      <c r="N39" s="79"/>
      <c r="O39" s="79"/>
      <c r="P39" s="79"/>
      <c r="Q39" s="79"/>
      <c r="R39" s="79"/>
      <c r="S39" s="68"/>
      <c r="T39" s="33">
        <f>T37-T38</f>
        <v>2941.4022886205039</v>
      </c>
      <c r="U39" s="33">
        <f>U37-U38</f>
        <v>3067.8772387502968</v>
      </c>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4">
      <c r="A40" s="1"/>
      <c r="B40" s="74"/>
      <c r="C40" s="74"/>
      <c r="D40" s="75"/>
      <c r="E40" s="75"/>
      <c r="F40" s="75"/>
      <c r="G40" s="75"/>
      <c r="H40" s="75"/>
      <c r="I40" s="75"/>
      <c r="J40" s="75"/>
      <c r="K40" s="75"/>
      <c r="L40" s="79"/>
      <c r="M40" s="79"/>
      <c r="N40" s="79"/>
      <c r="O40" s="79"/>
      <c r="P40" s="79"/>
      <c r="Q40" s="79"/>
      <c r="R40" s="79"/>
      <c r="S40" s="68"/>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row>
    <row r="41" spans="1:44">
      <c r="A41" s="1" t="s">
        <v>73</v>
      </c>
      <c r="B41" s="74"/>
      <c r="C41" s="74"/>
      <c r="D41" s="75"/>
      <c r="E41" s="75"/>
      <c r="F41" s="75"/>
      <c r="G41" s="75"/>
      <c r="H41" s="75"/>
      <c r="I41" s="75"/>
      <c r="J41" s="75"/>
      <c r="K41" s="75"/>
      <c r="L41" s="79"/>
      <c r="M41" s="79"/>
      <c r="N41" s="79"/>
      <c r="O41" s="79"/>
      <c r="P41" s="79"/>
      <c r="Q41" s="79"/>
      <c r="R41" s="79"/>
      <c r="S41" s="6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44">
      <c r="A42" s="1" t="s">
        <v>74</v>
      </c>
      <c r="B42" s="74"/>
      <c r="C42" s="74"/>
      <c r="D42" s="75"/>
      <c r="E42" s="75"/>
      <c r="F42" s="75"/>
      <c r="G42" s="75"/>
      <c r="H42" s="75"/>
      <c r="I42" s="75"/>
      <c r="J42" s="75"/>
      <c r="K42" s="75"/>
      <c r="L42" s="79"/>
      <c r="M42" s="79"/>
      <c r="N42" s="79"/>
      <c r="O42" s="79"/>
      <c r="P42" s="79"/>
      <c r="Q42" s="79"/>
      <c r="R42" s="79"/>
      <c r="S42" s="68"/>
      <c r="T42" s="33">
        <f>Inputs!T84</f>
        <v>5579.9830000000002</v>
      </c>
      <c r="U42" s="33">
        <f>T47</f>
        <v>6987.5359366688135</v>
      </c>
      <c r="V42" s="33">
        <f t="shared" ref="V42" si="47">U47</f>
        <v>8245.4388038436718</v>
      </c>
      <c r="W42" s="33">
        <f t="shared" ref="W42" si="48">V47</f>
        <v>8435.1872574658082</v>
      </c>
      <c r="X42" s="33">
        <f t="shared" ref="X42" si="49">W47</f>
        <v>8235.2119997136269</v>
      </c>
      <c r="Y42" s="33">
        <f t="shared" ref="Y42" si="50">X47</f>
        <v>8066.5865088533865</v>
      </c>
      <c r="Z42" s="33">
        <f t="shared" ref="Z42" si="51">Y47</f>
        <v>7992.5675682842702</v>
      </c>
      <c r="AA42" s="33">
        <f t="shared" ref="AA42" si="52">Z47</f>
        <v>7898.2292208929466</v>
      </c>
      <c r="AB42" s="33">
        <f t="shared" ref="AB42" si="53">AA47</f>
        <v>7848.1868282943742</v>
      </c>
      <c r="AC42" s="33">
        <f t="shared" ref="AC42" si="54">AB47</f>
        <v>8136.6439034031264</v>
      </c>
      <c r="AD42" s="33">
        <f t="shared" ref="AD42" si="55">AC47</f>
        <v>7774.3382084556397</v>
      </c>
      <c r="AE42" s="33">
        <f t="shared" ref="AE42" si="56">AD47</f>
        <v>7510.1601823243982</v>
      </c>
      <c r="AF42" s="33">
        <f t="shared" ref="AF42" si="57">AE47</f>
        <v>7313.5832316508286</v>
      </c>
      <c r="AG42" s="33">
        <f t="shared" ref="AG42" si="58">AF47</f>
        <v>7138.1211215071353</v>
      </c>
      <c r="AH42" s="33">
        <f t="shared" ref="AH42" si="59">AG47</f>
        <v>6992.5431144478443</v>
      </c>
      <c r="AI42" s="33">
        <f t="shared" ref="AI42" si="60">AH47</f>
        <v>6860.2232229157744</v>
      </c>
      <c r="AJ42" s="33">
        <f t="shared" ref="AJ42" si="61">AI47</f>
        <v>6761.1117280025046</v>
      </c>
      <c r="AK42" s="33">
        <f t="shared" ref="AK42" si="62">AJ47</f>
        <v>6707.2304034315894</v>
      </c>
      <c r="AL42" s="33">
        <f t="shared" ref="AL42" si="63">AK47</f>
        <v>6675.477901452864</v>
      </c>
      <c r="AM42" s="33">
        <f t="shared" ref="AM42" si="64">AL47</f>
        <v>6689.9995906067816</v>
      </c>
      <c r="AN42" s="33">
        <f t="shared" ref="AN42" si="65">AM47</f>
        <v>6672.2743900554406</v>
      </c>
      <c r="AO42" s="33">
        <f t="shared" ref="AO42" si="66">AN47</f>
        <v>6667.4437967160438</v>
      </c>
      <c r="AP42" s="33">
        <f t="shared" ref="AP42" si="67">AO47</f>
        <v>6676.9759744886724</v>
      </c>
      <c r="AQ42" s="33">
        <f t="shared" ref="AQ42" si="68">AP47</f>
        <v>6656.8904469906265</v>
      </c>
      <c r="AR42" s="33">
        <f t="shared" ref="AR42" si="69">AQ47</f>
        <v>6677.1964409883876</v>
      </c>
    </row>
    <row r="43" spans="1:44">
      <c r="A43" s="1" t="s">
        <v>155</v>
      </c>
      <c r="B43" s="74"/>
      <c r="C43" s="74"/>
      <c r="D43" s="75"/>
      <c r="E43" s="75"/>
      <c r="F43" s="75"/>
      <c r="G43" s="75"/>
      <c r="H43" s="75"/>
      <c r="I43" s="75"/>
      <c r="J43" s="75"/>
      <c r="K43" s="75"/>
      <c r="L43" s="79"/>
      <c r="M43" s="79"/>
      <c r="N43" s="79"/>
      <c r="O43" s="79"/>
      <c r="P43" s="79"/>
      <c r="Q43" s="79"/>
      <c r="R43" s="79"/>
      <c r="S43" s="68"/>
      <c r="T43" s="33">
        <f>T39</f>
        <v>2941.4022886205039</v>
      </c>
      <c r="U43" s="33">
        <f>U39</f>
        <v>3067.8772387502968</v>
      </c>
      <c r="V43" s="33">
        <f t="shared" ref="V43:AA43" si="70">V28*V31</f>
        <v>2041.3749247731675</v>
      </c>
      <c r="W43" s="33">
        <f t="shared" si="70"/>
        <v>1607.7542055995907</v>
      </c>
      <c r="X43" s="33">
        <f t="shared" si="70"/>
        <v>1602.0886208392844</v>
      </c>
      <c r="Y43" s="33">
        <f t="shared" si="70"/>
        <v>1680.4471110054797</v>
      </c>
      <c r="Z43" s="33">
        <f t="shared" si="70"/>
        <v>1639.4192864632257</v>
      </c>
      <c r="AA43" s="33">
        <f t="shared" si="70"/>
        <v>1672.7303258075094</v>
      </c>
      <c r="AB43" s="33">
        <f t="shared" ref="AB43:AN43" si="71">AB28*AB31</f>
        <v>2074.549639270414</v>
      </c>
      <c r="AC43" s="33">
        <f t="shared" si="71"/>
        <v>1344.2563508110693</v>
      </c>
      <c r="AD43" s="33">
        <f t="shared" si="71"/>
        <v>1384.3937212082596</v>
      </c>
      <c r="AE43" s="33">
        <f t="shared" si="71"/>
        <v>1408.8437587131982</v>
      </c>
      <c r="AF43" s="33">
        <f t="shared" si="71"/>
        <v>1391.4425262847033</v>
      </c>
      <c r="AG43" s="33">
        <f t="shared" si="71"/>
        <v>1389.3704814780399</v>
      </c>
      <c r="AH43" s="33">
        <f t="shared" si="71"/>
        <v>1373.5827671567592</v>
      </c>
      <c r="AI43" s="33">
        <f t="shared" si="71"/>
        <v>1385.0349819653297</v>
      </c>
      <c r="AJ43" s="33">
        <f t="shared" si="71"/>
        <v>1418.437544475044</v>
      </c>
      <c r="AK43" s="33">
        <f t="shared" si="71"/>
        <v>1433.5963056572691</v>
      </c>
      <c r="AL43" s="33">
        <f t="shared" si="71"/>
        <v>1483.0581846529665</v>
      </c>
      <c r="AM43" s="33">
        <f t="shared" si="71"/>
        <v>1446.9203972657065</v>
      </c>
      <c r="AN43" s="33">
        <f t="shared" si="71"/>
        <v>1458.7546303299789</v>
      </c>
      <c r="AO43" s="33">
        <f t="shared" ref="AO43:AR43" si="72">AO28*AO31</f>
        <v>1475.2098307091667</v>
      </c>
      <c r="AP43" s="33">
        <f t="shared" si="72"/>
        <v>1441.1831072072139</v>
      </c>
      <c r="AQ43" s="33">
        <f t="shared" si="72"/>
        <v>1486.0320420196019</v>
      </c>
      <c r="AR43" s="33">
        <f t="shared" si="72"/>
        <v>1484.2665557088571</v>
      </c>
    </row>
    <row r="44" spans="1:44">
      <c r="A44" s="1" t="s">
        <v>154</v>
      </c>
      <c r="B44" s="74"/>
      <c r="C44" s="74"/>
      <c r="D44" s="75"/>
      <c r="E44" s="75"/>
      <c r="F44" s="75"/>
      <c r="G44" s="75"/>
      <c r="H44" s="75"/>
      <c r="I44" s="75"/>
      <c r="J44" s="75"/>
      <c r="K44" s="75"/>
      <c r="L44" s="79"/>
      <c r="M44" s="79"/>
      <c r="N44" s="79"/>
      <c r="O44" s="79"/>
      <c r="P44" s="79"/>
      <c r="Q44" s="79"/>
      <c r="R44" s="79"/>
      <c r="S44" s="68"/>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4">
      <c r="A45" s="1" t="s">
        <v>75</v>
      </c>
      <c r="B45" s="74"/>
      <c r="C45" s="74"/>
      <c r="D45" s="75"/>
      <c r="E45" s="75"/>
      <c r="F45" s="75"/>
      <c r="G45" s="75"/>
      <c r="H45" s="75"/>
      <c r="I45" s="75"/>
      <c r="J45" s="75"/>
      <c r="K45" s="75"/>
      <c r="L45" s="79"/>
      <c r="M45" s="79"/>
      <c r="N45" s="79"/>
      <c r="O45" s="79"/>
      <c r="P45" s="79"/>
      <c r="Q45" s="79"/>
      <c r="R45" s="79"/>
      <c r="S45" s="68"/>
      <c r="T45" s="33">
        <f>SUM(T42:T44)</f>
        <v>8521.3852886205041</v>
      </c>
      <c r="U45" s="33">
        <f>SUM(U42:U44)</f>
        <v>10055.413175419111</v>
      </c>
      <c r="V45" s="33">
        <f>SUM(V42:V44)</f>
        <v>10286.813728616838</v>
      </c>
      <c r="W45" s="33">
        <f t="shared" ref="W45:AA45" si="73">SUM(W42:W44)</f>
        <v>10042.941463065399</v>
      </c>
      <c r="X45" s="33">
        <f t="shared" si="73"/>
        <v>9837.3006205529109</v>
      </c>
      <c r="Y45" s="33">
        <f t="shared" si="73"/>
        <v>9747.0336198588666</v>
      </c>
      <c r="Z45" s="33">
        <f t="shared" si="73"/>
        <v>9631.9868547474962</v>
      </c>
      <c r="AA45" s="33">
        <f t="shared" si="73"/>
        <v>9570.9595467004565</v>
      </c>
      <c r="AB45" s="33">
        <f t="shared" ref="AB45:AN45" si="74">SUM(AB42:AB44)</f>
        <v>9922.7364675647877</v>
      </c>
      <c r="AC45" s="33">
        <f t="shared" si="74"/>
        <v>9480.9002542141952</v>
      </c>
      <c r="AD45" s="33">
        <f t="shared" si="74"/>
        <v>9158.7319296638998</v>
      </c>
      <c r="AE45" s="33">
        <f t="shared" si="74"/>
        <v>8919.0039410375957</v>
      </c>
      <c r="AF45" s="33">
        <f t="shared" si="74"/>
        <v>8705.0257579355311</v>
      </c>
      <c r="AG45" s="33">
        <f t="shared" si="74"/>
        <v>8527.4916029851756</v>
      </c>
      <c r="AH45" s="33">
        <f t="shared" si="74"/>
        <v>8366.1258816046029</v>
      </c>
      <c r="AI45" s="33">
        <f t="shared" si="74"/>
        <v>8245.2582048811037</v>
      </c>
      <c r="AJ45" s="33">
        <f t="shared" si="74"/>
        <v>8179.5492724775486</v>
      </c>
      <c r="AK45" s="33">
        <f t="shared" si="74"/>
        <v>8140.8267090888585</v>
      </c>
      <c r="AL45" s="33">
        <f t="shared" si="74"/>
        <v>8158.5360861058307</v>
      </c>
      <c r="AM45" s="33">
        <f t="shared" si="74"/>
        <v>8136.9199878724885</v>
      </c>
      <c r="AN45" s="33">
        <f t="shared" si="74"/>
        <v>8131.0290203854192</v>
      </c>
      <c r="AO45" s="33">
        <f t="shared" ref="AO45:AR45" si="75">SUM(AO42:AO44)</f>
        <v>8142.6536274252103</v>
      </c>
      <c r="AP45" s="33">
        <f t="shared" si="75"/>
        <v>8118.159081695886</v>
      </c>
      <c r="AQ45" s="33">
        <f t="shared" si="75"/>
        <v>8142.9224890102287</v>
      </c>
      <c r="AR45" s="33">
        <f t="shared" si="75"/>
        <v>8161.4629966972443</v>
      </c>
    </row>
    <row r="46" spans="1:44">
      <c r="A46" s="1" t="s">
        <v>76</v>
      </c>
      <c r="B46" s="74"/>
      <c r="C46" s="74"/>
      <c r="D46" s="75"/>
      <c r="E46" s="75"/>
      <c r="F46" s="75"/>
      <c r="G46" s="75"/>
      <c r="H46" s="75"/>
      <c r="I46" s="75"/>
      <c r="J46" s="75"/>
      <c r="K46" s="75"/>
      <c r="L46" s="79"/>
      <c r="M46" s="79"/>
      <c r="N46" s="79"/>
      <c r="O46" s="79"/>
      <c r="P46" s="79"/>
      <c r="Q46" s="79"/>
      <c r="R46" s="79"/>
      <c r="S46" s="68"/>
      <c r="T46" s="33">
        <f>+T45*Inputs!$T$89</f>
        <v>1533.8493519516908</v>
      </c>
      <c r="U46" s="33">
        <f>+U45*Inputs!$T$89</f>
        <v>1809.97437157544</v>
      </c>
      <c r="V46" s="33">
        <f>+V45*Inputs!$T$89</f>
        <v>1851.626471151031</v>
      </c>
      <c r="W46" s="33">
        <f>+W45*Inputs!$T$89</f>
        <v>1807.7294633517718</v>
      </c>
      <c r="X46" s="33">
        <f>+X45*Inputs!$T$89</f>
        <v>1770.714111699524</v>
      </c>
      <c r="Y46" s="33">
        <f>+Y45*Inputs!$T$89</f>
        <v>1754.4660515745959</v>
      </c>
      <c r="Z46" s="33">
        <f>+Z45*Inputs!$T$89</f>
        <v>1733.7576338545493</v>
      </c>
      <c r="AA46" s="33">
        <f>+AA45*Inputs!$T$89</f>
        <v>1722.772718406082</v>
      </c>
      <c r="AB46" s="33">
        <f>+AB45*Inputs!$T$89</f>
        <v>1786.0925641616618</v>
      </c>
      <c r="AC46" s="33">
        <f>+AC45*Inputs!$T$89</f>
        <v>1706.5620457585551</v>
      </c>
      <c r="AD46" s="33">
        <f>+AD45*Inputs!$T$89</f>
        <v>1648.5717473395018</v>
      </c>
      <c r="AE46" s="33">
        <f>+AE45*Inputs!$T$89</f>
        <v>1605.4207093867672</v>
      </c>
      <c r="AF46" s="33">
        <f>+AF45*Inputs!$T$89</f>
        <v>1566.9046364283956</v>
      </c>
      <c r="AG46" s="33">
        <f>+AG45*Inputs!$T$89</f>
        <v>1534.9484885373315</v>
      </c>
      <c r="AH46" s="33">
        <f>+AH45*Inputs!$T$89</f>
        <v>1505.9026586888285</v>
      </c>
      <c r="AI46" s="33">
        <f>+AI45*Inputs!$T$89</f>
        <v>1484.1464768785986</v>
      </c>
      <c r="AJ46" s="33">
        <f>+AJ45*Inputs!$T$89</f>
        <v>1472.3188690459588</v>
      </c>
      <c r="AK46" s="33">
        <f>+AK45*Inputs!$T$89</f>
        <v>1465.3488076359945</v>
      </c>
      <c r="AL46" s="33">
        <f>+AL45*Inputs!$T$89</f>
        <v>1468.5364954990496</v>
      </c>
      <c r="AM46" s="33">
        <f>+AM45*Inputs!$T$89</f>
        <v>1464.6455978170479</v>
      </c>
      <c r="AN46" s="33">
        <f>+AN45*Inputs!$T$89</f>
        <v>1463.5852236693754</v>
      </c>
      <c r="AO46" s="33">
        <f>+AO45*Inputs!$T$89</f>
        <v>1465.6776529365377</v>
      </c>
      <c r="AP46" s="33">
        <f>+AP45*Inputs!$T$89</f>
        <v>1461.2686347052595</v>
      </c>
      <c r="AQ46" s="33">
        <f>+AQ45*Inputs!$T$89</f>
        <v>1465.7260480218411</v>
      </c>
      <c r="AR46" s="33">
        <f>+AR45*Inputs!$T$89</f>
        <v>1469.0633394055039</v>
      </c>
    </row>
    <row r="47" spans="1:44">
      <c r="A47" s="1" t="s">
        <v>77</v>
      </c>
      <c r="B47" s="74"/>
      <c r="C47" s="74"/>
      <c r="D47" s="75"/>
      <c r="E47" s="75"/>
      <c r="F47" s="75"/>
      <c r="G47" s="75"/>
      <c r="H47" s="75"/>
      <c r="I47" s="75"/>
      <c r="J47" s="75"/>
      <c r="K47" s="75"/>
      <c r="L47" s="79"/>
      <c r="M47" s="79"/>
      <c r="N47" s="79"/>
      <c r="O47" s="79"/>
      <c r="P47" s="79"/>
      <c r="Q47" s="79"/>
      <c r="R47" s="79"/>
      <c r="S47" s="68"/>
      <c r="T47" s="49">
        <f>T45-T46</f>
        <v>6987.5359366688135</v>
      </c>
      <c r="U47" s="49">
        <f>U45-U46</f>
        <v>8245.4388038436718</v>
      </c>
      <c r="V47" s="49">
        <f>V45-V46</f>
        <v>8435.1872574658082</v>
      </c>
      <c r="W47" s="49">
        <f t="shared" ref="W47:AA47" si="76">W45-W46</f>
        <v>8235.2119997136269</v>
      </c>
      <c r="X47" s="49">
        <f t="shared" si="76"/>
        <v>8066.5865088533865</v>
      </c>
      <c r="Y47" s="49">
        <f t="shared" si="76"/>
        <v>7992.5675682842702</v>
      </c>
      <c r="Z47" s="49">
        <f t="shared" si="76"/>
        <v>7898.2292208929466</v>
      </c>
      <c r="AA47" s="49">
        <f t="shared" si="76"/>
        <v>7848.1868282943742</v>
      </c>
      <c r="AB47" s="49">
        <f t="shared" ref="AB47:AN47" si="77">AB45-AB46</f>
        <v>8136.6439034031264</v>
      </c>
      <c r="AC47" s="49">
        <f t="shared" si="77"/>
        <v>7774.3382084556397</v>
      </c>
      <c r="AD47" s="49">
        <f t="shared" si="77"/>
        <v>7510.1601823243982</v>
      </c>
      <c r="AE47" s="49">
        <f t="shared" si="77"/>
        <v>7313.5832316508286</v>
      </c>
      <c r="AF47" s="49">
        <f t="shared" si="77"/>
        <v>7138.1211215071353</v>
      </c>
      <c r="AG47" s="49">
        <f t="shared" si="77"/>
        <v>6992.5431144478443</v>
      </c>
      <c r="AH47" s="49">
        <f t="shared" si="77"/>
        <v>6860.2232229157744</v>
      </c>
      <c r="AI47" s="49">
        <f t="shared" si="77"/>
        <v>6761.1117280025046</v>
      </c>
      <c r="AJ47" s="49">
        <f t="shared" si="77"/>
        <v>6707.2304034315894</v>
      </c>
      <c r="AK47" s="49">
        <f t="shared" si="77"/>
        <v>6675.477901452864</v>
      </c>
      <c r="AL47" s="49">
        <f t="shared" si="77"/>
        <v>6689.9995906067816</v>
      </c>
      <c r="AM47" s="49">
        <f t="shared" si="77"/>
        <v>6672.2743900554406</v>
      </c>
      <c r="AN47" s="49">
        <f t="shared" si="77"/>
        <v>6667.4437967160438</v>
      </c>
      <c r="AO47" s="49">
        <f t="shared" ref="AO47:AR47" si="78">AO45-AO46</f>
        <v>6676.9759744886724</v>
      </c>
      <c r="AP47" s="49">
        <f t="shared" si="78"/>
        <v>6656.8904469906265</v>
      </c>
      <c r="AQ47" s="49">
        <f t="shared" si="78"/>
        <v>6677.1964409883876</v>
      </c>
      <c r="AR47" s="49">
        <f t="shared" si="78"/>
        <v>6692.3996572917404</v>
      </c>
    </row>
    <row r="48" spans="1:44">
      <c r="A48" s="1"/>
      <c r="B48" s="74"/>
      <c r="C48" s="74"/>
      <c r="D48" s="75"/>
      <c r="E48" s="75"/>
      <c r="F48" s="75"/>
      <c r="G48" s="75"/>
      <c r="H48" s="75"/>
      <c r="I48" s="75"/>
      <c r="J48" s="75"/>
      <c r="K48" s="75"/>
      <c r="L48" s="79"/>
      <c r="M48" s="79"/>
      <c r="N48" s="79"/>
      <c r="O48" s="79"/>
      <c r="P48" s="79"/>
      <c r="Q48" s="79"/>
      <c r="R48" s="79"/>
      <c r="S48" s="68"/>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c r="A49" s="1" t="s">
        <v>78</v>
      </c>
      <c r="B49" s="74"/>
      <c r="C49" s="74"/>
      <c r="D49" s="75"/>
      <c r="E49" s="75"/>
      <c r="F49" s="75"/>
      <c r="G49" s="75"/>
      <c r="H49" s="75"/>
      <c r="I49" s="75"/>
      <c r="J49" s="75"/>
      <c r="K49" s="75"/>
      <c r="L49" s="79"/>
      <c r="M49" s="79"/>
      <c r="N49" s="79"/>
      <c r="O49" s="79"/>
      <c r="P49" s="79"/>
      <c r="Q49" s="79"/>
      <c r="R49" s="79"/>
      <c r="S49" s="68"/>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c r="A50" s="1" t="s">
        <v>168</v>
      </c>
      <c r="B50" s="74"/>
      <c r="C50" s="74"/>
      <c r="D50" s="75"/>
      <c r="E50" s="75"/>
      <c r="F50" s="75"/>
      <c r="G50" s="75"/>
      <c r="H50" s="75"/>
      <c r="I50" s="75"/>
      <c r="J50" s="75"/>
      <c r="K50" s="75"/>
      <c r="L50" s="79"/>
      <c r="M50" s="79"/>
      <c r="N50" s="79"/>
      <c r="O50" s="79"/>
      <c r="P50" s="79"/>
      <c r="Q50" s="79"/>
      <c r="R50" s="79"/>
      <c r="S50" s="68"/>
      <c r="T50" s="33">
        <f>T38</f>
        <v>326.82247651338935</v>
      </c>
      <c r="U50" s="33">
        <f>U38</f>
        <v>340.87524875003299</v>
      </c>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1:44">
      <c r="A51" s="1" t="s">
        <v>80</v>
      </c>
      <c r="B51" s="74"/>
      <c r="C51" s="74"/>
      <c r="D51" s="75"/>
      <c r="E51" s="75"/>
      <c r="F51" s="75"/>
      <c r="G51" s="75"/>
      <c r="H51" s="75"/>
      <c r="I51" s="75"/>
      <c r="J51" s="75"/>
      <c r="K51" s="75"/>
      <c r="L51" s="79"/>
      <c r="M51" s="79"/>
      <c r="N51" s="79"/>
      <c r="O51" s="79"/>
      <c r="P51" s="79"/>
      <c r="Q51" s="79"/>
      <c r="R51" s="79"/>
      <c r="S51" s="68"/>
      <c r="T51" s="33">
        <f>T50*Inputs!$T$90</f>
        <v>424.86921946740614</v>
      </c>
      <c r="U51" s="33">
        <f>U50*Inputs!$T$90</f>
        <v>443.1378233750429</v>
      </c>
      <c r="V51" s="33"/>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c r="A52" s="1"/>
      <c r="B52" s="74"/>
      <c r="C52" s="74"/>
      <c r="D52" s="75"/>
      <c r="E52" s="75"/>
      <c r="F52" s="75"/>
      <c r="G52" s="75"/>
      <c r="H52" s="75"/>
      <c r="I52" s="75"/>
      <c r="J52" s="75"/>
      <c r="K52" s="75"/>
      <c r="L52" s="79"/>
      <c r="M52" s="79"/>
      <c r="N52" s="79"/>
      <c r="O52" s="79"/>
      <c r="P52" s="79"/>
      <c r="Q52" s="79"/>
      <c r="R52" s="79"/>
      <c r="S52" s="68"/>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c r="A53" s="1" t="s">
        <v>177</v>
      </c>
      <c r="B53" s="74"/>
      <c r="C53" s="74"/>
      <c r="D53" s="75"/>
      <c r="E53" s="75"/>
      <c r="F53" s="75"/>
      <c r="G53" s="75"/>
      <c r="H53" s="75"/>
      <c r="I53" s="75"/>
      <c r="J53" s="75"/>
      <c r="K53" s="75"/>
      <c r="L53" s="79"/>
      <c r="M53" s="79"/>
      <c r="N53" s="79"/>
      <c r="O53" s="79"/>
      <c r="P53" s="79"/>
      <c r="Q53" s="79"/>
      <c r="R53" s="79"/>
      <c r="S53" s="68"/>
      <c r="T53" s="10"/>
      <c r="U53" s="10"/>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c r="A54" s="1" t="s">
        <v>184</v>
      </c>
      <c r="B54" s="74"/>
      <c r="C54" s="74"/>
      <c r="D54" s="75"/>
      <c r="E54" s="75"/>
      <c r="F54" s="75"/>
      <c r="G54" s="75"/>
      <c r="H54" s="75"/>
      <c r="I54" s="75"/>
      <c r="J54" s="75"/>
      <c r="K54" s="75"/>
      <c r="L54" s="79"/>
      <c r="M54" s="79"/>
      <c r="N54" s="79"/>
      <c r="O54" s="79"/>
      <c r="P54" s="79"/>
      <c r="Q54" s="79"/>
      <c r="R54" s="79"/>
      <c r="S54" s="68"/>
      <c r="T54" s="33">
        <f>T28*T32</f>
        <v>18210.943226281139</v>
      </c>
      <c r="U54" s="33">
        <f>U28*U32</f>
        <v>18993.980672492075</v>
      </c>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c r="A55" s="1" t="s">
        <v>178</v>
      </c>
      <c r="B55" s="74"/>
      <c r="C55" s="74"/>
      <c r="D55" s="75"/>
      <c r="E55" s="75"/>
      <c r="F55" s="75"/>
      <c r="G55" s="75"/>
      <c r="H55" s="75"/>
      <c r="I55" s="75"/>
      <c r="J55" s="75"/>
      <c r="K55" s="75"/>
      <c r="L55" s="79"/>
      <c r="M55" s="79"/>
      <c r="N55" s="79"/>
      <c r="O55" s="79"/>
      <c r="P55" s="79"/>
      <c r="Q55" s="79"/>
      <c r="R55" s="79"/>
      <c r="S55" s="68"/>
      <c r="T55" s="33">
        <f>T54*Inputs!$T$92</f>
        <v>0</v>
      </c>
      <c r="U55" s="33">
        <f>U54*Inputs!$T$92</f>
        <v>0</v>
      </c>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c r="A56" s="30" t="s">
        <v>179</v>
      </c>
      <c r="B56" s="74"/>
      <c r="C56" s="74"/>
      <c r="D56" s="75"/>
      <c r="E56" s="75"/>
      <c r="F56" s="75"/>
      <c r="G56" s="75"/>
      <c r="H56" s="75"/>
      <c r="I56" s="75"/>
      <c r="J56" s="75"/>
      <c r="K56" s="75"/>
      <c r="L56" s="79"/>
      <c r="M56" s="79"/>
      <c r="N56" s="79"/>
      <c r="O56" s="79"/>
      <c r="P56" s="79"/>
      <c r="Q56" s="79"/>
      <c r="R56" s="79"/>
      <c r="S56" s="68"/>
      <c r="T56" s="33">
        <f>T54-T55</f>
        <v>18210.943226281139</v>
      </c>
      <c r="U56" s="33">
        <f>U54-U55</f>
        <v>18993.980672492075</v>
      </c>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c r="B57" s="74"/>
      <c r="C57" s="74"/>
      <c r="D57" s="75"/>
      <c r="E57" s="75"/>
      <c r="F57" s="75"/>
      <c r="G57" s="75"/>
      <c r="H57" s="75"/>
      <c r="I57" s="75"/>
      <c r="J57" s="75"/>
      <c r="K57" s="75"/>
      <c r="L57" s="79"/>
      <c r="M57" s="79"/>
      <c r="N57" s="79"/>
      <c r="O57" s="79"/>
      <c r="P57" s="79"/>
      <c r="Q57" s="79"/>
      <c r="R57" s="79"/>
      <c r="S57" s="68"/>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c r="A58" s="1" t="s">
        <v>81</v>
      </c>
      <c r="B58" s="74"/>
      <c r="C58" s="74"/>
      <c r="D58" s="75"/>
      <c r="E58" s="75"/>
      <c r="F58" s="75"/>
      <c r="G58" s="75"/>
      <c r="H58" s="75"/>
      <c r="I58" s="75"/>
      <c r="J58" s="75"/>
      <c r="K58" s="75"/>
      <c r="L58" s="79"/>
      <c r="M58" s="79"/>
      <c r="N58" s="79"/>
      <c r="O58" s="79"/>
      <c r="P58" s="79"/>
      <c r="Q58" s="79"/>
      <c r="R58" s="79"/>
      <c r="S58" s="68"/>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c r="A59" s="1" t="s">
        <v>82</v>
      </c>
      <c r="B59" s="74"/>
      <c r="C59" s="74"/>
      <c r="D59" s="75"/>
      <c r="E59" s="75"/>
      <c r="F59" s="75"/>
      <c r="G59" s="75"/>
      <c r="H59" s="75"/>
      <c r="I59" s="75"/>
      <c r="J59" s="75"/>
      <c r="K59" s="75"/>
      <c r="L59" s="79"/>
      <c r="M59" s="79"/>
      <c r="N59" s="79"/>
      <c r="O59" s="79"/>
      <c r="P59" s="79"/>
      <c r="Q59" s="79"/>
      <c r="R59" s="79"/>
      <c r="S59" s="68"/>
      <c r="T59" s="33">
        <f>Inputs!T93</f>
        <v>95978.004671595205</v>
      </c>
      <c r="U59" s="33">
        <f>T67</f>
        <v>106397.61102400377</v>
      </c>
      <c r="V59" s="33">
        <f>+U67</f>
        <v>116928.0961947061</v>
      </c>
      <c r="W59" s="33">
        <f t="shared" ref="W59:AA59" si="79">+V67</f>
        <v>120228.71086082749</v>
      </c>
      <c r="X59" s="33">
        <f t="shared" si="79"/>
        <v>121248.07283591465</v>
      </c>
      <c r="Y59" s="33">
        <f t="shared" si="79"/>
        <v>122176.59792911631</v>
      </c>
      <c r="Z59" s="33">
        <f t="shared" si="79"/>
        <v>123459.83711201564</v>
      </c>
      <c r="AA59" s="33">
        <f t="shared" si="79"/>
        <v>124451.18666870684</v>
      </c>
      <c r="AB59" s="33">
        <f t="shared" ref="AB59" si="80">+AA67</f>
        <v>125557.53159940449</v>
      </c>
      <c r="AC59" s="33">
        <f t="shared" ref="AC59" si="81">+AB67</f>
        <v>128702.14244724582</v>
      </c>
      <c r="AD59" s="33">
        <f t="shared" ref="AD59" si="82">+AC67</f>
        <v>127832.95115983918</v>
      </c>
      <c r="AE59" s="33">
        <f t="shared" ref="AE59" si="83">+AD67</f>
        <v>127226.1426099232</v>
      </c>
      <c r="AF59" s="33">
        <f t="shared" ref="AF59" si="84">+AE67</f>
        <v>126783.80682202661</v>
      </c>
      <c r="AG59" s="33">
        <f t="shared" ref="AG59" si="85">+AF67</f>
        <v>126276.86711822583</v>
      </c>
      <c r="AH59" s="33">
        <f t="shared" ref="AH59" si="86">+AG67</f>
        <v>125789.49085370537</v>
      </c>
      <c r="AI59" s="33">
        <f t="shared" ref="AI59" si="87">+AH67</f>
        <v>125248.66437663164</v>
      </c>
      <c r="AJ59" s="33">
        <f t="shared" ref="AJ59" si="88">+AI67</f>
        <v>124800.27182517282</v>
      </c>
      <c r="AK59" s="33">
        <f t="shared" ref="AK59" si="89">+AJ67</f>
        <v>124553.73855365611</v>
      </c>
      <c r="AL59" s="33">
        <f t="shared" ref="AL59" si="90">+AK67</f>
        <v>124401.3957401526</v>
      </c>
      <c r="AM59" s="33">
        <f t="shared" ref="AM59" si="91">+AL67</f>
        <v>124517.26460680795</v>
      </c>
      <c r="AN59" s="33">
        <f t="shared" ref="AN59" si="92">+AM67</f>
        <v>124436.89907135627</v>
      </c>
      <c r="AO59" s="33">
        <f t="shared" ref="AO59" si="93">+AN67</f>
        <v>124423.3407377823</v>
      </c>
      <c r="AP59" s="33">
        <f t="shared" ref="AP59" si="94">+AO67</f>
        <v>124496.78484682382</v>
      </c>
      <c r="AQ59" s="33">
        <f t="shared" ref="AQ59" si="95">+AP67</f>
        <v>124387.59735604175</v>
      </c>
      <c r="AR59" s="33">
        <f t="shared" ref="AR59" si="96">+AQ67</f>
        <v>124519.87057671187</v>
      </c>
    </row>
    <row r="60" spans="1:44">
      <c r="A60" s="1" t="s">
        <v>155</v>
      </c>
      <c r="B60" s="74"/>
      <c r="C60" s="74"/>
      <c r="D60" s="75"/>
      <c r="E60" s="75"/>
      <c r="F60" s="75"/>
      <c r="G60" s="75"/>
      <c r="H60" s="75"/>
      <c r="I60" s="75"/>
      <c r="J60" s="75"/>
      <c r="K60" s="75"/>
      <c r="L60" s="79"/>
      <c r="M60" s="79"/>
      <c r="N60" s="79"/>
      <c r="O60" s="79"/>
      <c r="P60" s="79"/>
      <c r="Q60" s="79"/>
      <c r="R60" s="79"/>
      <c r="S60" s="68"/>
      <c r="T60" s="33">
        <f>T56</f>
        <v>18210.943226281139</v>
      </c>
      <c r="U60" s="33">
        <f>U56</f>
        <v>18993.980672492075</v>
      </c>
      <c r="V60" s="33">
        <f t="shared" ref="V60:AA60" si="97">V28*V32</f>
        <v>11374.78769979123</v>
      </c>
      <c r="W60" s="33">
        <f t="shared" si="97"/>
        <v>8958.6006667412876</v>
      </c>
      <c r="X60" s="33">
        <f t="shared" si="97"/>
        <v>8927.0313439963156</v>
      </c>
      <c r="Y60" s="33">
        <f t="shared" si="97"/>
        <v>9363.6543177088442</v>
      </c>
      <c r="Z60" s="33">
        <f t="shared" si="97"/>
        <v>9135.0423227788688</v>
      </c>
      <c r="AA60" s="33">
        <f t="shared" si="97"/>
        <v>9320.6554583192301</v>
      </c>
      <c r="AB60" s="33">
        <f t="shared" ref="AB60:AN60" si="98">AB28*AB32</f>
        <v>11559.641216814465</v>
      </c>
      <c r="AC60" s="33">
        <f t="shared" si="98"/>
        <v>7490.3587866256612</v>
      </c>
      <c r="AD60" s="33">
        <f t="shared" si="98"/>
        <v>7714.0090634833805</v>
      </c>
      <c r="AE60" s="33">
        <f t="shared" si="98"/>
        <v>7850.2476262753262</v>
      </c>
      <c r="AF60" s="33">
        <f t="shared" si="98"/>
        <v>7753.2858569370219</v>
      </c>
      <c r="AG60" s="33">
        <f t="shared" si="98"/>
        <v>7741.7401729501034</v>
      </c>
      <c r="AH60" s="33">
        <f t="shared" si="98"/>
        <v>7653.769121434676</v>
      </c>
      <c r="AI60" s="33">
        <f t="shared" si="98"/>
        <v>7717.5822458926295</v>
      </c>
      <c r="AJ60" s="33">
        <f t="shared" si="98"/>
        <v>7903.7053595677053</v>
      </c>
      <c r="AK60" s="33">
        <f t="shared" si="98"/>
        <v>7988.1718082083471</v>
      </c>
      <c r="AL60" s="33">
        <f t="shared" si="98"/>
        <v>8263.7793734728893</v>
      </c>
      <c r="AM60" s="33">
        <f t="shared" si="98"/>
        <v>8062.4152563370071</v>
      </c>
      <c r="AN60" s="33">
        <f t="shared" si="98"/>
        <v>8128.3570326674417</v>
      </c>
      <c r="AO60" s="33">
        <f t="shared" ref="AO60:AR60" si="99">AO28*AO32</f>
        <v>8220.0473971366646</v>
      </c>
      <c r="AP60" s="33">
        <f t="shared" si="99"/>
        <v>8030.4463830078093</v>
      </c>
      <c r="AQ60" s="33">
        <f t="shared" si="99"/>
        <v>8280.3500659921465</v>
      </c>
      <c r="AR60" s="33">
        <f t="shared" si="99"/>
        <v>8270.5125629798858</v>
      </c>
    </row>
    <row r="61" spans="1:44">
      <c r="A61" s="1" t="s">
        <v>117</v>
      </c>
      <c r="B61" s="74"/>
      <c r="C61" s="74"/>
      <c r="D61" s="75"/>
      <c r="E61" s="75"/>
      <c r="F61" s="75"/>
      <c r="G61" s="75"/>
      <c r="H61" s="75"/>
      <c r="I61" s="75"/>
      <c r="J61" s="75"/>
      <c r="K61" s="75"/>
      <c r="L61" s="79"/>
      <c r="M61" s="79"/>
      <c r="N61" s="79"/>
      <c r="O61" s="79"/>
      <c r="P61" s="79"/>
      <c r="Q61" s="79"/>
      <c r="R61" s="79"/>
      <c r="S61" s="68"/>
      <c r="T61" s="33">
        <f>Inputs!T94</f>
        <v>-1000</v>
      </c>
      <c r="U61" s="33">
        <f>Inputs!U94</f>
        <v>-1000</v>
      </c>
      <c r="V61" s="33">
        <f>Inputs!V94</f>
        <v>-400</v>
      </c>
      <c r="W61" s="33">
        <f>Inputs!W94</f>
        <v>-200</v>
      </c>
      <c r="X61" s="33">
        <f>Inputs!X94</f>
        <v>-200</v>
      </c>
      <c r="Y61" s="33">
        <f>Inputs!Y94</f>
        <v>-200</v>
      </c>
      <c r="Z61" s="33">
        <f>Inputs!Z94</f>
        <v>-200</v>
      </c>
      <c r="AA61" s="33">
        <f>Inputs!AA94</f>
        <v>-200</v>
      </c>
      <c r="AB61" s="33">
        <f>Inputs!AB94</f>
        <v>-200</v>
      </c>
      <c r="AC61" s="33">
        <f>Inputs!AC94</f>
        <v>-200</v>
      </c>
      <c r="AD61" s="33">
        <f>Inputs!AD94</f>
        <v>-200</v>
      </c>
      <c r="AE61" s="33">
        <f>Inputs!AE94</f>
        <v>-200</v>
      </c>
      <c r="AF61" s="33">
        <f>Inputs!AF94</f>
        <v>-200</v>
      </c>
      <c r="AG61" s="33">
        <f>Inputs!AG94</f>
        <v>-200</v>
      </c>
      <c r="AH61" s="33">
        <f>Inputs!AH94</f>
        <v>-200</v>
      </c>
      <c r="AI61" s="33">
        <f>Inputs!AI94</f>
        <v>-200</v>
      </c>
      <c r="AJ61" s="33">
        <f>Inputs!AJ94</f>
        <v>-200</v>
      </c>
      <c r="AK61" s="33">
        <f>Inputs!AK94</f>
        <v>-200</v>
      </c>
      <c r="AL61" s="33">
        <f>Inputs!AL94</f>
        <v>-200</v>
      </c>
      <c r="AM61" s="33">
        <f>Inputs!AM94</f>
        <v>-200</v>
      </c>
      <c r="AN61" s="33">
        <f>Inputs!AN94</f>
        <v>-200</v>
      </c>
      <c r="AO61" s="33">
        <f>Inputs!AO94</f>
        <v>-200</v>
      </c>
      <c r="AP61" s="33">
        <f>Inputs!AP94</f>
        <v>-200</v>
      </c>
      <c r="AQ61" s="33">
        <f>Inputs!AQ94</f>
        <v>-200</v>
      </c>
      <c r="AR61" s="33">
        <f>Inputs!AR94</f>
        <v>-200</v>
      </c>
    </row>
    <row r="62" spans="1:44">
      <c r="A62" s="1" t="s">
        <v>121</v>
      </c>
      <c r="B62" s="74"/>
      <c r="C62" s="74"/>
      <c r="D62" s="75"/>
      <c r="E62" s="75"/>
      <c r="F62" s="75"/>
      <c r="G62" s="75"/>
      <c r="H62" s="75"/>
      <c r="I62" s="75"/>
      <c r="J62" s="75"/>
      <c r="K62" s="75"/>
      <c r="L62" s="79"/>
      <c r="M62" s="79"/>
      <c r="N62" s="79"/>
      <c r="O62" s="79"/>
      <c r="P62" s="79"/>
      <c r="Q62" s="79"/>
      <c r="R62" s="79"/>
      <c r="S62" s="68"/>
      <c r="T62" s="33">
        <f>SUM(T60:T61)</f>
        <v>17210.943226281139</v>
      </c>
      <c r="U62" s="33">
        <f>SUM(U60:U61)</f>
        <v>17993.980672492075</v>
      </c>
      <c r="V62" s="33">
        <f t="shared" ref="V62:AA62" si="100">SUM(V60:V61)</f>
        <v>10974.78769979123</v>
      </c>
      <c r="W62" s="33">
        <f t="shared" si="100"/>
        <v>8758.6006667412876</v>
      </c>
      <c r="X62" s="33">
        <f t="shared" si="100"/>
        <v>8727.0313439963156</v>
      </c>
      <c r="Y62" s="33">
        <f t="shared" si="100"/>
        <v>9163.6543177088442</v>
      </c>
      <c r="Z62" s="33">
        <f t="shared" si="100"/>
        <v>8935.0423227788688</v>
      </c>
      <c r="AA62" s="33">
        <f t="shared" si="100"/>
        <v>9120.6554583192301</v>
      </c>
      <c r="AB62" s="33">
        <f t="shared" ref="AB62:AN62" si="101">SUM(AB60:AB61)</f>
        <v>11359.641216814465</v>
      </c>
      <c r="AC62" s="33">
        <f t="shared" si="101"/>
        <v>7290.3587866256612</v>
      </c>
      <c r="AD62" s="33">
        <f t="shared" si="101"/>
        <v>7514.0090634833805</v>
      </c>
      <c r="AE62" s="33">
        <f t="shared" si="101"/>
        <v>7650.2476262753262</v>
      </c>
      <c r="AF62" s="33">
        <f t="shared" si="101"/>
        <v>7553.2858569370219</v>
      </c>
      <c r="AG62" s="33">
        <f t="shared" si="101"/>
        <v>7541.7401729501034</v>
      </c>
      <c r="AH62" s="33">
        <f t="shared" si="101"/>
        <v>7453.769121434676</v>
      </c>
      <c r="AI62" s="33">
        <f t="shared" si="101"/>
        <v>7517.5822458926295</v>
      </c>
      <c r="AJ62" s="33">
        <f t="shared" si="101"/>
        <v>7703.7053595677053</v>
      </c>
      <c r="AK62" s="33">
        <f t="shared" si="101"/>
        <v>7788.1718082083471</v>
      </c>
      <c r="AL62" s="33">
        <f t="shared" si="101"/>
        <v>8063.7793734728893</v>
      </c>
      <c r="AM62" s="33">
        <f t="shared" si="101"/>
        <v>7862.4152563370071</v>
      </c>
      <c r="AN62" s="33">
        <f t="shared" si="101"/>
        <v>7928.3570326674417</v>
      </c>
      <c r="AO62" s="33">
        <f t="shared" ref="AO62:AR62" si="102">SUM(AO60:AO61)</f>
        <v>8020.0473971366646</v>
      </c>
      <c r="AP62" s="33">
        <f t="shared" si="102"/>
        <v>7830.4463830078093</v>
      </c>
      <c r="AQ62" s="33">
        <f t="shared" si="102"/>
        <v>8080.3500659921465</v>
      </c>
      <c r="AR62" s="33">
        <f t="shared" si="102"/>
        <v>8070.5125629798858</v>
      </c>
    </row>
    <row r="63" spans="1:44">
      <c r="A63" s="1" t="s">
        <v>120</v>
      </c>
      <c r="B63" s="74"/>
      <c r="C63" s="74"/>
      <c r="D63" s="75"/>
      <c r="E63" s="75"/>
      <c r="F63" s="75"/>
      <c r="G63" s="75"/>
      <c r="H63" s="75"/>
      <c r="I63" s="75"/>
      <c r="J63" s="75"/>
      <c r="K63" s="75"/>
      <c r="L63" s="79"/>
      <c r="M63" s="79"/>
      <c r="N63" s="79"/>
      <c r="O63" s="79"/>
      <c r="P63" s="79"/>
      <c r="Q63" s="79"/>
      <c r="R63" s="79"/>
      <c r="S63" s="68"/>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c r="A64" s="1" t="s">
        <v>75</v>
      </c>
      <c r="B64" s="74"/>
      <c r="C64" s="74"/>
      <c r="D64" s="75"/>
      <c r="E64" s="75"/>
      <c r="F64" s="75"/>
      <c r="G64" s="75"/>
      <c r="H64" s="75"/>
      <c r="I64" s="75"/>
      <c r="J64" s="75"/>
      <c r="K64" s="75"/>
      <c r="L64" s="79"/>
      <c r="M64" s="79"/>
      <c r="N64" s="79"/>
      <c r="O64" s="79"/>
      <c r="P64" s="79"/>
      <c r="Q64" s="79"/>
      <c r="R64" s="79"/>
      <c r="S64" s="68"/>
      <c r="T64" s="33">
        <f>T59+T62</f>
        <v>113188.94789787635</v>
      </c>
      <c r="U64" s="33">
        <f t="shared" ref="U64" si="103">U59+U62</f>
        <v>124391.59169649585</v>
      </c>
      <c r="V64" s="33">
        <f>V59+V62</f>
        <v>127902.88389449732</v>
      </c>
      <c r="W64" s="33">
        <f t="shared" ref="W64:AA64" si="104">W59+W62</f>
        <v>128987.31152756877</v>
      </c>
      <c r="X64" s="33">
        <f t="shared" si="104"/>
        <v>129975.10417991097</v>
      </c>
      <c r="Y64" s="33">
        <f t="shared" si="104"/>
        <v>131340.25224682514</v>
      </c>
      <c r="Z64" s="33">
        <f t="shared" si="104"/>
        <v>132394.87943479451</v>
      </c>
      <c r="AA64" s="33">
        <f t="shared" si="104"/>
        <v>133571.84212702606</v>
      </c>
      <c r="AB64" s="33">
        <f t="shared" ref="AB64:AN64" si="105">AB59+AB62</f>
        <v>136917.17281621895</v>
      </c>
      <c r="AC64" s="33">
        <f t="shared" si="105"/>
        <v>135992.50123387147</v>
      </c>
      <c r="AD64" s="33">
        <f t="shared" si="105"/>
        <v>135346.96022332256</v>
      </c>
      <c r="AE64" s="33">
        <f t="shared" si="105"/>
        <v>134876.39023619852</v>
      </c>
      <c r="AF64" s="33">
        <f t="shared" si="105"/>
        <v>134337.09267896364</v>
      </c>
      <c r="AG64" s="33">
        <f t="shared" si="105"/>
        <v>133818.60729117593</v>
      </c>
      <c r="AH64" s="33">
        <f t="shared" si="105"/>
        <v>133243.25997514004</v>
      </c>
      <c r="AI64" s="33">
        <f t="shared" si="105"/>
        <v>132766.24662252428</v>
      </c>
      <c r="AJ64" s="33">
        <f t="shared" si="105"/>
        <v>132503.97718474054</v>
      </c>
      <c r="AK64" s="33">
        <f t="shared" si="105"/>
        <v>132341.91036186446</v>
      </c>
      <c r="AL64" s="33">
        <f t="shared" si="105"/>
        <v>132465.17511362548</v>
      </c>
      <c r="AM64" s="33">
        <f t="shared" si="105"/>
        <v>132379.67986314496</v>
      </c>
      <c r="AN64" s="33">
        <f t="shared" si="105"/>
        <v>132365.25610402372</v>
      </c>
      <c r="AO64" s="33">
        <f t="shared" ref="AO64:AR64" si="106">AO59+AO62</f>
        <v>132443.38813491896</v>
      </c>
      <c r="AP64" s="33">
        <f t="shared" si="106"/>
        <v>132327.23122983164</v>
      </c>
      <c r="AQ64" s="33">
        <f t="shared" si="106"/>
        <v>132467.9474220339</v>
      </c>
      <c r="AR64" s="33">
        <f t="shared" si="106"/>
        <v>132590.38313969175</v>
      </c>
    </row>
    <row r="65" spans="1:44">
      <c r="A65" s="1" t="s">
        <v>83</v>
      </c>
      <c r="B65" s="74"/>
      <c r="C65" s="74"/>
      <c r="D65" s="75"/>
      <c r="E65" s="75"/>
      <c r="F65" s="75"/>
      <c r="G65" s="75"/>
      <c r="H65" s="75"/>
      <c r="I65" s="75"/>
      <c r="J65" s="75"/>
      <c r="K65" s="75"/>
      <c r="L65" s="79"/>
      <c r="M65" s="79"/>
      <c r="N65" s="79"/>
      <c r="O65" s="79"/>
      <c r="P65" s="79"/>
      <c r="Q65" s="79"/>
      <c r="R65" s="79"/>
      <c r="S65" s="68"/>
      <c r="T65" s="33">
        <f>T64*Inputs!$T$95</f>
        <v>6791.3368738725812</v>
      </c>
      <c r="U65" s="33">
        <f>U64*Inputs!$T$95</f>
        <v>7463.4955017897501</v>
      </c>
      <c r="V65" s="33">
        <f>V64*Inputs!$T$95</f>
        <v>7674.1730336698392</v>
      </c>
      <c r="W65" s="33">
        <f>W64*Inputs!$T$95</f>
        <v>7739.2386916541263</v>
      </c>
      <c r="X65" s="33">
        <f>X64*Inputs!$T$95</f>
        <v>7798.5062507946577</v>
      </c>
      <c r="Y65" s="33">
        <f>Y64*Inputs!$T$95</f>
        <v>7880.4151348095083</v>
      </c>
      <c r="Z65" s="33">
        <f>Z64*Inputs!$T$95</f>
        <v>7943.69276608767</v>
      </c>
      <c r="AA65" s="33">
        <f>AA64*Inputs!$T$95</f>
        <v>8014.3105276215629</v>
      </c>
      <c r="AB65" s="33">
        <f>AB64*Inputs!$T$95</f>
        <v>8215.0303689731372</v>
      </c>
      <c r="AC65" s="33">
        <f>AC64*Inputs!$T$95</f>
        <v>8159.5500740322877</v>
      </c>
      <c r="AD65" s="33">
        <f>AD64*Inputs!$T$95</f>
        <v>8120.8176133993529</v>
      </c>
      <c r="AE65" s="33">
        <f>AE64*Inputs!$T$95</f>
        <v>8092.5834141719115</v>
      </c>
      <c r="AF65" s="33">
        <f>AF64*Inputs!$T$95</f>
        <v>8060.2255607378183</v>
      </c>
      <c r="AG65" s="33">
        <f>AG64*Inputs!$T$95</f>
        <v>8029.116437470555</v>
      </c>
      <c r="AH65" s="33">
        <f>AH64*Inputs!$T$95</f>
        <v>7994.595598508402</v>
      </c>
      <c r="AI65" s="33">
        <f>AI64*Inputs!$T$95</f>
        <v>7965.9747973514568</v>
      </c>
      <c r="AJ65" s="33">
        <f>AJ64*Inputs!$T$95</f>
        <v>7950.2386310844322</v>
      </c>
      <c r="AK65" s="33">
        <f>AK64*Inputs!$T$95</f>
        <v>7940.5146217118672</v>
      </c>
      <c r="AL65" s="33">
        <f>AL64*Inputs!$T$95</f>
        <v>7947.9105068175286</v>
      </c>
      <c r="AM65" s="33">
        <f>AM64*Inputs!$T$95</f>
        <v>7942.7807917886976</v>
      </c>
      <c r="AN65" s="33">
        <f>AN64*Inputs!$T$95</f>
        <v>7941.9153662414228</v>
      </c>
      <c r="AO65" s="33">
        <f>AO64*Inputs!$T$95</f>
        <v>7946.603288095137</v>
      </c>
      <c r="AP65" s="33">
        <f>AP64*Inputs!$T$95</f>
        <v>7939.6338737898977</v>
      </c>
      <c r="AQ65" s="33">
        <f>AQ64*Inputs!$T$95</f>
        <v>7948.0768453220335</v>
      </c>
      <c r="AR65" s="33">
        <f>AR64*Inputs!$T$95</f>
        <v>7955.4229883815051</v>
      </c>
    </row>
    <row r="66" spans="1:44">
      <c r="A66" s="1" t="s">
        <v>123</v>
      </c>
      <c r="B66" s="74"/>
      <c r="C66" s="74"/>
      <c r="D66" s="75"/>
      <c r="E66" s="75"/>
      <c r="F66" s="75"/>
      <c r="G66" s="75"/>
      <c r="H66" s="75"/>
      <c r="I66" s="75"/>
      <c r="J66" s="75"/>
      <c r="K66" s="75"/>
      <c r="L66" s="79"/>
      <c r="M66" s="79"/>
      <c r="N66" s="79"/>
      <c r="O66" s="79"/>
      <c r="P66" s="79"/>
      <c r="Q66" s="79"/>
      <c r="R66" s="79"/>
      <c r="S66" s="68"/>
      <c r="T66" s="33">
        <f>T71</f>
        <v>0</v>
      </c>
      <c r="U66" s="33">
        <f>U71</f>
        <v>0</v>
      </c>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c r="A67" s="1" t="s">
        <v>84</v>
      </c>
      <c r="B67" s="74"/>
      <c r="C67" s="74"/>
      <c r="D67" s="75"/>
      <c r="E67" s="75"/>
      <c r="F67" s="75"/>
      <c r="G67" s="75"/>
      <c r="H67" s="75"/>
      <c r="I67" s="75"/>
      <c r="J67" s="75"/>
      <c r="K67" s="75"/>
      <c r="L67" s="79"/>
      <c r="M67" s="79"/>
      <c r="N67" s="79"/>
      <c r="O67" s="79"/>
      <c r="P67" s="79"/>
      <c r="Q67" s="79"/>
      <c r="R67" s="79"/>
      <c r="S67" s="68"/>
      <c r="T67" s="49">
        <f>(T64-T65)+T66</f>
        <v>106397.61102400377</v>
      </c>
      <c r="U67" s="49">
        <f>(U64-U65)+U66</f>
        <v>116928.0961947061</v>
      </c>
      <c r="V67" s="49">
        <f>V64-V65</f>
        <v>120228.71086082749</v>
      </c>
      <c r="W67" s="49">
        <f t="shared" ref="W67:AA67" si="107">W64-W65</f>
        <v>121248.07283591465</v>
      </c>
      <c r="X67" s="49">
        <f t="shared" si="107"/>
        <v>122176.59792911631</v>
      </c>
      <c r="Y67" s="49">
        <f t="shared" si="107"/>
        <v>123459.83711201564</v>
      </c>
      <c r="Z67" s="49">
        <f t="shared" si="107"/>
        <v>124451.18666870684</v>
      </c>
      <c r="AA67" s="49">
        <f t="shared" si="107"/>
        <v>125557.53159940449</v>
      </c>
      <c r="AB67" s="49">
        <f t="shared" ref="AB67:AN67" si="108">AB64-AB65</f>
        <v>128702.14244724582</v>
      </c>
      <c r="AC67" s="49">
        <f t="shared" si="108"/>
        <v>127832.95115983918</v>
      </c>
      <c r="AD67" s="49">
        <f t="shared" si="108"/>
        <v>127226.1426099232</v>
      </c>
      <c r="AE67" s="49">
        <f t="shared" si="108"/>
        <v>126783.80682202661</v>
      </c>
      <c r="AF67" s="49">
        <f t="shared" si="108"/>
        <v>126276.86711822583</v>
      </c>
      <c r="AG67" s="49">
        <f t="shared" si="108"/>
        <v>125789.49085370537</v>
      </c>
      <c r="AH67" s="49">
        <f t="shared" si="108"/>
        <v>125248.66437663164</v>
      </c>
      <c r="AI67" s="49">
        <f t="shared" si="108"/>
        <v>124800.27182517282</v>
      </c>
      <c r="AJ67" s="49">
        <f t="shared" si="108"/>
        <v>124553.73855365611</v>
      </c>
      <c r="AK67" s="49">
        <f t="shared" si="108"/>
        <v>124401.3957401526</v>
      </c>
      <c r="AL67" s="49">
        <f t="shared" si="108"/>
        <v>124517.26460680795</v>
      </c>
      <c r="AM67" s="49">
        <f t="shared" si="108"/>
        <v>124436.89907135627</v>
      </c>
      <c r="AN67" s="49">
        <f t="shared" si="108"/>
        <v>124423.3407377823</v>
      </c>
      <c r="AO67" s="49">
        <f t="shared" ref="AO67:AR67" si="109">AO64-AO65</f>
        <v>124496.78484682382</v>
      </c>
      <c r="AP67" s="49">
        <f t="shared" si="109"/>
        <v>124387.59735604175</v>
      </c>
      <c r="AQ67" s="49">
        <f t="shared" si="109"/>
        <v>124519.87057671187</v>
      </c>
      <c r="AR67" s="49">
        <f t="shared" si="109"/>
        <v>124634.96015131025</v>
      </c>
    </row>
    <row r="68" spans="1:44">
      <c r="A68" s="1"/>
      <c r="B68" s="74"/>
      <c r="C68" s="74"/>
      <c r="D68" s="75"/>
      <c r="E68" s="75"/>
      <c r="F68" s="75"/>
      <c r="G68" s="75"/>
      <c r="H68" s="75"/>
      <c r="I68" s="75"/>
      <c r="J68" s="75"/>
      <c r="K68" s="75"/>
      <c r="L68" s="79"/>
      <c r="M68" s="79"/>
      <c r="N68" s="79"/>
      <c r="O68" s="79"/>
      <c r="P68" s="79"/>
      <c r="Q68" s="79"/>
      <c r="R68" s="79"/>
      <c r="S68" s="68"/>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c r="A69" s="1" t="s">
        <v>119</v>
      </c>
      <c r="B69" s="74"/>
      <c r="C69" s="74"/>
      <c r="D69" s="75"/>
      <c r="E69" s="75"/>
      <c r="F69" s="75"/>
      <c r="G69" s="75"/>
      <c r="H69" s="75"/>
      <c r="I69" s="75"/>
      <c r="J69" s="75"/>
      <c r="K69" s="75"/>
      <c r="L69" s="79"/>
      <c r="M69" s="79"/>
      <c r="N69" s="79"/>
      <c r="O69" s="79"/>
      <c r="P69" s="79"/>
      <c r="Q69" s="79"/>
      <c r="R69" s="79"/>
      <c r="S69" s="68"/>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c r="A70" s="1" t="s">
        <v>79</v>
      </c>
      <c r="B70" s="74"/>
      <c r="C70" s="74"/>
      <c r="D70" s="75"/>
      <c r="E70" s="75"/>
      <c r="F70" s="75"/>
      <c r="G70" s="75"/>
      <c r="H70" s="75"/>
      <c r="I70" s="75"/>
      <c r="J70" s="75"/>
      <c r="K70" s="75"/>
      <c r="L70" s="79"/>
      <c r="M70" s="79"/>
      <c r="N70" s="79"/>
      <c r="O70" s="79"/>
      <c r="P70" s="79"/>
      <c r="Q70" s="79"/>
      <c r="R70" s="79"/>
      <c r="S70" s="68"/>
      <c r="T70" s="33">
        <f>T55</f>
        <v>0</v>
      </c>
      <c r="U70" s="33">
        <f>U55</f>
        <v>0</v>
      </c>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c r="A71" s="1" t="s">
        <v>122</v>
      </c>
      <c r="B71" s="74"/>
      <c r="C71" s="74"/>
      <c r="D71" s="75"/>
      <c r="E71" s="75"/>
      <c r="F71" s="75"/>
      <c r="G71" s="75"/>
      <c r="H71" s="75"/>
      <c r="I71" s="75"/>
      <c r="J71" s="75"/>
      <c r="K71" s="75"/>
      <c r="L71" s="79"/>
      <c r="M71" s="79"/>
      <c r="N71" s="79"/>
      <c r="O71" s="79"/>
      <c r="P71" s="79"/>
      <c r="Q71" s="79"/>
      <c r="R71" s="79"/>
      <c r="S71" s="68"/>
      <c r="T71" s="33">
        <f>T70*Inputs!T96</f>
        <v>0</v>
      </c>
      <c r="U71" s="33">
        <f>U70*Inputs!T96</f>
        <v>0</v>
      </c>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c r="A72" s="1"/>
      <c r="B72" s="74"/>
      <c r="C72" s="74"/>
      <c r="D72" s="75"/>
      <c r="E72" s="75"/>
      <c r="F72" s="75"/>
      <c r="G72" s="75"/>
      <c r="H72" s="75"/>
      <c r="I72" s="75"/>
      <c r="J72" s="75"/>
      <c r="K72" s="75"/>
      <c r="L72" s="79"/>
      <c r="M72" s="79"/>
      <c r="N72" s="79"/>
      <c r="O72" s="79"/>
      <c r="P72" s="79"/>
      <c r="Q72" s="79"/>
      <c r="R72" s="79"/>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c r="A73" s="1" t="s">
        <v>126</v>
      </c>
      <c r="B73" s="74"/>
      <c r="C73" s="74"/>
      <c r="D73" s="75"/>
      <c r="E73" s="75"/>
      <c r="F73" s="75"/>
      <c r="G73" s="75"/>
      <c r="H73" s="75"/>
      <c r="I73" s="75"/>
      <c r="J73" s="75"/>
      <c r="K73" s="75"/>
      <c r="L73" s="79"/>
      <c r="M73" s="79"/>
      <c r="N73" s="79"/>
      <c r="O73" s="79"/>
      <c r="P73" s="79"/>
      <c r="Q73" s="79"/>
      <c r="R73" s="79"/>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c r="A74" s="1" t="s">
        <v>102</v>
      </c>
      <c r="B74" s="74"/>
      <c r="C74" s="74"/>
      <c r="D74" s="75"/>
      <c r="E74" s="75"/>
      <c r="F74" s="75"/>
      <c r="G74" s="75"/>
      <c r="H74" s="75"/>
      <c r="I74" s="75"/>
      <c r="J74" s="75"/>
      <c r="K74" s="75"/>
      <c r="L74" s="79"/>
      <c r="M74" s="79"/>
      <c r="N74" s="79"/>
      <c r="O74" s="79"/>
      <c r="P74" s="79"/>
      <c r="Q74" s="79"/>
      <c r="R74" s="79"/>
      <c r="S74" s="33"/>
      <c r="T74" s="33">
        <f>T46</f>
        <v>1533.8493519516908</v>
      </c>
      <c r="U74" s="33">
        <f t="shared" ref="U74:AA74" si="110">U46</f>
        <v>1809.97437157544</v>
      </c>
      <c r="V74" s="33">
        <f t="shared" si="110"/>
        <v>1851.626471151031</v>
      </c>
      <c r="W74" s="33">
        <f t="shared" si="110"/>
        <v>1807.7294633517718</v>
      </c>
      <c r="X74" s="33">
        <f t="shared" si="110"/>
        <v>1770.714111699524</v>
      </c>
      <c r="Y74" s="33">
        <f t="shared" si="110"/>
        <v>1754.4660515745959</v>
      </c>
      <c r="Z74" s="33">
        <f t="shared" si="110"/>
        <v>1733.7576338545493</v>
      </c>
      <c r="AA74" s="33">
        <f t="shared" si="110"/>
        <v>1722.772718406082</v>
      </c>
      <c r="AB74" s="33">
        <f t="shared" ref="AB74:AN74" si="111">AB46</f>
        <v>1786.0925641616618</v>
      </c>
      <c r="AC74" s="33">
        <f t="shared" si="111"/>
        <v>1706.5620457585551</v>
      </c>
      <c r="AD74" s="33">
        <f t="shared" si="111"/>
        <v>1648.5717473395018</v>
      </c>
      <c r="AE74" s="33">
        <f t="shared" si="111"/>
        <v>1605.4207093867672</v>
      </c>
      <c r="AF74" s="33">
        <f t="shared" si="111"/>
        <v>1566.9046364283956</v>
      </c>
      <c r="AG74" s="33">
        <f t="shared" si="111"/>
        <v>1534.9484885373315</v>
      </c>
      <c r="AH74" s="33">
        <f t="shared" si="111"/>
        <v>1505.9026586888285</v>
      </c>
      <c r="AI74" s="33">
        <f t="shared" si="111"/>
        <v>1484.1464768785986</v>
      </c>
      <c r="AJ74" s="33">
        <f t="shared" si="111"/>
        <v>1472.3188690459588</v>
      </c>
      <c r="AK74" s="33">
        <f t="shared" si="111"/>
        <v>1465.3488076359945</v>
      </c>
      <c r="AL74" s="33">
        <f t="shared" si="111"/>
        <v>1468.5364954990496</v>
      </c>
      <c r="AM74" s="33">
        <f t="shared" si="111"/>
        <v>1464.6455978170479</v>
      </c>
      <c r="AN74" s="33">
        <f t="shared" si="111"/>
        <v>1463.5852236693754</v>
      </c>
      <c r="AO74" s="33">
        <f t="shared" ref="AO74:AR74" si="112">AO46</f>
        <v>1465.6776529365377</v>
      </c>
      <c r="AP74" s="33">
        <f t="shared" si="112"/>
        <v>1461.2686347052595</v>
      </c>
      <c r="AQ74" s="33">
        <f t="shared" si="112"/>
        <v>1465.7260480218411</v>
      </c>
      <c r="AR74" s="33">
        <f t="shared" si="112"/>
        <v>1469.0633394055039</v>
      </c>
    </row>
    <row r="75" spans="1:44">
      <c r="A75" s="1" t="s">
        <v>124</v>
      </c>
      <c r="B75" s="74"/>
      <c r="C75" s="74"/>
      <c r="D75" s="75"/>
      <c r="E75" s="75"/>
      <c r="F75" s="75"/>
      <c r="G75" s="75"/>
      <c r="H75" s="75"/>
      <c r="I75" s="75"/>
      <c r="J75" s="75"/>
      <c r="K75" s="75"/>
      <c r="L75" s="79"/>
      <c r="M75" s="79"/>
      <c r="N75" s="79"/>
      <c r="O75" s="79"/>
      <c r="P75" s="79"/>
      <c r="Q75" s="79"/>
      <c r="R75" s="79"/>
      <c r="S75" s="33"/>
      <c r="T75" s="33">
        <f>T51</f>
        <v>424.86921946740614</v>
      </c>
      <c r="U75" s="33">
        <f t="shared" ref="U75:AA75" si="113">U51</f>
        <v>443.1378233750429</v>
      </c>
      <c r="V75" s="33">
        <f t="shared" si="113"/>
        <v>0</v>
      </c>
      <c r="W75" s="33">
        <f t="shared" si="113"/>
        <v>0</v>
      </c>
      <c r="X75" s="33">
        <f t="shared" si="113"/>
        <v>0</v>
      </c>
      <c r="Y75" s="33">
        <f t="shared" si="113"/>
        <v>0</v>
      </c>
      <c r="Z75" s="33">
        <f t="shared" si="113"/>
        <v>0</v>
      </c>
      <c r="AA75" s="33">
        <f t="shared" si="113"/>
        <v>0</v>
      </c>
      <c r="AB75" s="33">
        <f t="shared" ref="AB75:AN75" si="114">AB51</f>
        <v>0</v>
      </c>
      <c r="AC75" s="33">
        <f t="shared" si="114"/>
        <v>0</v>
      </c>
      <c r="AD75" s="33">
        <f t="shared" si="114"/>
        <v>0</v>
      </c>
      <c r="AE75" s="33">
        <f t="shared" si="114"/>
        <v>0</v>
      </c>
      <c r="AF75" s="33">
        <f t="shared" si="114"/>
        <v>0</v>
      </c>
      <c r="AG75" s="33">
        <f t="shared" si="114"/>
        <v>0</v>
      </c>
      <c r="AH75" s="33">
        <f t="shared" si="114"/>
        <v>0</v>
      </c>
      <c r="AI75" s="33">
        <f t="shared" si="114"/>
        <v>0</v>
      </c>
      <c r="AJ75" s="33">
        <f t="shared" si="114"/>
        <v>0</v>
      </c>
      <c r="AK75" s="33">
        <f t="shared" si="114"/>
        <v>0</v>
      </c>
      <c r="AL75" s="33">
        <f t="shared" si="114"/>
        <v>0</v>
      </c>
      <c r="AM75" s="33">
        <f t="shared" si="114"/>
        <v>0</v>
      </c>
      <c r="AN75" s="33">
        <f t="shared" si="114"/>
        <v>0</v>
      </c>
      <c r="AO75" s="33">
        <f t="shared" ref="AO75:AR75" si="115">AO51</f>
        <v>0</v>
      </c>
      <c r="AP75" s="33">
        <f t="shared" si="115"/>
        <v>0</v>
      </c>
      <c r="AQ75" s="33">
        <f t="shared" si="115"/>
        <v>0</v>
      </c>
      <c r="AR75" s="33">
        <f t="shared" si="115"/>
        <v>0</v>
      </c>
    </row>
    <row r="76" spans="1:44">
      <c r="A76" s="1" t="s">
        <v>103</v>
      </c>
      <c r="B76" s="74"/>
      <c r="C76" s="74"/>
      <c r="D76" s="75"/>
      <c r="E76" s="75"/>
      <c r="F76" s="75"/>
      <c r="G76" s="75"/>
      <c r="H76" s="75"/>
      <c r="I76" s="75"/>
      <c r="J76" s="75"/>
      <c r="K76" s="75"/>
      <c r="L76" s="79"/>
      <c r="M76" s="79"/>
      <c r="N76" s="79"/>
      <c r="O76" s="79"/>
      <c r="P76" s="79"/>
      <c r="Q76" s="79"/>
      <c r="R76" s="79"/>
      <c r="S76" s="33"/>
      <c r="T76" s="33">
        <f>T65</f>
        <v>6791.3368738725812</v>
      </c>
      <c r="U76" s="33">
        <f t="shared" ref="U76:AA76" si="116">U65</f>
        <v>7463.4955017897501</v>
      </c>
      <c r="V76" s="33">
        <f t="shared" si="116"/>
        <v>7674.1730336698392</v>
      </c>
      <c r="W76" s="33">
        <f t="shared" si="116"/>
        <v>7739.2386916541263</v>
      </c>
      <c r="X76" s="33">
        <f t="shared" si="116"/>
        <v>7798.5062507946577</v>
      </c>
      <c r="Y76" s="33">
        <f t="shared" si="116"/>
        <v>7880.4151348095083</v>
      </c>
      <c r="Z76" s="33">
        <f t="shared" si="116"/>
        <v>7943.69276608767</v>
      </c>
      <c r="AA76" s="33">
        <f t="shared" si="116"/>
        <v>8014.3105276215629</v>
      </c>
      <c r="AB76" s="33">
        <f t="shared" ref="AB76:AN76" si="117">AB65</f>
        <v>8215.0303689731372</v>
      </c>
      <c r="AC76" s="33">
        <f t="shared" si="117"/>
        <v>8159.5500740322877</v>
      </c>
      <c r="AD76" s="33">
        <f t="shared" si="117"/>
        <v>8120.8176133993529</v>
      </c>
      <c r="AE76" s="33">
        <f t="shared" si="117"/>
        <v>8092.5834141719115</v>
      </c>
      <c r="AF76" s="33">
        <f t="shared" si="117"/>
        <v>8060.2255607378183</v>
      </c>
      <c r="AG76" s="33">
        <f t="shared" si="117"/>
        <v>8029.116437470555</v>
      </c>
      <c r="AH76" s="33">
        <f t="shared" si="117"/>
        <v>7994.595598508402</v>
      </c>
      <c r="AI76" s="33">
        <f t="shared" si="117"/>
        <v>7965.9747973514568</v>
      </c>
      <c r="AJ76" s="33">
        <f t="shared" si="117"/>
        <v>7950.2386310844322</v>
      </c>
      <c r="AK76" s="33">
        <f t="shared" si="117"/>
        <v>7940.5146217118672</v>
      </c>
      <c r="AL76" s="33">
        <f t="shared" si="117"/>
        <v>7947.9105068175286</v>
      </c>
      <c r="AM76" s="33">
        <f t="shared" si="117"/>
        <v>7942.7807917886976</v>
      </c>
      <c r="AN76" s="33">
        <f t="shared" si="117"/>
        <v>7941.9153662414228</v>
      </c>
      <c r="AO76" s="33">
        <f t="shared" ref="AO76:AR76" si="118">AO65</f>
        <v>7946.603288095137</v>
      </c>
      <c r="AP76" s="33">
        <f t="shared" si="118"/>
        <v>7939.6338737898977</v>
      </c>
      <c r="AQ76" s="33">
        <f t="shared" si="118"/>
        <v>7948.0768453220335</v>
      </c>
      <c r="AR76" s="33">
        <f t="shared" si="118"/>
        <v>7955.4229883815051</v>
      </c>
    </row>
    <row r="77" spans="1:44">
      <c r="A77" s="1" t="s">
        <v>125</v>
      </c>
      <c r="B77" s="74"/>
      <c r="C77" s="74"/>
      <c r="D77" s="75"/>
      <c r="E77" s="75"/>
      <c r="F77" s="75"/>
      <c r="G77" s="75"/>
      <c r="H77" s="75"/>
      <c r="I77" s="75"/>
      <c r="J77" s="75"/>
      <c r="K77" s="75"/>
      <c r="L77" s="79"/>
      <c r="M77" s="79"/>
      <c r="N77" s="79"/>
      <c r="O77" s="79"/>
      <c r="P77" s="79"/>
      <c r="Q77" s="79"/>
      <c r="R77" s="79"/>
      <c r="S77" s="33"/>
      <c r="T77" s="33">
        <f>T71</f>
        <v>0</v>
      </c>
      <c r="U77" s="33">
        <f t="shared" ref="U77:AA77" si="119">U71</f>
        <v>0</v>
      </c>
      <c r="V77" s="33">
        <f t="shared" si="119"/>
        <v>0</v>
      </c>
      <c r="W77" s="33">
        <f t="shared" si="119"/>
        <v>0</v>
      </c>
      <c r="X77" s="33">
        <f t="shared" si="119"/>
        <v>0</v>
      </c>
      <c r="Y77" s="33">
        <f t="shared" si="119"/>
        <v>0</v>
      </c>
      <c r="Z77" s="33">
        <f t="shared" si="119"/>
        <v>0</v>
      </c>
      <c r="AA77" s="33">
        <f t="shared" si="119"/>
        <v>0</v>
      </c>
      <c r="AB77" s="33">
        <f t="shared" ref="AB77:AN77" si="120">AB71</f>
        <v>0</v>
      </c>
      <c r="AC77" s="33">
        <f t="shared" si="120"/>
        <v>0</v>
      </c>
      <c r="AD77" s="33">
        <f t="shared" si="120"/>
        <v>0</v>
      </c>
      <c r="AE77" s="33">
        <f t="shared" si="120"/>
        <v>0</v>
      </c>
      <c r="AF77" s="33">
        <f t="shared" si="120"/>
        <v>0</v>
      </c>
      <c r="AG77" s="33">
        <f t="shared" si="120"/>
        <v>0</v>
      </c>
      <c r="AH77" s="33">
        <f t="shared" si="120"/>
        <v>0</v>
      </c>
      <c r="AI77" s="33">
        <f t="shared" si="120"/>
        <v>0</v>
      </c>
      <c r="AJ77" s="33">
        <f t="shared" si="120"/>
        <v>0</v>
      </c>
      <c r="AK77" s="33">
        <f t="shared" si="120"/>
        <v>0</v>
      </c>
      <c r="AL77" s="33">
        <f t="shared" si="120"/>
        <v>0</v>
      </c>
      <c r="AM77" s="33">
        <f t="shared" si="120"/>
        <v>0</v>
      </c>
      <c r="AN77" s="33">
        <f t="shared" si="120"/>
        <v>0</v>
      </c>
      <c r="AO77" s="33">
        <f t="shared" ref="AO77:AR77" si="121">AO71</f>
        <v>0</v>
      </c>
      <c r="AP77" s="33">
        <f t="shared" si="121"/>
        <v>0</v>
      </c>
      <c r="AQ77" s="33">
        <f t="shared" si="121"/>
        <v>0</v>
      </c>
      <c r="AR77" s="33">
        <f t="shared" si="121"/>
        <v>0</v>
      </c>
    </row>
    <row r="78" spans="1:44">
      <c r="A78" s="1" t="s">
        <v>118</v>
      </c>
      <c r="B78" s="74"/>
      <c r="C78" s="74"/>
      <c r="D78" s="75"/>
      <c r="E78" s="75"/>
      <c r="F78" s="75"/>
      <c r="G78" s="75"/>
      <c r="H78" s="75"/>
      <c r="I78" s="75"/>
      <c r="J78" s="75"/>
      <c r="K78" s="75"/>
      <c r="L78" s="79"/>
      <c r="M78" s="79"/>
      <c r="N78" s="79"/>
      <c r="O78" s="79"/>
      <c r="P78" s="79"/>
      <c r="Q78" s="79"/>
      <c r="R78" s="79"/>
      <c r="S78" s="33"/>
      <c r="T78" s="33">
        <f>-T61</f>
        <v>1000</v>
      </c>
      <c r="U78" s="33">
        <f t="shared" ref="U78:AA78" si="122">-U61</f>
        <v>1000</v>
      </c>
      <c r="V78" s="33">
        <f t="shared" si="122"/>
        <v>400</v>
      </c>
      <c r="W78" s="33">
        <f t="shared" si="122"/>
        <v>200</v>
      </c>
      <c r="X78" s="33">
        <f t="shared" si="122"/>
        <v>200</v>
      </c>
      <c r="Y78" s="33">
        <f t="shared" si="122"/>
        <v>200</v>
      </c>
      <c r="Z78" s="33">
        <f t="shared" si="122"/>
        <v>200</v>
      </c>
      <c r="AA78" s="33">
        <f t="shared" si="122"/>
        <v>200</v>
      </c>
      <c r="AB78" s="33">
        <f t="shared" ref="AB78:AN78" si="123">-AB61</f>
        <v>200</v>
      </c>
      <c r="AC78" s="33">
        <f t="shared" si="123"/>
        <v>200</v>
      </c>
      <c r="AD78" s="33">
        <f t="shared" si="123"/>
        <v>200</v>
      </c>
      <c r="AE78" s="33">
        <f t="shared" si="123"/>
        <v>200</v>
      </c>
      <c r="AF78" s="33">
        <f t="shared" si="123"/>
        <v>200</v>
      </c>
      <c r="AG78" s="33">
        <f t="shared" si="123"/>
        <v>200</v>
      </c>
      <c r="AH78" s="33">
        <f t="shared" si="123"/>
        <v>200</v>
      </c>
      <c r="AI78" s="33">
        <f t="shared" si="123"/>
        <v>200</v>
      </c>
      <c r="AJ78" s="33">
        <f t="shared" si="123"/>
        <v>200</v>
      </c>
      <c r="AK78" s="33">
        <f t="shared" si="123"/>
        <v>200</v>
      </c>
      <c r="AL78" s="33">
        <f t="shared" si="123"/>
        <v>200</v>
      </c>
      <c r="AM78" s="33">
        <f t="shared" si="123"/>
        <v>200</v>
      </c>
      <c r="AN78" s="33">
        <f t="shared" si="123"/>
        <v>200</v>
      </c>
      <c r="AO78" s="33">
        <f t="shared" ref="AO78:AR78" si="124">-AO61</f>
        <v>200</v>
      </c>
      <c r="AP78" s="33">
        <f t="shared" si="124"/>
        <v>200</v>
      </c>
      <c r="AQ78" s="33">
        <f t="shared" si="124"/>
        <v>200</v>
      </c>
      <c r="AR78" s="33">
        <f t="shared" si="124"/>
        <v>200</v>
      </c>
    </row>
    <row r="79" spans="1:44">
      <c r="A79" s="1" t="s">
        <v>85</v>
      </c>
      <c r="B79" s="74"/>
      <c r="C79" s="74"/>
      <c r="D79" s="75"/>
      <c r="E79" s="75"/>
      <c r="F79" s="75"/>
      <c r="G79" s="75"/>
      <c r="H79" s="75"/>
      <c r="I79" s="75"/>
      <c r="J79" s="75"/>
      <c r="K79" s="75"/>
      <c r="L79" s="79"/>
      <c r="M79" s="79"/>
      <c r="N79" s="79"/>
      <c r="O79" s="79"/>
      <c r="P79" s="79"/>
      <c r="Q79" s="79"/>
      <c r="R79" s="79"/>
      <c r="S79" s="33"/>
      <c r="T79" s="49">
        <f>SUM(T74:T78)</f>
        <v>9750.0554452916786</v>
      </c>
      <c r="U79" s="49">
        <f t="shared" ref="U79:AA79" si="125">SUM(U74:U78)</f>
        <v>10716.607696740233</v>
      </c>
      <c r="V79" s="49">
        <f t="shared" si="125"/>
        <v>9925.7995048208704</v>
      </c>
      <c r="W79" s="49">
        <f t="shared" si="125"/>
        <v>9746.9681550058976</v>
      </c>
      <c r="X79" s="49">
        <f t="shared" si="125"/>
        <v>9769.2203624941812</v>
      </c>
      <c r="Y79" s="49">
        <f t="shared" si="125"/>
        <v>9834.8811863841038</v>
      </c>
      <c r="Z79" s="49">
        <f t="shared" si="125"/>
        <v>9877.4503999422195</v>
      </c>
      <c r="AA79" s="49">
        <f t="shared" si="125"/>
        <v>9937.0832460276451</v>
      </c>
      <c r="AB79" s="49">
        <f t="shared" ref="AB79:AN79" si="126">SUM(AB74:AB78)</f>
        <v>10201.122933134799</v>
      </c>
      <c r="AC79" s="49">
        <f t="shared" si="126"/>
        <v>10066.112119790843</v>
      </c>
      <c r="AD79" s="49">
        <f t="shared" si="126"/>
        <v>9969.3893607388545</v>
      </c>
      <c r="AE79" s="49">
        <f t="shared" si="126"/>
        <v>9898.0041235586796</v>
      </c>
      <c r="AF79" s="49">
        <f t="shared" si="126"/>
        <v>9827.1301971662142</v>
      </c>
      <c r="AG79" s="49">
        <f t="shared" si="126"/>
        <v>9764.0649260078862</v>
      </c>
      <c r="AH79" s="49">
        <f t="shared" si="126"/>
        <v>9700.4982571972305</v>
      </c>
      <c r="AI79" s="49">
        <f t="shared" si="126"/>
        <v>9650.1212742300559</v>
      </c>
      <c r="AJ79" s="49">
        <f t="shared" si="126"/>
        <v>9622.5575001303914</v>
      </c>
      <c r="AK79" s="49">
        <f t="shared" si="126"/>
        <v>9605.8634293478608</v>
      </c>
      <c r="AL79" s="49">
        <f t="shared" si="126"/>
        <v>9616.4470023165777</v>
      </c>
      <c r="AM79" s="49">
        <f t="shared" si="126"/>
        <v>9607.4263896057455</v>
      </c>
      <c r="AN79" s="49">
        <f t="shared" si="126"/>
        <v>9605.5005899107982</v>
      </c>
      <c r="AO79" s="49">
        <f t="shared" ref="AO79:AR79" si="127">SUM(AO74:AO78)</f>
        <v>9612.280941031675</v>
      </c>
      <c r="AP79" s="49">
        <f t="shared" si="127"/>
        <v>9600.9025084951572</v>
      </c>
      <c r="AQ79" s="49">
        <f t="shared" si="127"/>
        <v>9613.8028933438745</v>
      </c>
      <c r="AR79" s="49">
        <f t="shared" si="127"/>
        <v>9624.4863277870099</v>
      </c>
    </row>
    <row r="80" spans="1:44">
      <c r="A80" s="1"/>
      <c r="B80" s="3"/>
      <c r="C80" s="2"/>
      <c r="D80" s="1"/>
      <c r="E80" s="1"/>
      <c r="F80" s="1"/>
      <c r="G80" s="1"/>
      <c r="H80" s="1"/>
      <c r="I80" s="1"/>
      <c r="J80" s="1"/>
      <c r="K80" s="1"/>
      <c r="L80" s="4"/>
      <c r="M80" s="4"/>
      <c r="N80" s="4"/>
      <c r="O80" s="4"/>
      <c r="P80" s="4"/>
      <c r="Q80" s="4"/>
      <c r="R80" s="4"/>
      <c r="T80" s="4"/>
      <c r="U80" s="4"/>
      <c r="V80" s="4"/>
      <c r="W80" s="4"/>
      <c r="X80" s="4"/>
      <c r="Y80" s="4"/>
      <c r="Z80" s="4"/>
      <c r="AA80" s="4"/>
      <c r="AB80" s="4"/>
      <c r="AC80" s="4"/>
      <c r="AD80" s="4"/>
      <c r="AE80" s="4"/>
      <c r="AF80" s="4"/>
      <c r="AG80" s="4"/>
      <c r="AH80" s="4"/>
      <c r="AI80" s="4"/>
      <c r="AJ80" s="4"/>
      <c r="AK80" s="4"/>
      <c r="AL80" s="4"/>
      <c r="AM80" s="4"/>
      <c r="AN80" s="4"/>
      <c r="AO80" s="4"/>
      <c r="AP80" s="4"/>
      <c r="AQ80" s="4"/>
      <c r="AR80" s="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91"/>
  <sheetViews>
    <sheetView zoomScale="110" zoomScaleNormal="110" workbookViewId="0">
      <pane xSplit="20" ySplit="1" topLeftCell="U71" activePane="bottomRight" state="frozen"/>
      <selection pane="topRight" activeCell="U1" sqref="U1"/>
      <selection pane="bottomLeft" activeCell="A2" sqref="A2"/>
      <selection pane="bottomRight" activeCell="A84" sqref="A84:XFD91"/>
    </sheetView>
  </sheetViews>
  <sheetFormatPr defaultColWidth="9.08984375" defaultRowHeight="13"/>
  <cols>
    <col min="1" max="1" width="22.36328125" style="25" bestFit="1" customWidth="1"/>
    <col min="2" max="13" width="0.36328125" style="72" hidden="1" customWidth="1"/>
    <col min="14" max="14" width="0.36328125" style="136" hidden="1" customWidth="1"/>
    <col min="15" max="15" width="0.36328125" style="72" hidden="1" customWidth="1"/>
    <col min="16" max="20" width="0.36328125" style="56" hidden="1" customWidth="1"/>
    <col min="21" max="26" width="5.81640625" style="56" bestFit="1" customWidth="1"/>
    <col min="27" max="27" width="6.6328125" style="56" customWidth="1"/>
    <col min="28" max="28" width="5.81640625" style="137" bestFit="1" customWidth="1"/>
    <col min="29" max="44" width="5.81640625" style="25" bestFit="1" customWidth="1"/>
    <col min="45" max="16384" width="9.08984375" style="25"/>
  </cols>
  <sheetData>
    <row r="1" spans="1:44" s="137" customFormat="1">
      <c r="A1" s="137" t="s">
        <v>53</v>
      </c>
      <c r="B1" s="71"/>
      <c r="C1" s="71"/>
      <c r="D1" s="71"/>
      <c r="E1" s="71"/>
      <c r="F1" s="71"/>
      <c r="G1" s="71"/>
      <c r="H1" s="71"/>
      <c r="I1" s="71"/>
      <c r="J1" s="71"/>
      <c r="K1" s="71"/>
      <c r="L1" s="71"/>
      <c r="M1" s="71"/>
      <c r="N1" s="71"/>
      <c r="O1" s="71"/>
      <c r="P1" s="138"/>
      <c r="Q1" s="138"/>
      <c r="R1" s="138"/>
      <c r="S1" s="138"/>
      <c r="T1" s="138"/>
      <c r="U1" s="138">
        <f>+Inputs!U1</f>
        <v>2022</v>
      </c>
      <c r="V1" s="138">
        <f>+Inputs!V1</f>
        <v>2023</v>
      </c>
      <c r="W1" s="138">
        <f>+Inputs!W1</f>
        <v>2024</v>
      </c>
      <c r="X1" s="138">
        <f>+Inputs!X1</f>
        <v>2025</v>
      </c>
      <c r="Y1" s="138">
        <f>+Inputs!Y1</f>
        <v>2026</v>
      </c>
      <c r="Z1" s="138">
        <f>+Inputs!Z1</f>
        <v>2027</v>
      </c>
      <c r="AA1" s="138">
        <f>+Inputs!AA1</f>
        <v>2028</v>
      </c>
      <c r="AB1" s="138">
        <f>+Inputs!AB1</f>
        <v>2029</v>
      </c>
      <c r="AC1" s="138">
        <f>+Inputs!AC1</f>
        <v>2030</v>
      </c>
      <c r="AD1" s="138">
        <f>+Inputs!AD1</f>
        <v>2031</v>
      </c>
      <c r="AE1" s="138">
        <f>+Inputs!AE1</f>
        <v>2032</v>
      </c>
      <c r="AF1" s="138">
        <f>+Inputs!AF1</f>
        <v>2033</v>
      </c>
      <c r="AG1" s="138">
        <f>+Inputs!AG1</f>
        <v>2034</v>
      </c>
      <c r="AH1" s="138">
        <f>+Inputs!AH1</f>
        <v>2035</v>
      </c>
      <c r="AI1" s="138">
        <f>+Inputs!AI1</f>
        <v>2036</v>
      </c>
      <c r="AJ1" s="138">
        <f>+Inputs!AJ1</f>
        <v>2037</v>
      </c>
      <c r="AK1" s="138">
        <f>+Inputs!AK1</f>
        <v>2038</v>
      </c>
      <c r="AL1" s="138">
        <f>+Inputs!AL1</f>
        <v>2039</v>
      </c>
      <c r="AM1" s="138">
        <f>+Inputs!AM1</f>
        <v>2040</v>
      </c>
      <c r="AN1" s="138">
        <f>+Inputs!AN1</f>
        <v>2041</v>
      </c>
      <c r="AO1" s="138">
        <f>+Inputs!AO1</f>
        <v>2042</v>
      </c>
      <c r="AP1" s="138">
        <f>+Inputs!AP1</f>
        <v>2043</v>
      </c>
      <c r="AQ1" s="138">
        <f>+Inputs!AQ1</f>
        <v>2044</v>
      </c>
      <c r="AR1" s="138">
        <f>+Inputs!AR1</f>
        <v>2045</v>
      </c>
    </row>
    <row r="2" spans="1:44" s="137" customFormat="1">
      <c r="B2" s="71"/>
      <c r="C2" s="71"/>
      <c r="D2" s="71"/>
      <c r="E2" s="71"/>
      <c r="F2" s="71"/>
      <c r="G2" s="71"/>
      <c r="H2" s="71"/>
      <c r="I2" s="71"/>
      <c r="J2" s="71"/>
      <c r="K2" s="71"/>
      <c r="L2" s="71"/>
      <c r="M2" s="71"/>
      <c r="N2" s="71"/>
      <c r="O2" s="71"/>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row>
    <row r="3" spans="1:44" s="137" customFormat="1">
      <c r="A3" s="191" t="s">
        <v>288</v>
      </c>
      <c r="B3" s="192"/>
      <c r="C3" s="192"/>
      <c r="D3" s="192"/>
      <c r="E3" s="192"/>
      <c r="F3" s="192"/>
      <c r="G3" s="193"/>
      <c r="H3" s="193"/>
      <c r="I3" s="193"/>
      <c r="J3" s="193"/>
      <c r="K3" s="193"/>
      <c r="L3" s="193"/>
      <c r="M3" s="193"/>
      <c r="N3" s="193"/>
      <c r="O3" s="193"/>
      <c r="P3" s="193"/>
      <c r="Q3" s="193"/>
      <c r="R3" s="193"/>
      <c r="S3" s="193"/>
      <c r="T3" s="193"/>
      <c r="U3" s="193"/>
      <c r="V3" s="138"/>
      <c r="W3" s="138"/>
      <c r="X3" s="138"/>
      <c r="Y3" s="138"/>
      <c r="Z3" s="138"/>
      <c r="AA3" s="138"/>
      <c r="AB3" s="138"/>
      <c r="AC3" s="138"/>
      <c r="AD3" s="138"/>
      <c r="AE3" s="138"/>
      <c r="AF3" s="138"/>
      <c r="AG3" s="138"/>
      <c r="AH3" s="138"/>
      <c r="AI3" s="138"/>
      <c r="AJ3" s="138"/>
      <c r="AK3" s="138"/>
      <c r="AL3" s="138"/>
      <c r="AM3" s="138"/>
      <c r="AN3" s="138"/>
      <c r="AO3" s="138"/>
      <c r="AP3" s="138"/>
      <c r="AQ3" s="138"/>
      <c r="AR3" s="138"/>
    </row>
    <row r="4" spans="1:44" s="137" customFormat="1">
      <c r="A4" s="194" t="s">
        <v>0</v>
      </c>
      <c r="B4" s="192"/>
      <c r="C4" s="192"/>
      <c r="D4" s="192"/>
      <c r="E4" s="192"/>
      <c r="F4" s="192"/>
      <c r="G4" s="193"/>
      <c r="H4" s="193"/>
      <c r="I4" s="193"/>
      <c r="J4" s="193"/>
      <c r="K4" s="193"/>
      <c r="L4" s="193"/>
      <c r="M4" s="193"/>
      <c r="N4" s="193"/>
      <c r="O4" s="193"/>
      <c r="P4" s="193"/>
      <c r="Q4" s="193"/>
      <c r="R4" s="193"/>
      <c r="S4" s="193"/>
      <c r="T4" s="193"/>
      <c r="U4" s="56">
        <f>+'Pi''s Calc'!U52</f>
        <v>252538.04625045252</v>
      </c>
      <c r="V4" s="56">
        <f>+'Pi''s Calc'!V52</f>
        <v>252417.74268108601</v>
      </c>
      <c r="W4" s="56">
        <f>+'Pi''s Calc'!W52</f>
        <v>252147.69041725239</v>
      </c>
      <c r="X4" s="56">
        <f>+'Pi''s Calc'!X52</f>
        <v>254420.18838089416</v>
      </c>
      <c r="Y4" s="56">
        <f>+'Pi''s Calc'!Y52</f>
        <v>256790.91864409781</v>
      </c>
      <c r="Z4" s="56">
        <f>+'Pi''s Calc'!Z52</f>
        <v>257697.61816061579</v>
      </c>
      <c r="AA4" s="56">
        <f>+'Pi''s Calc'!AA52</f>
        <v>257625.58450331708</v>
      </c>
      <c r="AB4" s="56">
        <f>+'Pi''s Calc'!AB52</f>
        <v>259168.96228688787</v>
      </c>
      <c r="AC4" s="56">
        <f>+'Pi''s Calc'!AC52</f>
        <v>256148.45948499846</v>
      </c>
      <c r="AD4" s="56">
        <f>+'Pi''s Calc'!AD52</f>
        <v>252749.92906208386</v>
      </c>
      <c r="AE4" s="56">
        <f>+'Pi''s Calc'!AE52</f>
        <v>248905.94719804134</v>
      </c>
      <c r="AF4" s="56">
        <f>+'Pi''s Calc'!AF52</f>
        <v>244410.62729193841</v>
      </c>
      <c r="AG4" s="56">
        <f>+'Pi''s Calc'!AG52</f>
        <v>239354.21783663603</v>
      </c>
      <c r="AH4" s="56">
        <f>+'Pi''s Calc'!AH52</f>
        <v>233677.73850236466</v>
      </c>
      <c r="AI4" s="56">
        <f>+'Pi''s Calc'!AI52</f>
        <v>227524.54067720793</v>
      </c>
      <c r="AJ4" s="56">
        <f>+'Pi''s Calc'!AJ52</f>
        <v>221009.81750677107</v>
      </c>
      <c r="AK4" s="56">
        <f>+'Pi''s Calc'!AK52</f>
        <v>214056.94966677565</v>
      </c>
      <c r="AL4" s="56">
        <f>+'Pi''s Calc'!AL52</f>
        <v>206833.16757363454</v>
      </c>
      <c r="AM4" s="56">
        <f>+'Pi''s Calc'!AM52</f>
        <v>198958.86333613296</v>
      </c>
      <c r="AN4" s="56">
        <f>+'Pi''s Calc'!AN52</f>
        <v>190650.88040180795</v>
      </c>
      <c r="AO4" s="56">
        <f>+'Pi''s Calc'!AO52</f>
        <v>181934.98211403273</v>
      </c>
      <c r="AP4" s="56">
        <f>+'Pi''s Calc'!AP52</f>
        <v>172600.00530320639</v>
      </c>
      <c r="AQ4" s="56">
        <f>+'Pi''s Calc'!AQ52</f>
        <v>162976.87918805261</v>
      </c>
      <c r="AR4" s="56">
        <f>+'Pi''s Calc'!AR52</f>
        <v>152881.18925598849</v>
      </c>
    </row>
    <row r="5" spans="1:44" s="137" customFormat="1">
      <c r="A5" s="194" t="s">
        <v>90</v>
      </c>
      <c r="B5" s="192"/>
      <c r="C5" s="192"/>
      <c r="D5" s="192"/>
      <c r="E5" s="192"/>
      <c r="F5" s="192"/>
      <c r="G5" s="193"/>
      <c r="H5" s="193"/>
      <c r="I5" s="193"/>
      <c r="J5" s="193"/>
      <c r="K5" s="193"/>
      <c r="L5" s="193"/>
      <c r="M5" s="193"/>
      <c r="N5" s="193"/>
      <c r="O5" s="193"/>
      <c r="P5" s="193"/>
      <c r="Q5" s="193"/>
      <c r="R5" s="193"/>
      <c r="S5" s="193"/>
      <c r="T5" s="193"/>
      <c r="U5" s="56"/>
      <c r="V5" s="56">
        <f>+'Pi''s Calc'!V26</f>
        <v>25316.870790452973</v>
      </c>
      <c r="W5" s="56">
        <f>+'Pi''s Calc'!W26</f>
        <v>27187.871231349614</v>
      </c>
      <c r="X5" s="56">
        <f>+'Pi''s Calc'!X26</f>
        <v>29140.854487282111</v>
      </c>
      <c r="Y5" s="56">
        <f>+'Pi''s Calc'!Y26</f>
        <v>30941.640227800632</v>
      </c>
      <c r="Z5" s="56">
        <f>+'Pi''s Calc'!Z26</f>
        <v>32110.574198233862</v>
      </c>
      <c r="AA5" s="56">
        <f>+'Pi''s Calc'!AA26</f>
        <v>33225.096317166812</v>
      </c>
      <c r="AB5" s="56">
        <f>+'Pi''s Calc'!AB26</f>
        <v>33838.065626838616</v>
      </c>
      <c r="AC5" s="56">
        <f>+'Pi''s Calc'!AC26</f>
        <v>34331.292180070013</v>
      </c>
      <c r="AD5" s="56">
        <f>+'Pi''s Calc'!AD26</f>
        <v>34774.476332091821</v>
      </c>
      <c r="AE5" s="56">
        <f>+'Pi''s Calc'!AE26</f>
        <v>35169.733879897714</v>
      </c>
      <c r="AF5" s="56">
        <f>+'Pi''s Calc'!AF26</f>
        <v>35519.162430151991</v>
      </c>
      <c r="AG5" s="56">
        <f>+'Pi''s Calc'!AG26</f>
        <v>35824.939936240269</v>
      </c>
      <c r="AH5" s="56">
        <f>+'Pi''s Calc'!AH26</f>
        <v>36089.049217260719</v>
      </c>
      <c r="AI5" s="56">
        <f>+'Pi''s Calc'!AI26</f>
        <v>36313.320097123673</v>
      </c>
      <c r="AJ5" s="56">
        <f>+'Pi''s Calc'!AJ26</f>
        <v>36499.459886468394</v>
      </c>
      <c r="AK5" s="56">
        <f>+'Pi''s Calc'!AK26</f>
        <v>36649.034381027945</v>
      </c>
      <c r="AL5" s="56">
        <f>+'Pi''s Calc'!AL26</f>
        <v>36763.639449749207</v>
      </c>
      <c r="AM5" s="56">
        <f>+'Pi''s Calc'!AM26</f>
        <v>36844.826333661753</v>
      </c>
      <c r="AN5" s="56">
        <f>+'Pi''s Calc'!AN26</f>
        <v>36893.940897534907</v>
      </c>
      <c r="AO5" s="56">
        <f>+'Pi''s Calc'!AO26</f>
        <v>36912.361305867635</v>
      </c>
      <c r="AP5" s="56">
        <f>+'Pi''s Calc'!AP26</f>
        <v>36901.426194877873</v>
      </c>
      <c r="AQ5" s="56">
        <f>+'Pi''s Calc'!AQ26</f>
        <v>36862.280622007143</v>
      </c>
      <c r="AR5" s="56">
        <f>+'Pi''s Calc'!AR26</f>
        <v>36796.039046879443</v>
      </c>
    </row>
    <row r="6" spans="1:44" s="137" customFormat="1">
      <c r="A6" s="194" t="s">
        <v>289</v>
      </c>
      <c r="B6" s="192"/>
      <c r="C6" s="192"/>
      <c r="D6" s="192"/>
      <c r="E6" s="192"/>
      <c r="F6" s="192"/>
      <c r="G6" s="193"/>
      <c r="H6" s="193"/>
      <c r="I6" s="193"/>
      <c r="J6" s="193"/>
      <c r="K6" s="193"/>
      <c r="L6" s="193"/>
      <c r="M6" s="193"/>
      <c r="N6" s="193"/>
      <c r="O6" s="193"/>
      <c r="P6" s="193"/>
      <c r="Q6" s="193"/>
      <c r="R6" s="193"/>
      <c r="S6" s="193"/>
      <c r="T6" s="193"/>
      <c r="U6" s="56"/>
      <c r="V6" s="56">
        <f>+'Pi''s Calc'!V28</f>
        <v>-8535.2909494267114</v>
      </c>
      <c r="W6" s="56">
        <f>+'Pi''s Calc'!W28</f>
        <v>-8953.8721069889125</v>
      </c>
      <c r="X6" s="56">
        <f>+'Pi''s Calc'!X28</f>
        <v>-9454.9712942626502</v>
      </c>
      <c r="Y6" s="56">
        <f>+'Pi''s Calc'!Y28</f>
        <v>-9850.8714166470982</v>
      </c>
      <c r="Z6" s="56">
        <f>+'Pi''s Calc'!Z28</f>
        <v>-9909.9026139898106</v>
      </c>
      <c r="AA6" s="56">
        <f>+'Pi''s Calc'!AA28</f>
        <v>-10029.005530072303</v>
      </c>
      <c r="AB6" s="56">
        <f>+'Pi''s Calc'!AB28</f>
        <v>-10180.589649722551</v>
      </c>
      <c r="AC6" s="56">
        <f>+'Pi''s Calc'!AC28</f>
        <v>-10358.585097462117</v>
      </c>
      <c r="AD6" s="56">
        <f>+'Pi''s Calc'!AD28</f>
        <v>-10529.438396922804</v>
      </c>
      <c r="AE6" s="56">
        <f>+'Pi''s Calc'!AE28</f>
        <v>-10694.32620025283</v>
      </c>
      <c r="AF6" s="56">
        <f>+'Pi''s Calc'!AF28</f>
        <v>-10852.676860603196</v>
      </c>
      <c r="AG6" s="56">
        <f>+'Pi''s Calc'!AG28</f>
        <v>-11006.20068774362</v>
      </c>
      <c r="AH6" s="56">
        <f>+'Pi''s Calc'!AH28</f>
        <v>-11154.224700546425</v>
      </c>
      <c r="AI6" s="56">
        <f>+'Pi''s Calc'!AI28</f>
        <v>-11297.782259556689</v>
      </c>
      <c r="AJ6" s="56">
        <f>+'Pi''s Calc'!AJ28</f>
        <v>-11436.679392085045</v>
      </c>
      <c r="AK6" s="56">
        <f>+'Pi''s Calc'!AK28</f>
        <v>-11571.331872798937</v>
      </c>
      <c r="AL6" s="56">
        <f>+'Pi''s Calc'!AL28</f>
        <v>-11702.129673595129</v>
      </c>
      <c r="AM6" s="56">
        <f>+'Pi''s Calc'!AM28</f>
        <v>-11829.395459716881</v>
      </c>
      <c r="AN6" s="56">
        <f>+'Pi''s Calc'!AN28</f>
        <v>-11952.867178780527</v>
      </c>
      <c r="AO6" s="56">
        <f>+'Pi''s Calc'!AO28</f>
        <v>-12073.481117321051</v>
      </c>
      <c r="AP6" s="56">
        <f>+'Pi''s Calc'!AP28</f>
        <v>-12190.882246137173</v>
      </c>
      <c r="AQ6" s="56">
        <f>+'Pi''s Calc'!AQ28</f>
        <v>-12305.324710523269</v>
      </c>
      <c r="AR6" s="56">
        <f>+'Pi''s Calc'!AR28</f>
        <v>-12419.335586329657</v>
      </c>
    </row>
    <row r="7" spans="1:44" s="137" customFormat="1">
      <c r="A7" s="194" t="s">
        <v>290</v>
      </c>
      <c r="B7" s="192"/>
      <c r="C7" s="192"/>
      <c r="D7" s="192"/>
      <c r="E7" s="192"/>
      <c r="F7" s="192"/>
      <c r="G7" s="193"/>
      <c r="H7" s="193"/>
      <c r="I7" s="193"/>
      <c r="J7" s="193"/>
      <c r="K7" s="193"/>
      <c r="L7" s="193"/>
      <c r="M7" s="193"/>
      <c r="N7" s="193"/>
      <c r="O7" s="193"/>
      <c r="P7" s="193"/>
      <c r="Q7" s="193"/>
      <c r="R7" s="193"/>
      <c r="S7" s="193"/>
      <c r="T7" s="193"/>
      <c r="U7" s="56"/>
      <c r="V7" s="56">
        <f>+'DAV Pi'!V53</f>
        <v>8381.9358956148899</v>
      </c>
      <c r="W7" s="56">
        <f>+'DAV Pi'!W53</f>
        <v>8630.6500665332424</v>
      </c>
      <c r="X7" s="56">
        <f>+'DAV Pi'!X53</f>
        <v>8872.6223177376141</v>
      </c>
      <c r="Y7" s="56">
        <f>+'DAV Pi'!Y53</f>
        <v>9084.1764543880308</v>
      </c>
      <c r="Z7" s="56">
        <f>+'DAV Pi'!Z53</f>
        <v>9279.0524247500325</v>
      </c>
      <c r="AA7" s="56">
        <f>+'DAV Pi'!AA53</f>
        <v>9423.3734813579522</v>
      </c>
      <c r="AB7" s="56">
        <f>+'DAV Pi'!AB53</f>
        <v>9685.6116011146642</v>
      </c>
      <c r="AC7" s="56">
        <f>+'DAV Pi'!AC53</f>
        <v>9849.3534894532841</v>
      </c>
      <c r="AD7" s="56">
        <f>+'DAV Pi'!AD53</f>
        <v>10041.834082396304</v>
      </c>
      <c r="AE7" s="56">
        <f>+'DAV Pi'!AE53</f>
        <v>10228.487835393007</v>
      </c>
      <c r="AF7" s="56">
        <f>+'DAV Pi'!AF53</f>
        <v>10403.247044214973</v>
      </c>
      <c r="AG7" s="56">
        <f>+'DAV Pi'!AG53</f>
        <v>10540.507918311661</v>
      </c>
      <c r="AH7" s="56">
        <f>+'DAV Pi'!AH53</f>
        <v>10671.571317024409</v>
      </c>
      <c r="AI7" s="56">
        <f>+'DAV Pi'!AI53</f>
        <v>10804.93567621842</v>
      </c>
      <c r="AJ7" s="56">
        <f>+'DAV Pi'!AJ53</f>
        <v>10945.730264517704</v>
      </c>
      <c r="AK7" s="56">
        <f>+'DAV Pi'!AK53</f>
        <v>11100.14465394432</v>
      </c>
      <c r="AL7" s="56">
        <f>+'DAV Pi'!AL53</f>
        <v>11255.871921631579</v>
      </c>
      <c r="AM7" s="56">
        <f>+'DAV Pi'!AM53</f>
        <v>11395.000515926295</v>
      </c>
      <c r="AN7" s="56">
        <f>+'DAV Pi'!AN53</f>
        <v>11524.317652704853</v>
      </c>
      <c r="AO7" s="56">
        <f>+'DAV Pi'!AO53</f>
        <v>11639.86313900885</v>
      </c>
      <c r="AP7" s="56">
        <f>+'DAV Pi'!AP53</f>
        <v>11727.524218339182</v>
      </c>
      <c r="AQ7" s="56">
        <f>+'DAV Pi'!AQ53</f>
        <v>11848.248596883128</v>
      </c>
      <c r="AR7" s="56">
        <f>+'DAV Pi'!AR53</f>
        <v>11960.024461127457</v>
      </c>
    </row>
    <row r="8" spans="1:44" s="137" customFormat="1">
      <c r="A8" s="194" t="s">
        <v>291</v>
      </c>
      <c r="B8" s="192"/>
      <c r="C8" s="192"/>
      <c r="D8" s="192"/>
      <c r="E8" s="192"/>
      <c r="F8" s="192"/>
      <c r="G8" s="193"/>
      <c r="H8" s="193"/>
      <c r="I8" s="193"/>
      <c r="J8" s="193"/>
      <c r="K8" s="193"/>
      <c r="L8" s="193"/>
      <c r="M8" s="193"/>
      <c r="N8" s="193"/>
      <c r="O8" s="193"/>
      <c r="P8" s="193"/>
      <c r="Q8" s="193"/>
      <c r="R8" s="193"/>
      <c r="S8" s="193"/>
      <c r="T8" s="193"/>
      <c r="U8" s="56">
        <f>+'Pi''s Calc'!U50</f>
        <v>39466.178159313502</v>
      </c>
      <c r="V8" s="56">
        <f>+'Pi''s Calc'!V50</f>
        <v>34991.934116255754</v>
      </c>
      <c r="W8" s="56">
        <f>+'Pi''s Calc'!W50</f>
        <v>33545.558600618213</v>
      </c>
      <c r="X8" s="56">
        <f>+'Pi''s Calc'!X50</f>
        <v>35023.63525275432</v>
      </c>
      <c r="Y8" s="56">
        <f>+'Pi''s Calc'!Y50</f>
        <v>36546.2657837476</v>
      </c>
      <c r="Z8" s="56">
        <f>+'Pi''s Calc'!Z50</f>
        <v>37240.606825383496</v>
      </c>
      <c r="AA8" s="56">
        <f>+'Pi''s Calc'!AA50</f>
        <v>37105.939186930889</v>
      </c>
      <c r="AB8" s="56">
        <f>+'Pi''s Calc'!AB50</f>
        <v>36811.063660784712</v>
      </c>
      <c r="AC8" s="56">
        <f>+'Pi''s Calc'!AC50</f>
        <v>36325.606743369281</v>
      </c>
      <c r="AD8" s="56">
        <f>+'Pi''s Calc'!AD50</f>
        <v>35590.419589103345</v>
      </c>
      <c r="AE8" s="56">
        <f>+'Pi''s Calc'!AE50</f>
        <v>34619.843059014587</v>
      </c>
      <c r="AF8" s="56">
        <f>+'Pi''s Calc'!AF50</f>
        <v>33412.247884900629</v>
      </c>
      <c r="AG8" s="56">
        <f>+'Pi''s Calc'!AG50</f>
        <v>31936.872997125931</v>
      </c>
      <c r="AH8" s="56">
        <f>+'Pi''s Calc'!AH50</f>
        <v>30192.4298983872</v>
      </c>
      <c r="AI8" s="56">
        <f>+'Pi''s Calc'!AI50</f>
        <v>28187.564947395818</v>
      </c>
      <c r="AJ8" s="56">
        <f>+'Pi''s Calc'!AJ50</f>
        <v>25940.994879832753</v>
      </c>
      <c r="AK8" s="56">
        <f>+'Pi''s Calc'!AK50</f>
        <v>23477.49684009701</v>
      </c>
      <c r="AL8" s="56">
        <f>+'Pi''s Calc'!AL50</f>
        <v>20810.733178936061</v>
      </c>
      <c r="AM8" s="56">
        <f>+'Pi''s Calc'!AM50</f>
        <v>17929.605541087454</v>
      </c>
      <c r="AN8" s="56">
        <f>+'Pi''s Calc'!AN50</f>
        <v>14823.887302342977</v>
      </c>
      <c r="AO8" s="56">
        <f>+'Pi''s Calc'!AO50</f>
        <v>11485.370366231626</v>
      </c>
      <c r="AP8" s="56">
        <f>+'Pi''s Calc'!AP50</f>
        <v>7885.1336003678734</v>
      </c>
      <c r="AQ8" s="56">
        <f>+'Pi''s Calc'!AQ50</f>
        <v>4057.4822798026726</v>
      </c>
      <c r="AR8" s="56">
        <f>+'Pi''s Calc'!AR50</f>
        <v>0</v>
      </c>
    </row>
    <row r="9" spans="1:44">
      <c r="AB9" s="56"/>
      <c r="AC9" s="56"/>
      <c r="AD9" s="56"/>
      <c r="AE9" s="56"/>
      <c r="AF9" s="56"/>
      <c r="AG9" s="56"/>
      <c r="AH9" s="56"/>
      <c r="AI9" s="56"/>
      <c r="AJ9" s="56"/>
      <c r="AK9" s="56"/>
      <c r="AL9" s="56"/>
      <c r="AM9" s="56"/>
      <c r="AN9" s="56"/>
      <c r="AO9" s="56"/>
      <c r="AP9" s="56"/>
      <c r="AQ9" s="56"/>
      <c r="AR9" s="56"/>
    </row>
    <row r="10" spans="1:44">
      <c r="A10" s="25" t="s">
        <v>263</v>
      </c>
      <c r="U10" s="215">
        <f>+Inputs!U36</f>
        <v>1.1067768595041321</v>
      </c>
      <c r="V10" s="215">
        <f>+Inputs!V36</f>
        <v>1.1682029752066114</v>
      </c>
      <c r="W10" s="215">
        <f>+Inputs!W36</f>
        <v>1.1948380030413221</v>
      </c>
      <c r="X10" s="215">
        <f>+Inputs!X36</f>
        <v>1.2078617372744727</v>
      </c>
      <c r="Y10" s="215">
        <f>+Inputs!Y36</f>
        <v>1.2331060475835092</v>
      </c>
      <c r="Z10" s="215">
        <f>+Inputs!Z36</f>
        <v>1.2588779639780046</v>
      </c>
      <c r="AA10" s="215">
        <f>+Inputs!AA36</f>
        <v>1.2851885134251448</v>
      </c>
      <c r="AB10" s="215">
        <f>+Inputs!AB36</f>
        <v>1.3120489533557305</v>
      </c>
      <c r="AC10" s="215">
        <f>+Inputs!AC36</f>
        <v>1.3394707764808653</v>
      </c>
      <c r="AD10" s="215">
        <f>+Inputs!AD36</f>
        <v>1.3674657157093153</v>
      </c>
      <c r="AE10" s="215">
        <f>+Inputs!AE36</f>
        <v>1.3960457491676399</v>
      </c>
      <c r="AF10" s="215">
        <f>+Inputs!AF36</f>
        <v>1.4252231053252435</v>
      </c>
      <c r="AG10" s="215">
        <f>+Inputs!AG36</f>
        <v>1.4550102682265411</v>
      </c>
      <c r="AH10" s="215">
        <f>+Inputs!AH36</f>
        <v>1.4854199828324759</v>
      </c>
      <c r="AI10" s="215">
        <f>+Inputs!AI36</f>
        <v>1.5164652604736746</v>
      </c>
      <c r="AJ10" s="215">
        <f>+Inputs!AJ36</f>
        <v>1.5481593844175743</v>
      </c>
      <c r="AK10" s="215">
        <f>+Inputs!AK36</f>
        <v>1.5805159155519015</v>
      </c>
      <c r="AL10" s="215">
        <f>+Inputs!AL36</f>
        <v>1.6135486981869362</v>
      </c>
      <c r="AM10" s="215">
        <f>+Inputs!AM36</f>
        <v>1.6472718659790433</v>
      </c>
      <c r="AN10" s="215">
        <f>+Inputs!AN36</f>
        <v>1.6816998479780052</v>
      </c>
      <c r="AO10" s="215">
        <f>+Inputs!AO36</f>
        <v>1.7168473748007456</v>
      </c>
      <c r="AP10" s="215">
        <f>+Inputs!AP36</f>
        <v>1.7527294849340811</v>
      </c>
      <c r="AQ10" s="215">
        <f>+Inputs!AQ36</f>
        <v>1.7893615311692035</v>
      </c>
      <c r="AR10" s="215">
        <f>+Inputs!AR36</f>
        <v>1.8267591871706399</v>
      </c>
    </row>
    <row r="11" spans="1:44">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row>
    <row r="12" spans="1:44">
      <c r="A12" s="191" t="s">
        <v>292</v>
      </c>
      <c r="B12" s="192"/>
      <c r="C12" s="192"/>
      <c r="D12" s="192"/>
      <c r="E12" s="136"/>
      <c r="F12" s="192"/>
      <c r="G12" s="193"/>
      <c r="H12" s="193"/>
      <c r="I12" s="193"/>
      <c r="J12" s="193"/>
      <c r="K12" s="193"/>
      <c r="L12" s="193"/>
      <c r="M12" s="193"/>
      <c r="N12" s="193"/>
      <c r="O12" s="195"/>
      <c r="P12" s="195"/>
      <c r="Q12" s="195"/>
      <c r="R12" s="195"/>
      <c r="S12" s="195"/>
      <c r="T12" s="195"/>
      <c r="U12" s="19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row>
    <row r="13" spans="1:44">
      <c r="A13" s="194" t="s">
        <v>0</v>
      </c>
      <c r="B13" s="192"/>
      <c r="C13" s="192"/>
      <c r="D13" s="192"/>
      <c r="E13" s="136"/>
      <c r="F13" s="192"/>
      <c r="G13" s="193"/>
      <c r="H13" s="193"/>
      <c r="I13" s="193"/>
      <c r="J13" s="193"/>
      <c r="K13" s="193"/>
      <c r="L13" s="193"/>
      <c r="M13" s="193"/>
      <c r="N13" s="193"/>
      <c r="O13" s="193"/>
      <c r="P13" s="193"/>
      <c r="Q13" s="193"/>
      <c r="R13" s="193"/>
      <c r="S13" s="193"/>
      <c r="T13" s="193"/>
      <c r="U13" s="193">
        <f>+U4*U$10</f>
        <v>279503.26573438512</v>
      </c>
      <c r="V13" s="193">
        <f t="shared" ref="V13:AA13" si="0">+V4*V$10</f>
        <v>294875.15799498156</v>
      </c>
      <c r="W13" s="193">
        <f t="shared" si="0"/>
        <v>301275.64288963139</v>
      </c>
      <c r="X13" s="193">
        <f t="shared" si="0"/>
        <v>307304.41073544545</v>
      </c>
      <c r="Y13" s="193">
        <f t="shared" si="0"/>
        <v>316650.43474456191</v>
      </c>
      <c r="Z13" s="193">
        <f t="shared" si="0"/>
        <v>324409.85287201725</v>
      </c>
      <c r="AA13" s="193">
        <f t="shared" si="0"/>
        <v>331097.44196810212</v>
      </c>
      <c r="AB13" s="193">
        <f t="shared" ref="AB13:AR13" si="1">+AB4*AB$10</f>
        <v>340042.36571080203</v>
      </c>
      <c r="AC13" s="193">
        <f t="shared" si="1"/>
        <v>343103.37592074834</v>
      </c>
      <c r="AD13" s="193">
        <f t="shared" si="1"/>
        <v>345626.86264036119</v>
      </c>
      <c r="AE13" s="193">
        <f t="shared" si="1"/>
        <v>347484.08952837065</v>
      </c>
      <c r="AF13" s="193">
        <f t="shared" si="1"/>
        <v>348339.67320350715</v>
      </c>
      <c r="AG13" s="193">
        <f t="shared" si="1"/>
        <v>348262.84469563776</v>
      </c>
      <c r="AH13" s="193">
        <f t="shared" si="1"/>
        <v>347109.58231451432</v>
      </c>
      <c r="AI13" s="193">
        <f t="shared" si="1"/>
        <v>345033.06184221531</v>
      </c>
      <c r="AJ13" s="193">
        <f t="shared" si="1"/>
        <v>342158.42302152311</v>
      </c>
      <c r="AK13" s="193">
        <f t="shared" si="1"/>
        <v>338320.4157828312</v>
      </c>
      <c r="AL13" s="193">
        <f t="shared" si="1"/>
        <v>333735.38828031847</v>
      </c>
      <c r="AM13" s="193">
        <f t="shared" si="1"/>
        <v>327739.33806078119</v>
      </c>
      <c r="AN13" s="193">
        <f t="shared" si="1"/>
        <v>320617.55658859329</v>
      </c>
      <c r="AO13" s="193">
        <f t="shared" si="1"/>
        <v>312354.59642689768</v>
      </c>
      <c r="AP13" s="193">
        <f t="shared" si="1"/>
        <v>302521.11839470861</v>
      </c>
      <c r="AQ13" s="193">
        <f t="shared" si="1"/>
        <v>291624.55808911211</v>
      </c>
      <c r="AR13" s="193">
        <f t="shared" si="1"/>
        <v>279277.11701895029</v>
      </c>
    </row>
    <row r="14" spans="1:44">
      <c r="A14" s="194" t="s">
        <v>90</v>
      </c>
      <c r="B14" s="192"/>
      <c r="C14" s="192"/>
      <c r="D14" s="192"/>
      <c r="E14" s="136"/>
      <c r="F14" s="192"/>
      <c r="G14" s="193"/>
      <c r="H14" s="193"/>
      <c r="I14" s="193"/>
      <c r="J14" s="193"/>
      <c r="K14" s="193"/>
      <c r="L14" s="193"/>
      <c r="M14" s="193"/>
      <c r="N14" s="193"/>
      <c r="O14" s="193"/>
      <c r="P14" s="193"/>
      <c r="Q14" s="193"/>
      <c r="R14" s="193"/>
      <c r="S14" s="193"/>
      <c r="T14" s="193"/>
      <c r="U14" s="193"/>
      <c r="V14" s="193">
        <f t="shared" ref="V14:AA16" si="2">+V5*V$10</f>
        <v>29575.243780328521</v>
      </c>
      <c r="W14" s="193">
        <f t="shared" si="2"/>
        <v>32485.101769010387</v>
      </c>
      <c r="X14" s="193">
        <f t="shared" si="2"/>
        <v>35198.123126671184</v>
      </c>
      <c r="Y14" s="193">
        <f t="shared" si="2"/>
        <v>38154.323687054144</v>
      </c>
      <c r="Z14" s="193">
        <f t="shared" si="2"/>
        <v>40423.294268837293</v>
      </c>
      <c r="AA14" s="193">
        <f t="shared" si="2"/>
        <v>42700.512144266868</v>
      </c>
      <c r="AB14" s="193">
        <f t="shared" ref="AB14:AR14" si="3">+AB5*AB$10</f>
        <v>44397.198589276122</v>
      </c>
      <c r="AC14" s="193">
        <f t="shared" si="3"/>
        <v>45985.762594029839</v>
      </c>
      <c r="AD14" s="193">
        <f t="shared" si="3"/>
        <v>47552.904165880587</v>
      </c>
      <c r="AE14" s="193">
        <f t="shared" si="3"/>
        <v>49098.557482388329</v>
      </c>
      <c r="AF14" s="193">
        <f t="shared" si="3"/>
        <v>50622.730977252948</v>
      </c>
      <c r="AG14" s="193">
        <f t="shared" si="3"/>
        <v>52125.655465828677</v>
      </c>
      <c r="AH14" s="193">
        <f t="shared" si="3"/>
        <v>53607.394868743795</v>
      </c>
      <c r="AI14" s="193">
        <f t="shared" si="3"/>
        <v>55067.888419748575</v>
      </c>
      <c r="AJ14" s="193">
        <f t="shared" si="3"/>
        <v>56506.981349408852</v>
      </c>
      <c r="AK14" s="193">
        <f t="shared" si="3"/>
        <v>57924.382128823498</v>
      </c>
      <c r="AL14" s="193">
        <f t="shared" si="3"/>
        <v>59319.922574756725</v>
      </c>
      <c r="AM14" s="193">
        <f t="shared" si="3"/>
        <v>60693.445826324787</v>
      </c>
      <c r="AN14" s="193">
        <f t="shared" si="3"/>
        <v>62044.53479869396</v>
      </c>
      <c r="AO14" s="193">
        <f t="shared" si="3"/>
        <v>63372.890605675471</v>
      </c>
      <c r="AP14" s="193">
        <f t="shared" si="3"/>
        <v>64678.217727881303</v>
      </c>
      <c r="AQ14" s="193">
        <f t="shared" si="3"/>
        <v>65959.946896183566</v>
      </c>
      <c r="AR14" s="193">
        <f t="shared" si="3"/>
        <v>67217.502380376623</v>
      </c>
    </row>
    <row r="15" spans="1:44">
      <c r="A15" s="194" t="s">
        <v>289</v>
      </c>
      <c r="B15" s="192"/>
      <c r="C15" s="192"/>
      <c r="D15" s="192"/>
      <c r="E15" s="136"/>
      <c r="F15" s="192"/>
      <c r="G15" s="193"/>
      <c r="H15" s="193"/>
      <c r="I15" s="193"/>
      <c r="J15" s="193"/>
      <c r="K15" s="193"/>
      <c r="L15" s="193"/>
      <c r="M15" s="193"/>
      <c r="N15" s="193"/>
      <c r="O15" s="193"/>
      <c r="P15" s="193"/>
      <c r="Q15" s="193"/>
      <c r="R15" s="193"/>
      <c r="S15" s="193"/>
      <c r="T15" s="193"/>
      <c r="U15" s="193"/>
      <c r="V15" s="193">
        <f t="shared" si="2"/>
        <v>-9970.9522813743479</v>
      </c>
      <c r="W15" s="193">
        <f t="shared" si="2"/>
        <v>-10698.426667802029</v>
      </c>
      <c r="X15" s="193">
        <f t="shared" si="2"/>
        <v>-11420.298053368353</v>
      </c>
      <c r="Y15" s="193">
        <f t="shared" si="2"/>
        <v>-12147.169117835067</v>
      </c>
      <c r="Z15" s="193">
        <f t="shared" si="2"/>
        <v>-12475.358025919799</v>
      </c>
      <c r="AA15" s="193">
        <f t="shared" si="2"/>
        <v>-12889.162708326181</v>
      </c>
      <c r="AB15" s="193">
        <f t="shared" ref="AB15:AR15" si="4">+AB6*AB$10</f>
        <v>-13357.431994462657</v>
      </c>
      <c r="AC15" s="193">
        <f t="shared" si="4"/>
        <v>-13875.022023740701</v>
      </c>
      <c r="AD15" s="193">
        <f t="shared" si="4"/>
        <v>-14398.646013465188</v>
      </c>
      <c r="AE15" s="193">
        <f t="shared" si="4"/>
        <v>-14929.768632075082</v>
      </c>
      <c r="AF15" s="193">
        <f t="shared" si="4"/>
        <v>-15467.485816360302</v>
      </c>
      <c r="AG15" s="193">
        <f t="shared" si="4"/>
        <v>-16014.135014828986</v>
      </c>
      <c r="AH15" s="193">
        <f t="shared" si="4"/>
        <v>-16568.708263195251</v>
      </c>
      <c r="AI15" s="193">
        <f t="shared" si="4"/>
        <v>-17132.694317013495</v>
      </c>
      <c r="AJ15" s="193">
        <f t="shared" si="4"/>
        <v>-17705.802527431541</v>
      </c>
      <c r="AK15" s="193">
        <f t="shared" si="4"/>
        <v>-18288.674189091711</v>
      </c>
      <c r="AL15" s="193">
        <f t="shared" si="4"/>
        <v>-18881.956100844138</v>
      </c>
      <c r="AM15" s="193">
        <f t="shared" si="4"/>
        <v>-19486.230332331848</v>
      </c>
      <c r="AN15" s="193">
        <f t="shared" si="4"/>
        <v>-20101.1349174565</v>
      </c>
      <c r="AO15" s="193">
        <f t="shared" si="4"/>
        <v>-20728.324360979019</v>
      </c>
      <c r="AP15" s="193">
        <f t="shared" si="4"/>
        <v>-21367.318760164042</v>
      </c>
      <c r="AQ15" s="193">
        <f t="shared" si="4"/>
        <v>-22018.674665556155</v>
      </c>
      <c r="AR15" s="193">
        <f t="shared" si="4"/>
        <v>-22687.135380882966</v>
      </c>
    </row>
    <row r="16" spans="1:44">
      <c r="A16" s="194" t="s">
        <v>290</v>
      </c>
      <c r="B16" s="192"/>
      <c r="C16" s="192"/>
      <c r="D16" s="192"/>
      <c r="E16" s="136"/>
      <c r="F16" s="192"/>
      <c r="G16" s="193"/>
      <c r="H16" s="193"/>
      <c r="I16" s="193"/>
      <c r="J16" s="193"/>
      <c r="K16" s="193"/>
      <c r="L16" s="193"/>
      <c r="M16" s="193"/>
      <c r="N16" s="193"/>
      <c r="O16" s="193"/>
      <c r="P16" s="193"/>
      <c r="Q16" s="193"/>
      <c r="R16" s="193"/>
      <c r="S16" s="193"/>
      <c r="T16" s="193"/>
      <c r="U16" s="193"/>
      <c r="V16" s="193">
        <f t="shared" si="2"/>
        <v>9791.802451248408</v>
      </c>
      <c r="W16" s="193">
        <f t="shared" si="2"/>
        <v>10312.228690445034</v>
      </c>
      <c r="X16" s="193">
        <f t="shared" si="2"/>
        <v>10716.901006882812</v>
      </c>
      <c r="Y16" s="193">
        <f t="shared" si="2"/>
        <v>11201.7529232216</v>
      </c>
      <c r="Z16" s="193">
        <f t="shared" si="2"/>
        <v>11681.194624114487</v>
      </c>
      <c r="AA16" s="193">
        <f t="shared" si="2"/>
        <v>12110.811355956359</v>
      </c>
      <c r="AB16" s="193">
        <f t="shared" ref="AB16:AR16" si="5">+AB7*AB$10</f>
        <v>12707.996563852616</v>
      </c>
      <c r="AC16" s="193">
        <f t="shared" si="5"/>
        <v>13192.921166352511</v>
      </c>
      <c r="AD16" s="193">
        <f t="shared" si="5"/>
        <v>13731.863830518258</v>
      </c>
      <c r="AE16" s="193">
        <f t="shared" si="5"/>
        <v>14279.436963013322</v>
      </c>
      <c r="AF16" s="193">
        <f t="shared" si="5"/>
        <v>14826.948057821726</v>
      </c>
      <c r="AG16" s="193">
        <f t="shared" si="5"/>
        <v>15336.547253466631</v>
      </c>
      <c r="AH16" s="193">
        <f t="shared" si="5"/>
        <v>15851.765282529939</v>
      </c>
      <c r="AI16" s="193">
        <f t="shared" si="5"/>
        <v>16385.309594637863</v>
      </c>
      <c r="AJ16" s="193">
        <f t="shared" si="5"/>
        <v>16945.73502831654</v>
      </c>
      <c r="AK16" s="193">
        <f t="shared" si="5"/>
        <v>17543.955290487353</v>
      </c>
      <c r="AL16" s="193">
        <f t="shared" si="5"/>
        <v>18161.897486107522</v>
      </c>
      <c r="AM16" s="193">
        <f t="shared" si="5"/>
        <v>18770.663762702068</v>
      </c>
      <c r="AN16" s="193">
        <f t="shared" si="5"/>
        <v>19380.443244603994</v>
      </c>
      <c r="AO16" s="193">
        <f t="shared" si="5"/>
        <v>19983.868473247312</v>
      </c>
      <c r="AP16" s="193">
        <f t="shared" si="5"/>
        <v>20555.177482761595</v>
      </c>
      <c r="AQ16" s="193">
        <f t="shared" si="5"/>
        <v>21200.800250992161</v>
      </c>
      <c r="AR16" s="193">
        <f t="shared" si="5"/>
        <v>21848.084563150165</v>
      </c>
    </row>
    <row r="17" spans="1:44">
      <c r="A17" s="194" t="s">
        <v>340</v>
      </c>
      <c r="B17" s="192"/>
      <c r="C17" s="192"/>
      <c r="D17" s="192"/>
      <c r="E17" s="136"/>
      <c r="F17" s="192"/>
      <c r="G17" s="193"/>
      <c r="H17" s="193"/>
      <c r="I17" s="193"/>
      <c r="J17" s="193"/>
      <c r="K17" s="193"/>
      <c r="L17" s="193"/>
      <c r="M17" s="193"/>
      <c r="N17" s="193"/>
      <c r="O17" s="193"/>
      <c r="P17" s="193"/>
      <c r="Q17" s="193"/>
      <c r="R17" s="193"/>
      <c r="S17" s="193"/>
      <c r="T17" s="193"/>
      <c r="U17" s="193"/>
      <c r="V17" s="193">
        <f>(+V8-U8)*V10</f>
        <v>-5226.8252029005189</v>
      </c>
      <c r="W17" s="193">
        <f t="shared" ref="W17:AA17" si="6">(+W8-V8)*W10</f>
        <v>-1728.1844327522222</v>
      </c>
      <c r="X17" s="193">
        <f t="shared" si="6"/>
        <v>1785.3122328739551</v>
      </c>
      <c r="Y17" s="193">
        <f t="shared" si="6"/>
        <v>1877.5649160031028</v>
      </c>
      <c r="Z17" s="193">
        <f t="shared" si="6"/>
        <v>874.09063680096438</v>
      </c>
      <c r="AA17" s="193">
        <f t="shared" si="6"/>
        <v>-173.07330206938113</v>
      </c>
      <c r="AB17" s="193">
        <f t="shared" ref="AB17" si="7">(+AB8-AA8)*AB10</f>
        <v>-386.89112545031242</v>
      </c>
      <c r="AC17" s="193">
        <f t="shared" ref="AC17" si="8">(+AC8-AB8)*AC10</f>
        <v>-650.25535411845499</v>
      </c>
      <c r="AD17" s="193">
        <f t="shared" ref="AD17" si="9">(+AD8-AC8)*AD10</f>
        <v>-1005.3432280885623</v>
      </c>
      <c r="AE17" s="193">
        <f t="shared" ref="AE17" si="10">(+AE8-AD8)*AE10</f>
        <v>-1354.9692390722885</v>
      </c>
      <c r="AF17" s="193">
        <f t="shared" ref="AF17" si="11">(+AF8-AE8)*AF10</f>
        <v>-1721.0925440264732</v>
      </c>
      <c r="AG17" s="193">
        <f t="shared" ref="AG17" si="12">(+AG8-AF8)*AG10</f>
        <v>-2146.6856111957668</v>
      </c>
      <c r="AH17" s="193">
        <f t="shared" ref="AH17" si="13">(+AH8-AG8)*AH10</f>
        <v>-2591.2306377807172</v>
      </c>
      <c r="AI17" s="193">
        <f t="shared" ref="AI17" si="14">(+AI8-AH8)*AI10</f>
        <v>-3040.3080501196855</v>
      </c>
      <c r="AJ17" s="193">
        <f t="shared" ref="AJ17" si="15">(+AJ8-AI8)*AJ10</f>
        <v>-3478.0485328493833</v>
      </c>
      <c r="AK17" s="193">
        <f t="shared" ref="AK17" si="16">(+AK8-AJ8)*AK10</f>
        <v>-3893.5978597332528</v>
      </c>
      <c r="AL17" s="193">
        <f t="shared" ref="AL17" si="17">(+AL8-AK8)*AL10</f>
        <v>-4302.9530338384766</v>
      </c>
      <c r="AM17" s="193">
        <f t="shared" ref="AM17" si="18">(+AM8-AL8)*AM10</f>
        <v>-4746.0005001226682</v>
      </c>
      <c r="AN17" s="193">
        <f t="shared" ref="AN17" si="19">(+AN8-AM8)*AN10</f>
        <v>-5222.885889959106</v>
      </c>
      <c r="AO17" s="193">
        <f t="shared" ref="AO17" si="20">(+AO8-AN8)*AO10</f>
        <v>-5731.7240374906014</v>
      </c>
      <c r="AP17" s="193">
        <f t="shared" ref="AP17" si="21">(+AP8-AO8)*AP10</f>
        <v>-6310.2411322731159</v>
      </c>
      <c r="AQ17" s="193">
        <f t="shared" ref="AQ17" si="22">(+AQ8-AP8)*AQ10</f>
        <v>-6849.052027748372</v>
      </c>
      <c r="AR17" s="193">
        <f t="shared" ref="AR17" si="23">(+AR8-AQ8)*AR10</f>
        <v>-7412.0430314116047</v>
      </c>
    </row>
    <row r="18" spans="1:44">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row>
    <row r="19" spans="1:44">
      <c r="A19" s="25" t="s">
        <v>0</v>
      </c>
      <c r="N19" s="72"/>
      <c r="U19" s="56">
        <f t="shared" ref="U19:AR19" si="24">+U13</f>
        <v>279503.26573438512</v>
      </c>
      <c r="V19" s="56">
        <f t="shared" si="24"/>
        <v>294875.15799498156</v>
      </c>
      <c r="W19" s="56">
        <f t="shared" si="24"/>
        <v>301275.64288963139</v>
      </c>
      <c r="X19" s="56">
        <f t="shared" si="24"/>
        <v>307304.41073544545</v>
      </c>
      <c r="Y19" s="56">
        <f t="shared" si="24"/>
        <v>316650.43474456191</v>
      </c>
      <c r="Z19" s="56">
        <f t="shared" si="24"/>
        <v>324409.85287201725</v>
      </c>
      <c r="AA19" s="56">
        <f t="shared" si="24"/>
        <v>331097.44196810212</v>
      </c>
      <c r="AB19" s="56">
        <f t="shared" si="24"/>
        <v>340042.36571080203</v>
      </c>
      <c r="AC19" s="56">
        <f t="shared" si="24"/>
        <v>343103.37592074834</v>
      </c>
      <c r="AD19" s="56">
        <f t="shared" si="24"/>
        <v>345626.86264036119</v>
      </c>
      <c r="AE19" s="56">
        <f t="shared" si="24"/>
        <v>347484.08952837065</v>
      </c>
      <c r="AF19" s="56">
        <f t="shared" si="24"/>
        <v>348339.67320350715</v>
      </c>
      <c r="AG19" s="56">
        <f t="shared" si="24"/>
        <v>348262.84469563776</v>
      </c>
      <c r="AH19" s="56">
        <f t="shared" si="24"/>
        <v>347109.58231451432</v>
      </c>
      <c r="AI19" s="56">
        <f t="shared" si="24"/>
        <v>345033.06184221531</v>
      </c>
      <c r="AJ19" s="56">
        <f t="shared" si="24"/>
        <v>342158.42302152311</v>
      </c>
      <c r="AK19" s="56">
        <f t="shared" si="24"/>
        <v>338320.4157828312</v>
      </c>
      <c r="AL19" s="56">
        <f t="shared" si="24"/>
        <v>333735.38828031847</v>
      </c>
      <c r="AM19" s="56">
        <f t="shared" si="24"/>
        <v>327739.33806078119</v>
      </c>
      <c r="AN19" s="56">
        <f t="shared" si="24"/>
        <v>320617.55658859329</v>
      </c>
      <c r="AO19" s="56">
        <f t="shared" si="24"/>
        <v>312354.59642689768</v>
      </c>
      <c r="AP19" s="56">
        <f t="shared" si="24"/>
        <v>302521.11839470861</v>
      </c>
      <c r="AQ19" s="56">
        <f t="shared" si="24"/>
        <v>291624.55808911211</v>
      </c>
      <c r="AR19" s="56">
        <f t="shared" si="24"/>
        <v>279277.11701895029</v>
      </c>
    </row>
    <row r="20" spans="1:44">
      <c r="A20" s="25" t="s">
        <v>29</v>
      </c>
      <c r="N20" s="72"/>
      <c r="V20" s="56">
        <f>(U19+V19)/2</f>
        <v>287189.21186468331</v>
      </c>
      <c r="W20" s="56">
        <f t="shared" ref="W20:AA20" si="25">(V19+W19)/2</f>
        <v>298075.40044230648</v>
      </c>
      <c r="X20" s="56">
        <f t="shared" si="25"/>
        <v>304290.02681253839</v>
      </c>
      <c r="Y20" s="56">
        <f t="shared" si="25"/>
        <v>311977.42274000368</v>
      </c>
      <c r="Z20" s="56">
        <f t="shared" si="25"/>
        <v>320530.14380828955</v>
      </c>
      <c r="AA20" s="56">
        <f t="shared" si="25"/>
        <v>327753.64742005966</v>
      </c>
      <c r="AB20" s="56">
        <f t="shared" ref="AB20" si="26">(AA19+AB19)/2</f>
        <v>335569.90383945208</v>
      </c>
      <c r="AC20" s="56">
        <f t="shared" ref="AC20" si="27">(AB19+AC19)/2</f>
        <v>341572.87081577518</v>
      </c>
      <c r="AD20" s="56">
        <f t="shared" ref="AD20" si="28">(AC19+AD19)/2</f>
        <v>344365.11928055476</v>
      </c>
      <c r="AE20" s="56">
        <f t="shared" ref="AE20" si="29">(AD19+AE19)/2</f>
        <v>346555.47608436592</v>
      </c>
      <c r="AF20" s="56">
        <f t="shared" ref="AF20" si="30">(AE19+AF19)/2</f>
        <v>347911.88136593893</v>
      </c>
      <c r="AG20" s="56">
        <f t="shared" ref="AG20" si="31">(AF19+AG19)/2</f>
        <v>348301.25894957245</v>
      </c>
      <c r="AH20" s="56">
        <f t="shared" ref="AH20" si="32">(AG19+AH19)/2</f>
        <v>347686.21350507601</v>
      </c>
      <c r="AI20" s="56">
        <f t="shared" ref="AI20" si="33">(AH19+AI19)/2</f>
        <v>346071.32207836478</v>
      </c>
      <c r="AJ20" s="56">
        <f t="shared" ref="AJ20" si="34">(AI19+AJ19)/2</f>
        <v>343595.74243186921</v>
      </c>
      <c r="AK20" s="56">
        <f t="shared" ref="AK20" si="35">(AJ19+AK19)/2</f>
        <v>340239.41940217715</v>
      </c>
      <c r="AL20" s="56">
        <f t="shared" ref="AL20" si="36">(AK19+AL19)/2</f>
        <v>336027.90203157486</v>
      </c>
      <c r="AM20" s="56">
        <f t="shared" ref="AM20" si="37">(AL19+AM19)/2</f>
        <v>330737.36317054986</v>
      </c>
      <c r="AN20" s="56">
        <f t="shared" ref="AN20" si="38">(AM19+AN19)/2</f>
        <v>324178.44732468727</v>
      </c>
      <c r="AO20" s="56">
        <f t="shared" ref="AO20" si="39">(AN19+AO19)/2</f>
        <v>316486.07650774549</v>
      </c>
      <c r="AP20" s="56">
        <f t="shared" ref="AP20" si="40">(AO19+AP19)/2</f>
        <v>307437.85741080315</v>
      </c>
      <c r="AQ20" s="56">
        <f t="shared" ref="AQ20" si="41">(AP19+AQ19)/2</f>
        <v>297072.83824191033</v>
      </c>
      <c r="AR20" s="56">
        <f t="shared" ref="AR20" si="42">(AQ19+AR19)/2</f>
        <v>285450.83755403117</v>
      </c>
    </row>
    <row r="21" spans="1:44">
      <c r="A21" s="25" t="s">
        <v>152</v>
      </c>
      <c r="N21" s="72"/>
      <c r="T21" s="73"/>
      <c r="U21" s="73"/>
      <c r="V21" s="85">
        <f>+Inputs!V6</f>
        <v>0.55000000000000004</v>
      </c>
      <c r="W21" s="85">
        <f>+V21</f>
        <v>0.55000000000000004</v>
      </c>
      <c r="X21" s="85">
        <f t="shared" ref="X21:AA21" si="43">+W21</f>
        <v>0.55000000000000004</v>
      </c>
      <c r="Y21" s="85">
        <f t="shared" si="43"/>
        <v>0.55000000000000004</v>
      </c>
      <c r="Z21" s="85">
        <f t="shared" si="43"/>
        <v>0.55000000000000004</v>
      </c>
      <c r="AA21" s="85">
        <f t="shared" si="43"/>
        <v>0.55000000000000004</v>
      </c>
      <c r="AB21" s="85">
        <f t="shared" ref="AB21" si="44">+AA21</f>
        <v>0.55000000000000004</v>
      </c>
      <c r="AC21" s="85">
        <f t="shared" ref="AC21" si="45">+AB21</f>
        <v>0.55000000000000004</v>
      </c>
      <c r="AD21" s="85">
        <f t="shared" ref="AD21" si="46">+AC21</f>
        <v>0.55000000000000004</v>
      </c>
      <c r="AE21" s="85">
        <f t="shared" ref="AE21" si="47">+AD21</f>
        <v>0.55000000000000004</v>
      </c>
      <c r="AF21" s="85">
        <f t="shared" ref="AF21" si="48">+AE21</f>
        <v>0.55000000000000004</v>
      </c>
      <c r="AG21" s="85">
        <f t="shared" ref="AG21" si="49">+AF21</f>
        <v>0.55000000000000004</v>
      </c>
      <c r="AH21" s="85">
        <f t="shared" ref="AH21" si="50">+AG21</f>
        <v>0.55000000000000004</v>
      </c>
      <c r="AI21" s="85">
        <f t="shared" ref="AI21" si="51">+AH21</f>
        <v>0.55000000000000004</v>
      </c>
      <c r="AJ21" s="85">
        <f t="shared" ref="AJ21" si="52">+AI21</f>
        <v>0.55000000000000004</v>
      </c>
      <c r="AK21" s="85">
        <f t="shared" ref="AK21" si="53">+AJ21</f>
        <v>0.55000000000000004</v>
      </c>
      <c r="AL21" s="85">
        <f t="shared" ref="AL21" si="54">+AK21</f>
        <v>0.55000000000000004</v>
      </c>
      <c r="AM21" s="85">
        <f t="shared" ref="AM21" si="55">+AL21</f>
        <v>0.55000000000000004</v>
      </c>
      <c r="AN21" s="85">
        <f t="shared" ref="AN21" si="56">+AM21</f>
        <v>0.55000000000000004</v>
      </c>
      <c r="AO21" s="85">
        <f t="shared" ref="AO21" si="57">+AN21</f>
        <v>0.55000000000000004</v>
      </c>
      <c r="AP21" s="85">
        <f t="shared" ref="AP21" si="58">+AO21</f>
        <v>0.55000000000000004</v>
      </c>
      <c r="AQ21" s="85">
        <f t="shared" ref="AQ21" si="59">+AP21</f>
        <v>0.55000000000000004</v>
      </c>
      <c r="AR21" s="85">
        <f t="shared" ref="AR21" si="60">+AQ21</f>
        <v>0.55000000000000004</v>
      </c>
    </row>
    <row r="22" spans="1:44">
      <c r="A22" s="25" t="s">
        <v>28</v>
      </c>
      <c r="N22" s="72"/>
      <c r="V22" s="56">
        <f>+V20*V21</f>
        <v>157954.06652557582</v>
      </c>
      <c r="W22" s="56">
        <f t="shared" ref="W22:AA22" si="61">+W20*W21</f>
        <v>163941.47024326859</v>
      </c>
      <c r="X22" s="56">
        <f t="shared" si="61"/>
        <v>167359.51474689614</v>
      </c>
      <c r="Y22" s="56">
        <f t="shared" si="61"/>
        <v>171587.58250700202</v>
      </c>
      <c r="Z22" s="56">
        <f t="shared" si="61"/>
        <v>176291.57909455927</v>
      </c>
      <c r="AA22" s="56">
        <f t="shared" si="61"/>
        <v>180264.50608103283</v>
      </c>
      <c r="AB22" s="56">
        <f t="shared" ref="AB22:AR22" si="62">+AB20*AB21</f>
        <v>184563.44711169865</v>
      </c>
      <c r="AC22" s="56">
        <f t="shared" si="62"/>
        <v>187865.07894867635</v>
      </c>
      <c r="AD22" s="56">
        <f t="shared" si="62"/>
        <v>189400.81560430513</v>
      </c>
      <c r="AE22" s="56">
        <f t="shared" si="62"/>
        <v>190605.51184640126</v>
      </c>
      <c r="AF22" s="56">
        <f t="shared" si="62"/>
        <v>191351.53475126642</v>
      </c>
      <c r="AG22" s="56">
        <f t="shared" si="62"/>
        <v>191565.69242226487</v>
      </c>
      <c r="AH22" s="56">
        <f t="shared" si="62"/>
        <v>191227.41742779184</v>
      </c>
      <c r="AI22" s="56">
        <f t="shared" si="62"/>
        <v>190339.22714310064</v>
      </c>
      <c r="AJ22" s="56">
        <f t="shared" si="62"/>
        <v>188977.65833752809</v>
      </c>
      <c r="AK22" s="56">
        <f t="shared" si="62"/>
        <v>187131.68067119745</v>
      </c>
      <c r="AL22" s="56">
        <f t="shared" si="62"/>
        <v>184815.34611736619</v>
      </c>
      <c r="AM22" s="56">
        <f t="shared" si="62"/>
        <v>181905.54974380243</v>
      </c>
      <c r="AN22" s="56">
        <f t="shared" si="62"/>
        <v>178298.14602857802</v>
      </c>
      <c r="AO22" s="56">
        <f t="shared" si="62"/>
        <v>174067.34207926004</v>
      </c>
      <c r="AP22" s="56">
        <f t="shared" si="62"/>
        <v>169090.82157594175</v>
      </c>
      <c r="AQ22" s="56">
        <f t="shared" si="62"/>
        <v>163390.0610330507</v>
      </c>
      <c r="AR22" s="56">
        <f t="shared" si="62"/>
        <v>156997.96065471714</v>
      </c>
    </row>
    <row r="23" spans="1:44">
      <c r="A23" s="25" t="s">
        <v>153</v>
      </c>
      <c r="N23" s="72"/>
      <c r="T23" s="73"/>
      <c r="U23" s="73"/>
      <c r="V23" s="85">
        <f>+Inputs!V7</f>
        <v>3.2099999999999997E-2</v>
      </c>
      <c r="W23" s="85">
        <f>+Inputs!W7</f>
        <v>3.2099999999999997E-2</v>
      </c>
      <c r="X23" s="85">
        <f>+Inputs!X7</f>
        <v>5.1100000000000007E-2</v>
      </c>
      <c r="Y23" s="85">
        <f>+Inputs!Y7</f>
        <v>7.0099999999999996E-2</v>
      </c>
      <c r="Z23" s="85">
        <f>+Inputs!Z7</f>
        <v>7.0099999999999996E-2</v>
      </c>
      <c r="AA23" s="85">
        <f>+Inputs!AA7</f>
        <v>7.0099999999999996E-2</v>
      </c>
      <c r="AB23" s="85">
        <f t="shared" ref="AB23" si="63">+AA23</f>
        <v>7.0099999999999996E-2</v>
      </c>
      <c r="AC23" s="85">
        <f t="shared" ref="AC23" si="64">+AB23</f>
        <v>7.0099999999999996E-2</v>
      </c>
      <c r="AD23" s="85">
        <f t="shared" ref="AD23" si="65">+AC23</f>
        <v>7.0099999999999996E-2</v>
      </c>
      <c r="AE23" s="85">
        <f t="shared" ref="AE23" si="66">+AD23</f>
        <v>7.0099999999999996E-2</v>
      </c>
      <c r="AF23" s="85">
        <f t="shared" ref="AF23" si="67">+AE23</f>
        <v>7.0099999999999996E-2</v>
      </c>
      <c r="AG23" s="85">
        <f t="shared" ref="AG23" si="68">+AF23</f>
        <v>7.0099999999999996E-2</v>
      </c>
      <c r="AH23" s="85">
        <f t="shared" ref="AH23" si="69">+AG23</f>
        <v>7.0099999999999996E-2</v>
      </c>
      <c r="AI23" s="85">
        <f t="shared" ref="AI23" si="70">+AH23</f>
        <v>7.0099999999999996E-2</v>
      </c>
      <c r="AJ23" s="85">
        <f t="shared" ref="AJ23" si="71">+AI23</f>
        <v>7.0099999999999996E-2</v>
      </c>
      <c r="AK23" s="85">
        <f t="shared" ref="AK23" si="72">+AJ23</f>
        <v>7.0099999999999996E-2</v>
      </c>
      <c r="AL23" s="85">
        <f t="shared" ref="AL23" si="73">+AK23</f>
        <v>7.0099999999999996E-2</v>
      </c>
      <c r="AM23" s="85">
        <f t="shared" ref="AM23" si="74">+AL23</f>
        <v>7.0099999999999996E-2</v>
      </c>
      <c r="AN23" s="85">
        <f t="shared" ref="AN23" si="75">+AM23</f>
        <v>7.0099999999999996E-2</v>
      </c>
      <c r="AO23" s="85">
        <f t="shared" ref="AO23" si="76">+AN23</f>
        <v>7.0099999999999996E-2</v>
      </c>
      <c r="AP23" s="85">
        <f t="shared" ref="AP23" si="77">+AO23</f>
        <v>7.0099999999999996E-2</v>
      </c>
      <c r="AQ23" s="85">
        <f t="shared" ref="AQ23" si="78">+AP23</f>
        <v>7.0099999999999996E-2</v>
      </c>
      <c r="AR23" s="85">
        <f t="shared" ref="AR23" si="79">+AQ23</f>
        <v>7.0099999999999996E-2</v>
      </c>
    </row>
    <row r="24" spans="1:44">
      <c r="A24" s="137" t="s">
        <v>25</v>
      </c>
      <c r="N24" s="72"/>
      <c r="V24" s="56">
        <f>+V22*V23</f>
        <v>5070.3255354709836</v>
      </c>
      <c r="W24" s="56">
        <f t="shared" ref="W24:AA24" si="80">+W22*W23</f>
        <v>5262.5211948089209</v>
      </c>
      <c r="X24" s="56">
        <f t="shared" si="80"/>
        <v>8552.0712035663928</v>
      </c>
      <c r="Y24" s="56">
        <f t="shared" si="80"/>
        <v>12028.289533740841</v>
      </c>
      <c r="Z24" s="56">
        <f t="shared" si="80"/>
        <v>12358.039694528605</v>
      </c>
      <c r="AA24" s="56">
        <f t="shared" si="80"/>
        <v>12636.5418762804</v>
      </c>
      <c r="AB24" s="56">
        <f t="shared" ref="AB24:AR24" si="81">+AB22*AB23</f>
        <v>12937.897642530075</v>
      </c>
      <c r="AC24" s="56">
        <f t="shared" si="81"/>
        <v>13169.342034302212</v>
      </c>
      <c r="AD24" s="56">
        <f t="shared" si="81"/>
        <v>13276.997173861788</v>
      </c>
      <c r="AE24" s="56">
        <f t="shared" si="81"/>
        <v>13361.446380432728</v>
      </c>
      <c r="AF24" s="56">
        <f t="shared" si="81"/>
        <v>13413.742586063774</v>
      </c>
      <c r="AG24" s="56">
        <f t="shared" si="81"/>
        <v>13428.755038800766</v>
      </c>
      <c r="AH24" s="56">
        <f t="shared" si="81"/>
        <v>13405.041961688206</v>
      </c>
      <c r="AI24" s="56">
        <f t="shared" si="81"/>
        <v>13342.779822731354</v>
      </c>
      <c r="AJ24" s="56">
        <f t="shared" si="81"/>
        <v>13247.333849460718</v>
      </c>
      <c r="AK24" s="56">
        <f t="shared" si="81"/>
        <v>13117.930815050941</v>
      </c>
      <c r="AL24" s="56">
        <f t="shared" si="81"/>
        <v>12955.555762827369</v>
      </c>
      <c r="AM24" s="56">
        <f t="shared" si="81"/>
        <v>12751.57903704055</v>
      </c>
      <c r="AN24" s="56">
        <f t="shared" si="81"/>
        <v>12498.700036603319</v>
      </c>
      <c r="AO24" s="56">
        <f t="shared" si="81"/>
        <v>12202.120679756128</v>
      </c>
      <c r="AP24" s="56">
        <f t="shared" si="81"/>
        <v>11853.266592473516</v>
      </c>
      <c r="AQ24" s="56">
        <f t="shared" si="81"/>
        <v>11453.643278416854</v>
      </c>
      <c r="AR24" s="56">
        <f t="shared" si="81"/>
        <v>11005.55704189567</v>
      </c>
    </row>
    <row r="25" spans="1:44">
      <c r="AB25" s="56"/>
      <c r="AC25" s="56"/>
      <c r="AD25" s="56"/>
      <c r="AE25" s="56"/>
      <c r="AF25" s="56"/>
      <c r="AG25" s="56"/>
      <c r="AH25" s="56"/>
      <c r="AI25" s="56"/>
      <c r="AJ25" s="56"/>
      <c r="AK25" s="56"/>
      <c r="AL25" s="56"/>
      <c r="AM25" s="56"/>
      <c r="AN25" s="56"/>
      <c r="AO25" s="56"/>
      <c r="AP25" s="56"/>
      <c r="AQ25" s="56"/>
      <c r="AR25" s="56"/>
    </row>
    <row r="26" spans="1:44">
      <c r="A26" s="1" t="s">
        <v>90</v>
      </c>
      <c r="B26" s="74"/>
      <c r="C26" s="74"/>
      <c r="D26" s="74"/>
      <c r="E26" s="74"/>
      <c r="F26" s="74"/>
      <c r="G26" s="74"/>
      <c r="H26" s="74"/>
      <c r="I26" s="74"/>
      <c r="J26" s="74"/>
      <c r="K26" s="74"/>
      <c r="L26" s="74"/>
      <c r="M26" s="75"/>
      <c r="O26" s="75"/>
      <c r="P26" s="75"/>
      <c r="Q26" s="75"/>
      <c r="R26" s="75"/>
      <c r="S26" s="75"/>
      <c r="V26" s="56">
        <f t="shared" ref="V26:AR26" si="82">+V14</f>
        <v>29575.243780328521</v>
      </c>
      <c r="W26" s="56">
        <f t="shared" si="82"/>
        <v>32485.101769010387</v>
      </c>
      <c r="X26" s="56">
        <f t="shared" si="82"/>
        <v>35198.123126671184</v>
      </c>
      <c r="Y26" s="56">
        <f t="shared" si="82"/>
        <v>38154.323687054144</v>
      </c>
      <c r="Z26" s="56">
        <f t="shared" si="82"/>
        <v>40423.294268837293</v>
      </c>
      <c r="AA26" s="56">
        <f t="shared" si="82"/>
        <v>42700.512144266868</v>
      </c>
      <c r="AB26" s="56">
        <f t="shared" si="82"/>
        <v>44397.198589276122</v>
      </c>
      <c r="AC26" s="56">
        <f t="shared" si="82"/>
        <v>45985.762594029839</v>
      </c>
      <c r="AD26" s="56">
        <f t="shared" si="82"/>
        <v>47552.904165880587</v>
      </c>
      <c r="AE26" s="56">
        <f t="shared" si="82"/>
        <v>49098.557482388329</v>
      </c>
      <c r="AF26" s="56">
        <f t="shared" si="82"/>
        <v>50622.730977252948</v>
      </c>
      <c r="AG26" s="56">
        <f t="shared" si="82"/>
        <v>52125.655465828677</v>
      </c>
      <c r="AH26" s="56">
        <f t="shared" si="82"/>
        <v>53607.394868743795</v>
      </c>
      <c r="AI26" s="56">
        <f t="shared" si="82"/>
        <v>55067.888419748575</v>
      </c>
      <c r="AJ26" s="56">
        <f t="shared" si="82"/>
        <v>56506.981349408852</v>
      </c>
      <c r="AK26" s="56">
        <f t="shared" si="82"/>
        <v>57924.382128823498</v>
      </c>
      <c r="AL26" s="56">
        <f t="shared" si="82"/>
        <v>59319.922574756725</v>
      </c>
      <c r="AM26" s="56">
        <f t="shared" si="82"/>
        <v>60693.445826324787</v>
      </c>
      <c r="AN26" s="56">
        <f t="shared" si="82"/>
        <v>62044.53479869396</v>
      </c>
      <c r="AO26" s="56">
        <f t="shared" si="82"/>
        <v>63372.890605675471</v>
      </c>
      <c r="AP26" s="56">
        <f t="shared" si="82"/>
        <v>64678.217727881303</v>
      </c>
      <c r="AQ26" s="56">
        <f t="shared" si="82"/>
        <v>65959.946896183566</v>
      </c>
      <c r="AR26" s="56">
        <f t="shared" si="82"/>
        <v>67217.502380376623</v>
      </c>
    </row>
    <row r="27" spans="1:44">
      <c r="A27" s="5" t="s">
        <v>101</v>
      </c>
      <c r="B27" s="74"/>
      <c r="C27" s="74"/>
      <c r="D27" s="74"/>
      <c r="E27" s="74"/>
      <c r="F27" s="74"/>
      <c r="G27" s="74"/>
      <c r="H27" s="74"/>
      <c r="I27" s="74"/>
      <c r="J27" s="74"/>
      <c r="K27" s="74"/>
      <c r="L27" s="74"/>
      <c r="M27" s="75"/>
      <c r="O27" s="75"/>
      <c r="P27" s="75"/>
      <c r="Q27" s="75"/>
      <c r="R27" s="75"/>
      <c r="S27" s="75"/>
      <c r="V27" s="56">
        <f t="shared" ref="V27:AR27" si="83">+V15</f>
        <v>-9970.9522813743479</v>
      </c>
      <c r="W27" s="56">
        <f t="shared" si="83"/>
        <v>-10698.426667802029</v>
      </c>
      <c r="X27" s="56">
        <f t="shared" si="83"/>
        <v>-11420.298053368353</v>
      </c>
      <c r="Y27" s="56">
        <f t="shared" si="83"/>
        <v>-12147.169117835067</v>
      </c>
      <c r="Z27" s="56">
        <f t="shared" si="83"/>
        <v>-12475.358025919799</v>
      </c>
      <c r="AA27" s="56">
        <f t="shared" si="83"/>
        <v>-12889.162708326181</v>
      </c>
      <c r="AB27" s="56">
        <f t="shared" si="83"/>
        <v>-13357.431994462657</v>
      </c>
      <c r="AC27" s="56">
        <f t="shared" si="83"/>
        <v>-13875.022023740701</v>
      </c>
      <c r="AD27" s="56">
        <f t="shared" si="83"/>
        <v>-14398.646013465188</v>
      </c>
      <c r="AE27" s="56">
        <f t="shared" si="83"/>
        <v>-14929.768632075082</v>
      </c>
      <c r="AF27" s="56">
        <f t="shared" si="83"/>
        <v>-15467.485816360302</v>
      </c>
      <c r="AG27" s="56">
        <f t="shared" si="83"/>
        <v>-16014.135014828986</v>
      </c>
      <c r="AH27" s="56">
        <f t="shared" si="83"/>
        <v>-16568.708263195251</v>
      </c>
      <c r="AI27" s="56">
        <f t="shared" si="83"/>
        <v>-17132.694317013495</v>
      </c>
      <c r="AJ27" s="56">
        <f t="shared" si="83"/>
        <v>-17705.802527431541</v>
      </c>
      <c r="AK27" s="56">
        <f t="shared" si="83"/>
        <v>-18288.674189091711</v>
      </c>
      <c r="AL27" s="56">
        <f t="shared" si="83"/>
        <v>-18881.956100844138</v>
      </c>
      <c r="AM27" s="56">
        <f t="shared" si="83"/>
        <v>-19486.230332331848</v>
      </c>
      <c r="AN27" s="56">
        <f t="shared" si="83"/>
        <v>-20101.1349174565</v>
      </c>
      <c r="AO27" s="56">
        <f t="shared" si="83"/>
        <v>-20728.324360979019</v>
      </c>
      <c r="AP27" s="56">
        <f t="shared" si="83"/>
        <v>-21367.318760164042</v>
      </c>
      <c r="AQ27" s="56">
        <f t="shared" si="83"/>
        <v>-22018.674665556155</v>
      </c>
      <c r="AR27" s="56">
        <f t="shared" si="83"/>
        <v>-22687.135380882966</v>
      </c>
    </row>
    <row r="28" spans="1:44">
      <c r="A28" s="1" t="s">
        <v>24</v>
      </c>
      <c r="B28" s="74"/>
      <c r="C28" s="74"/>
      <c r="D28" s="74"/>
      <c r="E28" s="74"/>
      <c r="F28" s="74"/>
      <c r="G28" s="74"/>
      <c r="H28" s="74"/>
      <c r="I28" s="74"/>
      <c r="J28" s="74"/>
      <c r="K28" s="74"/>
      <c r="L28" s="74"/>
      <c r="M28" s="75"/>
      <c r="O28" s="75"/>
      <c r="P28" s="75"/>
      <c r="Q28" s="75"/>
      <c r="R28" s="75"/>
      <c r="S28" s="75"/>
      <c r="V28" s="56">
        <f>-'UR Tax Calculation'!V25</f>
        <v>-875.55162714584105</v>
      </c>
      <c r="W28" s="56">
        <f>-'UR Tax Calculation'!W25</f>
        <v>-1287.6652927647729</v>
      </c>
      <c r="X28" s="56">
        <f>-'UR Tax Calculation'!X25</f>
        <v>-1036.7413663760292</v>
      </c>
      <c r="Y28" s="56">
        <f>-'UR Tax Calculation'!Y25</f>
        <v>-787.35693132788526</v>
      </c>
      <c r="Z28" s="56">
        <f>-'UR Tax Calculation'!Z25</f>
        <v>-1085.3647682048672</v>
      </c>
      <c r="AA28" s="56">
        <f>-'UR Tax Calculation'!AA25</f>
        <v>-1375.1676195902019</v>
      </c>
      <c r="AB28" s="56">
        <f>-'UR Tax Calculation'!AB25</f>
        <v>-1501.1417436382328</v>
      </c>
      <c r="AC28" s="56">
        <f>-'UR Tax Calculation'!AC25</f>
        <v>-1686.3044190772557</v>
      </c>
      <c r="AD28" s="56">
        <f>-'UR Tax Calculation'!AD25</f>
        <v>-1882.4956073848039</v>
      </c>
      <c r="AE28" s="56">
        <f>-'UR Tax Calculation'!AE25</f>
        <v>-2072.7742858011497</v>
      </c>
      <c r="AF28" s="56">
        <f>-'UR Tax Calculation'!AF25</f>
        <v>-2263.7307517559057</v>
      </c>
      <c r="AG28" s="56">
        <f>-'UR Tax Calculation'!AG25</f>
        <v>-2454.5530923762976</v>
      </c>
      <c r="AH28" s="56">
        <f>-'UR Tax Calculation'!AH25</f>
        <v>-2647.2978134659907</v>
      </c>
      <c r="AI28" s="56">
        <f>-'UR Tax Calculation'!AI25</f>
        <v>-2839.0356710969982</v>
      </c>
      <c r="AJ28" s="56">
        <f>-'UR Tax Calculation'!AJ25</f>
        <v>-3026.9446197533794</v>
      </c>
      <c r="AK28" s="56">
        <f>-'UR Tax Calculation'!AK25</f>
        <v>-3213.2636021132676</v>
      </c>
      <c r="AL28" s="56">
        <f>-'UR Tax Calculation'!AL25</f>
        <v>-3394.5331046660422</v>
      </c>
      <c r="AM28" s="56">
        <f>-'UR Tax Calculation'!AM25</f>
        <v>-3581.1599127958621</v>
      </c>
      <c r="AN28" s="56">
        <f>-'UR Tax Calculation'!AN25</f>
        <v>-3769.4478583974355</v>
      </c>
      <c r="AO28" s="56">
        <f>-'UR Tax Calculation'!AO25</f>
        <v>-3957.7312785426443</v>
      </c>
      <c r="AP28" s="56">
        <f>-'UR Tax Calculation'!AP25</f>
        <v>-4152.7786746822321</v>
      </c>
      <c r="AQ28" s="56">
        <f>-'UR Tax Calculation'!AQ25</f>
        <v>-4346.02695118467</v>
      </c>
      <c r="AR28" s="56">
        <f>-'UR Tax Calculation'!AR25</f>
        <v>-4541.0614896640855</v>
      </c>
    </row>
    <row r="29" spans="1:44">
      <c r="A29" s="1" t="s">
        <v>25</v>
      </c>
      <c r="B29" s="74"/>
      <c r="C29" s="74"/>
      <c r="D29" s="74"/>
      <c r="E29" s="74"/>
      <c r="F29" s="74"/>
      <c r="G29" s="74"/>
      <c r="H29" s="74"/>
      <c r="I29" s="74"/>
      <c r="J29" s="74"/>
      <c r="K29" s="74"/>
      <c r="L29" s="74"/>
      <c r="M29" s="75"/>
      <c r="O29" s="75"/>
      <c r="P29" s="75"/>
      <c r="Q29" s="75"/>
      <c r="R29" s="75"/>
      <c r="S29" s="75"/>
      <c r="V29" s="56">
        <f t="shared" ref="V29:AA29" si="84">-V24</f>
        <v>-5070.3255354709836</v>
      </c>
      <c r="W29" s="56">
        <f t="shared" si="84"/>
        <v>-5262.5211948089209</v>
      </c>
      <c r="X29" s="56">
        <f t="shared" si="84"/>
        <v>-8552.0712035663928</v>
      </c>
      <c r="Y29" s="56">
        <f t="shared" si="84"/>
        <v>-12028.289533740841</v>
      </c>
      <c r="Z29" s="56">
        <f t="shared" si="84"/>
        <v>-12358.039694528605</v>
      </c>
      <c r="AA29" s="56">
        <f t="shared" si="84"/>
        <v>-12636.5418762804</v>
      </c>
      <c r="AB29" s="56">
        <f t="shared" ref="AB29:AR29" si="85">-AB24</f>
        <v>-12937.897642530075</v>
      </c>
      <c r="AC29" s="56">
        <f t="shared" si="85"/>
        <v>-13169.342034302212</v>
      </c>
      <c r="AD29" s="56">
        <f t="shared" si="85"/>
        <v>-13276.997173861788</v>
      </c>
      <c r="AE29" s="56">
        <f t="shared" si="85"/>
        <v>-13361.446380432728</v>
      </c>
      <c r="AF29" s="56">
        <f t="shared" si="85"/>
        <v>-13413.742586063774</v>
      </c>
      <c r="AG29" s="56">
        <f t="shared" si="85"/>
        <v>-13428.755038800766</v>
      </c>
      <c r="AH29" s="56">
        <f t="shared" si="85"/>
        <v>-13405.041961688206</v>
      </c>
      <c r="AI29" s="56">
        <f t="shared" si="85"/>
        <v>-13342.779822731354</v>
      </c>
      <c r="AJ29" s="56">
        <f t="shared" si="85"/>
        <v>-13247.333849460718</v>
      </c>
      <c r="AK29" s="56">
        <f t="shared" si="85"/>
        <v>-13117.930815050941</v>
      </c>
      <c r="AL29" s="56">
        <f t="shared" si="85"/>
        <v>-12955.555762827369</v>
      </c>
      <c r="AM29" s="56">
        <f t="shared" si="85"/>
        <v>-12751.57903704055</v>
      </c>
      <c r="AN29" s="56">
        <f t="shared" si="85"/>
        <v>-12498.700036603319</v>
      </c>
      <c r="AO29" s="56">
        <f t="shared" si="85"/>
        <v>-12202.120679756128</v>
      </c>
      <c r="AP29" s="56">
        <f t="shared" si="85"/>
        <v>-11853.266592473516</v>
      </c>
      <c r="AQ29" s="56">
        <f t="shared" si="85"/>
        <v>-11453.643278416854</v>
      </c>
      <c r="AR29" s="56">
        <f t="shared" si="85"/>
        <v>-11005.55704189567</v>
      </c>
    </row>
    <row r="30" spans="1:44">
      <c r="A30" s="139" t="s">
        <v>91</v>
      </c>
      <c r="B30" s="74"/>
      <c r="C30" s="74"/>
      <c r="D30" s="74"/>
      <c r="E30" s="74"/>
      <c r="F30" s="74"/>
      <c r="G30" s="74"/>
      <c r="H30" s="74"/>
      <c r="I30" s="74"/>
      <c r="J30" s="74"/>
      <c r="K30" s="74"/>
      <c r="L30" s="74"/>
      <c r="M30" s="75"/>
      <c r="O30" s="75"/>
      <c r="P30" s="75"/>
      <c r="Q30" s="75"/>
      <c r="R30" s="75"/>
      <c r="S30" s="75"/>
      <c r="V30" s="216">
        <f t="shared" ref="V30:AA30" si="86">SUM(V26:V29)</f>
        <v>13658.414336337351</v>
      </c>
      <c r="W30" s="216">
        <f t="shared" si="86"/>
        <v>15236.488613634665</v>
      </c>
      <c r="X30" s="216">
        <f t="shared" si="86"/>
        <v>14189.012503360409</v>
      </c>
      <c r="Y30" s="216">
        <f t="shared" si="86"/>
        <v>13191.508104150351</v>
      </c>
      <c r="Z30" s="216">
        <f t="shared" si="86"/>
        <v>14504.531780184021</v>
      </c>
      <c r="AA30" s="216">
        <f t="shared" si="86"/>
        <v>15799.639940070087</v>
      </c>
      <c r="AB30" s="216">
        <f t="shared" ref="AB30:AR30" si="87">SUM(AB26:AB29)</f>
        <v>16600.727208645159</v>
      </c>
      <c r="AC30" s="216">
        <f t="shared" si="87"/>
        <v>17255.09411690967</v>
      </c>
      <c r="AD30" s="216">
        <f t="shared" si="87"/>
        <v>17994.765371168811</v>
      </c>
      <c r="AE30" s="216">
        <f t="shared" si="87"/>
        <v>18734.568184079373</v>
      </c>
      <c r="AF30" s="216">
        <f t="shared" si="87"/>
        <v>19477.771823072966</v>
      </c>
      <c r="AG30" s="216">
        <f t="shared" si="87"/>
        <v>20228.212319822625</v>
      </c>
      <c r="AH30" s="216">
        <f t="shared" si="87"/>
        <v>20986.346830394345</v>
      </c>
      <c r="AI30" s="216">
        <f t="shared" si="87"/>
        <v>21753.378608906729</v>
      </c>
      <c r="AJ30" s="216">
        <f t="shared" si="87"/>
        <v>22526.900352763223</v>
      </c>
      <c r="AK30" s="216">
        <f t="shared" si="87"/>
        <v>23304.513522567584</v>
      </c>
      <c r="AL30" s="216">
        <f t="shared" si="87"/>
        <v>24087.877606419177</v>
      </c>
      <c r="AM30" s="216">
        <f t="shared" si="87"/>
        <v>24874.476544156525</v>
      </c>
      <c r="AN30" s="216">
        <f t="shared" si="87"/>
        <v>25675.251986236712</v>
      </c>
      <c r="AO30" s="216">
        <f t="shared" si="87"/>
        <v>26484.714286397681</v>
      </c>
      <c r="AP30" s="216">
        <f t="shared" si="87"/>
        <v>27304.853700561518</v>
      </c>
      <c r="AQ30" s="216">
        <f t="shared" si="87"/>
        <v>28141.602001025884</v>
      </c>
      <c r="AR30" s="216">
        <f t="shared" si="87"/>
        <v>28983.748467933903</v>
      </c>
    </row>
    <row r="31" spans="1:44">
      <c r="A31" s="1"/>
      <c r="B31" s="74"/>
      <c r="C31" s="74"/>
      <c r="D31" s="74"/>
      <c r="E31" s="74"/>
      <c r="F31" s="74"/>
      <c r="G31" s="74"/>
      <c r="H31" s="74"/>
      <c r="I31" s="74"/>
      <c r="J31" s="74"/>
      <c r="K31" s="74"/>
      <c r="L31" s="74"/>
      <c r="M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1:44">
      <c r="A32" s="1" t="s">
        <v>92</v>
      </c>
      <c r="B32" s="74"/>
      <c r="C32" s="74"/>
      <c r="D32" s="74"/>
      <c r="E32" s="74"/>
      <c r="F32" s="74"/>
      <c r="G32" s="74"/>
      <c r="H32" s="74"/>
      <c r="I32" s="74"/>
      <c r="J32" s="74"/>
      <c r="K32" s="74"/>
      <c r="L32" s="74"/>
      <c r="M32" s="75"/>
      <c r="O32" s="75"/>
      <c r="P32" s="75"/>
      <c r="Q32" s="75"/>
      <c r="R32" s="75"/>
      <c r="S32" s="75"/>
      <c r="V32" s="56">
        <f t="shared" ref="V32" si="88">+V30</f>
        <v>13658.414336337351</v>
      </c>
      <c r="W32" s="56">
        <f t="shared" ref="W32:AA32" si="89">+W30</f>
        <v>15236.488613634665</v>
      </c>
      <c r="X32" s="56">
        <f t="shared" si="89"/>
        <v>14189.012503360409</v>
      </c>
      <c r="Y32" s="56">
        <f t="shared" si="89"/>
        <v>13191.508104150351</v>
      </c>
      <c r="Z32" s="56">
        <f t="shared" si="89"/>
        <v>14504.531780184021</v>
      </c>
      <c r="AA32" s="56">
        <f t="shared" si="89"/>
        <v>15799.639940070087</v>
      </c>
      <c r="AB32" s="56">
        <f t="shared" ref="AB32:AR32" si="90">+AB30</f>
        <v>16600.727208645159</v>
      </c>
      <c r="AC32" s="56">
        <f t="shared" si="90"/>
        <v>17255.09411690967</v>
      </c>
      <c r="AD32" s="56">
        <f t="shared" si="90"/>
        <v>17994.765371168811</v>
      </c>
      <c r="AE32" s="56">
        <f t="shared" si="90"/>
        <v>18734.568184079373</v>
      </c>
      <c r="AF32" s="56">
        <f t="shared" si="90"/>
        <v>19477.771823072966</v>
      </c>
      <c r="AG32" s="56">
        <f t="shared" si="90"/>
        <v>20228.212319822625</v>
      </c>
      <c r="AH32" s="56">
        <f t="shared" si="90"/>
        <v>20986.346830394345</v>
      </c>
      <c r="AI32" s="56">
        <f t="shared" si="90"/>
        <v>21753.378608906729</v>
      </c>
      <c r="AJ32" s="56">
        <f t="shared" si="90"/>
        <v>22526.900352763223</v>
      </c>
      <c r="AK32" s="56">
        <f t="shared" si="90"/>
        <v>23304.513522567584</v>
      </c>
      <c r="AL32" s="56">
        <f t="shared" si="90"/>
        <v>24087.877606419177</v>
      </c>
      <c r="AM32" s="56">
        <f t="shared" si="90"/>
        <v>24874.476544156525</v>
      </c>
      <c r="AN32" s="56">
        <f t="shared" si="90"/>
        <v>25675.251986236712</v>
      </c>
      <c r="AO32" s="56">
        <f t="shared" si="90"/>
        <v>26484.714286397681</v>
      </c>
      <c r="AP32" s="56">
        <f t="shared" si="90"/>
        <v>27304.853700561518</v>
      </c>
      <c r="AQ32" s="56">
        <f t="shared" si="90"/>
        <v>28141.602001025884</v>
      </c>
      <c r="AR32" s="56">
        <f t="shared" si="90"/>
        <v>28983.748467933903</v>
      </c>
    </row>
    <row r="33" spans="1:44">
      <c r="A33" s="1" t="s">
        <v>25</v>
      </c>
      <c r="B33" s="74"/>
      <c r="C33" s="74"/>
      <c r="D33" s="74"/>
      <c r="E33" s="74"/>
      <c r="F33" s="74"/>
      <c r="G33" s="74"/>
      <c r="H33" s="74"/>
      <c r="I33" s="74"/>
      <c r="J33" s="74"/>
      <c r="K33" s="74"/>
      <c r="L33" s="74"/>
      <c r="M33" s="75"/>
      <c r="O33" s="75"/>
      <c r="P33" s="75"/>
      <c r="Q33" s="75"/>
      <c r="R33" s="75"/>
      <c r="S33" s="75"/>
      <c r="V33" s="56">
        <f t="shared" ref="V33" si="91">-V29</f>
        <v>5070.3255354709836</v>
      </c>
      <c r="W33" s="56">
        <f t="shared" ref="W33:AA33" si="92">-W29</f>
        <v>5262.5211948089209</v>
      </c>
      <c r="X33" s="56">
        <f t="shared" si="92"/>
        <v>8552.0712035663928</v>
      </c>
      <c r="Y33" s="56">
        <f t="shared" si="92"/>
        <v>12028.289533740841</v>
      </c>
      <c r="Z33" s="56">
        <f t="shared" si="92"/>
        <v>12358.039694528605</v>
      </c>
      <c r="AA33" s="56">
        <f t="shared" si="92"/>
        <v>12636.5418762804</v>
      </c>
      <c r="AB33" s="56">
        <f t="shared" ref="AB33:AR33" si="93">-AB29</f>
        <v>12937.897642530075</v>
      </c>
      <c r="AC33" s="56">
        <f t="shared" si="93"/>
        <v>13169.342034302212</v>
      </c>
      <c r="AD33" s="56">
        <f t="shared" si="93"/>
        <v>13276.997173861788</v>
      </c>
      <c r="AE33" s="56">
        <f t="shared" si="93"/>
        <v>13361.446380432728</v>
      </c>
      <c r="AF33" s="56">
        <f t="shared" si="93"/>
        <v>13413.742586063774</v>
      </c>
      <c r="AG33" s="56">
        <f t="shared" si="93"/>
        <v>13428.755038800766</v>
      </c>
      <c r="AH33" s="56">
        <f t="shared" si="93"/>
        <v>13405.041961688206</v>
      </c>
      <c r="AI33" s="56">
        <f t="shared" si="93"/>
        <v>13342.779822731354</v>
      </c>
      <c r="AJ33" s="56">
        <f t="shared" si="93"/>
        <v>13247.333849460718</v>
      </c>
      <c r="AK33" s="56">
        <f t="shared" si="93"/>
        <v>13117.930815050941</v>
      </c>
      <c r="AL33" s="56">
        <f t="shared" si="93"/>
        <v>12955.555762827369</v>
      </c>
      <c r="AM33" s="56">
        <f t="shared" si="93"/>
        <v>12751.57903704055</v>
      </c>
      <c r="AN33" s="56">
        <f t="shared" si="93"/>
        <v>12498.700036603319</v>
      </c>
      <c r="AO33" s="56">
        <f t="shared" si="93"/>
        <v>12202.120679756128</v>
      </c>
      <c r="AP33" s="56">
        <f t="shared" si="93"/>
        <v>11853.266592473516</v>
      </c>
      <c r="AQ33" s="56">
        <f t="shared" si="93"/>
        <v>11453.643278416854</v>
      </c>
      <c r="AR33" s="56">
        <f t="shared" si="93"/>
        <v>11005.55704189567</v>
      </c>
    </row>
    <row r="34" spans="1:44">
      <c r="A34" s="1" t="s">
        <v>93</v>
      </c>
      <c r="B34" s="74"/>
      <c r="C34" s="74"/>
      <c r="D34" s="74"/>
      <c r="E34" s="74"/>
      <c r="F34" s="74"/>
      <c r="G34" s="74"/>
      <c r="H34" s="74"/>
      <c r="I34" s="74"/>
      <c r="J34" s="74"/>
      <c r="K34" s="74"/>
      <c r="L34" s="74"/>
      <c r="M34" s="75"/>
      <c r="O34" s="75"/>
      <c r="P34" s="75"/>
      <c r="Q34" s="75"/>
      <c r="R34" s="75"/>
      <c r="S34" s="75"/>
      <c r="V34" s="56">
        <f t="shared" ref="V34" si="94">+V32+V33</f>
        <v>18728.739871808335</v>
      </c>
      <c r="W34" s="56">
        <f t="shared" ref="W34:AA34" si="95">+W32+W33</f>
        <v>20499.009808443585</v>
      </c>
      <c r="X34" s="56">
        <f t="shared" si="95"/>
        <v>22741.083706926802</v>
      </c>
      <c r="Y34" s="56">
        <f t="shared" si="95"/>
        <v>25219.797637891192</v>
      </c>
      <c r="Z34" s="56">
        <f t="shared" si="95"/>
        <v>26862.571474712626</v>
      </c>
      <c r="AA34" s="56">
        <f t="shared" si="95"/>
        <v>28436.181816350487</v>
      </c>
      <c r="AB34" s="56">
        <f t="shared" ref="AB34:AR34" si="96">+AB32+AB33</f>
        <v>29538.624851175235</v>
      </c>
      <c r="AC34" s="56">
        <f t="shared" si="96"/>
        <v>30424.436151211881</v>
      </c>
      <c r="AD34" s="56">
        <f t="shared" si="96"/>
        <v>31271.7625450306</v>
      </c>
      <c r="AE34" s="56">
        <f t="shared" si="96"/>
        <v>32096.014564512101</v>
      </c>
      <c r="AF34" s="56">
        <f t="shared" si="96"/>
        <v>32891.51440913674</v>
      </c>
      <c r="AG34" s="56">
        <f t="shared" si="96"/>
        <v>33656.967358623391</v>
      </c>
      <c r="AH34" s="56">
        <f t="shared" si="96"/>
        <v>34391.388792082551</v>
      </c>
      <c r="AI34" s="56">
        <f t="shared" si="96"/>
        <v>35096.158431638083</v>
      </c>
      <c r="AJ34" s="56">
        <f t="shared" si="96"/>
        <v>35774.234202223939</v>
      </c>
      <c r="AK34" s="56">
        <f t="shared" si="96"/>
        <v>36422.444337618523</v>
      </c>
      <c r="AL34" s="56">
        <f t="shared" si="96"/>
        <v>37043.433369246544</v>
      </c>
      <c r="AM34" s="56">
        <f t="shared" si="96"/>
        <v>37626.055581197077</v>
      </c>
      <c r="AN34" s="56">
        <f t="shared" si="96"/>
        <v>38173.952022840029</v>
      </c>
      <c r="AO34" s="56">
        <f t="shared" si="96"/>
        <v>38686.834966153809</v>
      </c>
      <c r="AP34" s="56">
        <f t="shared" si="96"/>
        <v>39158.120293035034</v>
      </c>
      <c r="AQ34" s="56">
        <f t="shared" si="96"/>
        <v>39595.245279442737</v>
      </c>
      <c r="AR34" s="56">
        <f t="shared" si="96"/>
        <v>39989.305509829574</v>
      </c>
    </row>
    <row r="35" spans="1:44">
      <c r="A35" s="1" t="s">
        <v>25</v>
      </c>
      <c r="B35" s="74"/>
      <c r="C35" s="74"/>
      <c r="D35" s="74"/>
      <c r="E35" s="74"/>
      <c r="F35" s="74"/>
      <c r="G35" s="74"/>
      <c r="H35" s="74"/>
      <c r="I35" s="74"/>
      <c r="J35" s="74"/>
      <c r="K35" s="74"/>
      <c r="L35" s="74"/>
      <c r="M35" s="75"/>
      <c r="O35" s="75"/>
      <c r="P35" s="75"/>
      <c r="Q35" s="75"/>
      <c r="R35" s="75"/>
      <c r="S35" s="75"/>
      <c r="V35" s="56">
        <f>+V33</f>
        <v>5070.3255354709836</v>
      </c>
      <c r="W35" s="56">
        <f t="shared" ref="W35:AA35" si="97">+W33</f>
        <v>5262.5211948089209</v>
      </c>
      <c r="X35" s="56">
        <f t="shared" si="97"/>
        <v>8552.0712035663928</v>
      </c>
      <c r="Y35" s="56">
        <f t="shared" si="97"/>
        <v>12028.289533740841</v>
      </c>
      <c r="Z35" s="56">
        <f t="shared" si="97"/>
        <v>12358.039694528605</v>
      </c>
      <c r="AA35" s="56">
        <f t="shared" si="97"/>
        <v>12636.5418762804</v>
      </c>
      <c r="AB35" s="56">
        <f t="shared" ref="AB35:AR35" si="98">+AB33</f>
        <v>12937.897642530075</v>
      </c>
      <c r="AC35" s="56">
        <f t="shared" si="98"/>
        <v>13169.342034302212</v>
      </c>
      <c r="AD35" s="56">
        <f t="shared" si="98"/>
        <v>13276.997173861788</v>
      </c>
      <c r="AE35" s="56">
        <f t="shared" si="98"/>
        <v>13361.446380432728</v>
      </c>
      <c r="AF35" s="56">
        <f t="shared" si="98"/>
        <v>13413.742586063774</v>
      </c>
      <c r="AG35" s="56">
        <f t="shared" si="98"/>
        <v>13428.755038800766</v>
      </c>
      <c r="AH35" s="56">
        <f t="shared" si="98"/>
        <v>13405.041961688206</v>
      </c>
      <c r="AI35" s="56">
        <f t="shared" si="98"/>
        <v>13342.779822731354</v>
      </c>
      <c r="AJ35" s="56">
        <f t="shared" si="98"/>
        <v>13247.333849460718</v>
      </c>
      <c r="AK35" s="56">
        <f t="shared" si="98"/>
        <v>13117.930815050941</v>
      </c>
      <c r="AL35" s="56">
        <f t="shared" si="98"/>
        <v>12955.555762827369</v>
      </c>
      <c r="AM35" s="56">
        <f t="shared" si="98"/>
        <v>12751.57903704055</v>
      </c>
      <c r="AN35" s="56">
        <f t="shared" si="98"/>
        <v>12498.700036603319</v>
      </c>
      <c r="AO35" s="56">
        <f t="shared" si="98"/>
        <v>12202.120679756128</v>
      </c>
      <c r="AP35" s="56">
        <f t="shared" si="98"/>
        <v>11853.266592473516</v>
      </c>
      <c r="AQ35" s="56">
        <f t="shared" si="98"/>
        <v>11453.643278416854</v>
      </c>
      <c r="AR35" s="56">
        <f t="shared" si="98"/>
        <v>11005.55704189567</v>
      </c>
    </row>
    <row r="36" spans="1:44">
      <c r="A36" s="139" t="s">
        <v>94</v>
      </c>
      <c r="B36" s="74"/>
      <c r="C36" s="74"/>
      <c r="D36" s="74"/>
      <c r="E36" s="74"/>
      <c r="F36" s="74"/>
      <c r="G36" s="74"/>
      <c r="H36" s="74"/>
      <c r="I36" s="74"/>
      <c r="J36" s="74"/>
      <c r="K36" s="74"/>
      <c r="L36" s="74"/>
      <c r="M36" s="75"/>
      <c r="O36" s="75"/>
      <c r="P36" s="75"/>
      <c r="Q36" s="75"/>
      <c r="R36" s="75"/>
      <c r="S36" s="75"/>
      <c r="V36" s="217">
        <f t="shared" ref="V36" si="99">+V34/V35</f>
        <v>3.6937943610890103</v>
      </c>
      <c r="W36" s="217">
        <f t="shared" ref="W36:AA36" si="100">+W34/W35</f>
        <v>3.8952830876318956</v>
      </c>
      <c r="X36" s="217">
        <f t="shared" si="100"/>
        <v>2.6591317080525818</v>
      </c>
      <c r="Y36" s="217">
        <f t="shared" si="100"/>
        <v>2.0967068981126982</v>
      </c>
      <c r="Z36" s="217">
        <f t="shared" si="100"/>
        <v>2.1736919559018535</v>
      </c>
      <c r="AA36" s="217">
        <f t="shared" si="100"/>
        <v>2.2503135822093085</v>
      </c>
      <c r="AB36" s="217">
        <f t="shared" ref="AB36:AR36" si="101">+AB34/AB35</f>
        <v>2.2831085596221179</v>
      </c>
      <c r="AC36" s="217">
        <f t="shared" si="101"/>
        <v>2.310247244848322</v>
      </c>
      <c r="AD36" s="217">
        <f t="shared" si="101"/>
        <v>2.3553339761640397</v>
      </c>
      <c r="AE36" s="217">
        <f t="shared" si="101"/>
        <v>2.4021362396450847</v>
      </c>
      <c r="AF36" s="217">
        <f t="shared" si="101"/>
        <v>2.4520758616099747</v>
      </c>
      <c r="AG36" s="217">
        <f t="shared" si="101"/>
        <v>2.5063356403014017</v>
      </c>
      <c r="AH36" s="217">
        <f t="shared" si="101"/>
        <v>2.5655562205902536</v>
      </c>
      <c r="AI36" s="217">
        <f t="shared" si="101"/>
        <v>2.6303483155621517</v>
      </c>
      <c r="AJ36" s="217">
        <f t="shared" si="101"/>
        <v>2.7004855927051512</v>
      </c>
      <c r="AK36" s="217">
        <f t="shared" si="101"/>
        <v>2.7765388346025581</v>
      </c>
      <c r="AL36" s="217">
        <f t="shared" si="101"/>
        <v>2.8592701114014063</v>
      </c>
      <c r="AM36" s="217">
        <f t="shared" si="101"/>
        <v>2.9506977506002676</v>
      </c>
      <c r="AN36" s="217">
        <f t="shared" si="101"/>
        <v>3.0542337931980876</v>
      </c>
      <c r="AO36" s="217">
        <f t="shared" si="101"/>
        <v>3.1705009302470697</v>
      </c>
      <c r="AP36" s="217">
        <f t="shared" si="101"/>
        <v>3.3035720564911042</v>
      </c>
      <c r="AQ36" s="217">
        <f t="shared" si="101"/>
        <v>3.4570000406818742</v>
      </c>
      <c r="AR36" s="217">
        <f t="shared" si="101"/>
        <v>3.6335557898250235</v>
      </c>
    </row>
    <row r="37" spans="1:44">
      <c r="A37" s="1"/>
      <c r="B37" s="74"/>
      <c r="C37" s="74"/>
      <c r="D37" s="74"/>
      <c r="E37" s="74"/>
      <c r="F37" s="74"/>
      <c r="G37" s="74"/>
      <c r="H37" s="74"/>
      <c r="I37" s="74"/>
      <c r="J37" s="74"/>
      <c r="K37" s="74"/>
      <c r="L37" s="74"/>
      <c r="M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row>
    <row r="38" spans="1:44">
      <c r="A38" s="1" t="s">
        <v>92</v>
      </c>
      <c r="B38" s="74"/>
      <c r="C38" s="74"/>
      <c r="D38" s="74"/>
      <c r="E38" s="74"/>
      <c r="F38" s="74"/>
      <c r="G38" s="74"/>
      <c r="H38" s="74"/>
      <c r="I38" s="74"/>
      <c r="J38" s="74"/>
      <c r="K38" s="74"/>
      <c r="L38" s="74"/>
      <c r="M38" s="75"/>
      <c r="O38" s="75"/>
      <c r="P38" s="75"/>
      <c r="Q38" s="75"/>
      <c r="R38" s="75"/>
      <c r="S38" s="75"/>
      <c r="V38" s="56">
        <f t="shared" ref="V38" si="102">+V30</f>
        <v>13658.414336337351</v>
      </c>
      <c r="W38" s="56">
        <f t="shared" ref="W38:AA38" si="103">+W30</f>
        <v>15236.488613634665</v>
      </c>
      <c r="X38" s="56">
        <f t="shared" si="103"/>
        <v>14189.012503360409</v>
      </c>
      <c r="Y38" s="56">
        <f t="shared" si="103"/>
        <v>13191.508104150351</v>
      </c>
      <c r="Z38" s="56">
        <f t="shared" si="103"/>
        <v>14504.531780184021</v>
      </c>
      <c r="AA38" s="56">
        <f t="shared" si="103"/>
        <v>15799.639940070087</v>
      </c>
      <c r="AB38" s="56">
        <f t="shared" ref="AB38:AR38" si="104">+AB30</f>
        <v>16600.727208645159</v>
      </c>
      <c r="AC38" s="56">
        <f t="shared" si="104"/>
        <v>17255.09411690967</v>
      </c>
      <c r="AD38" s="56">
        <f t="shared" si="104"/>
        <v>17994.765371168811</v>
      </c>
      <c r="AE38" s="56">
        <f t="shared" si="104"/>
        <v>18734.568184079373</v>
      </c>
      <c r="AF38" s="56">
        <f t="shared" si="104"/>
        <v>19477.771823072966</v>
      </c>
      <c r="AG38" s="56">
        <f t="shared" si="104"/>
        <v>20228.212319822625</v>
      </c>
      <c r="AH38" s="56">
        <f t="shared" si="104"/>
        <v>20986.346830394345</v>
      </c>
      <c r="AI38" s="56">
        <f t="shared" si="104"/>
        <v>21753.378608906729</v>
      </c>
      <c r="AJ38" s="56">
        <f t="shared" si="104"/>
        <v>22526.900352763223</v>
      </c>
      <c r="AK38" s="56">
        <f t="shared" si="104"/>
        <v>23304.513522567584</v>
      </c>
      <c r="AL38" s="56">
        <f t="shared" si="104"/>
        <v>24087.877606419177</v>
      </c>
      <c r="AM38" s="56">
        <f t="shared" si="104"/>
        <v>24874.476544156525</v>
      </c>
      <c r="AN38" s="56">
        <f t="shared" si="104"/>
        <v>25675.251986236712</v>
      </c>
      <c r="AO38" s="56">
        <f t="shared" si="104"/>
        <v>26484.714286397681</v>
      </c>
      <c r="AP38" s="56">
        <f t="shared" si="104"/>
        <v>27304.853700561518</v>
      </c>
      <c r="AQ38" s="56">
        <f t="shared" si="104"/>
        <v>28141.602001025884</v>
      </c>
      <c r="AR38" s="56">
        <f t="shared" si="104"/>
        <v>28983.748467933903</v>
      </c>
    </row>
    <row r="39" spans="1:44">
      <c r="A39" s="52" t="s">
        <v>22</v>
      </c>
      <c r="B39" s="75"/>
      <c r="C39" s="75"/>
      <c r="D39" s="75"/>
      <c r="E39" s="75"/>
      <c r="F39" s="75"/>
      <c r="G39" s="75"/>
      <c r="H39" s="75"/>
      <c r="I39" s="75"/>
      <c r="J39" s="75"/>
      <c r="K39" s="75"/>
      <c r="L39" s="75"/>
      <c r="M39" s="75"/>
      <c r="O39" s="75"/>
      <c r="P39" s="75"/>
      <c r="Q39" s="75"/>
      <c r="R39" s="75"/>
      <c r="S39" s="75"/>
      <c r="V39" s="56">
        <f t="shared" ref="V39:AR39" si="105">-V16</f>
        <v>-9791.802451248408</v>
      </c>
      <c r="W39" s="56">
        <f t="shared" si="105"/>
        <v>-10312.228690445034</v>
      </c>
      <c r="X39" s="56">
        <f t="shared" si="105"/>
        <v>-10716.901006882812</v>
      </c>
      <c r="Y39" s="56">
        <f t="shared" si="105"/>
        <v>-11201.7529232216</v>
      </c>
      <c r="Z39" s="56">
        <f t="shared" si="105"/>
        <v>-11681.194624114487</v>
      </c>
      <c r="AA39" s="56">
        <f t="shared" si="105"/>
        <v>-12110.811355956359</v>
      </c>
      <c r="AB39" s="56">
        <f t="shared" si="105"/>
        <v>-12707.996563852616</v>
      </c>
      <c r="AC39" s="56">
        <f t="shared" si="105"/>
        <v>-13192.921166352511</v>
      </c>
      <c r="AD39" s="56">
        <f t="shared" si="105"/>
        <v>-13731.863830518258</v>
      </c>
      <c r="AE39" s="56">
        <f t="shared" si="105"/>
        <v>-14279.436963013322</v>
      </c>
      <c r="AF39" s="56">
        <f t="shared" si="105"/>
        <v>-14826.948057821726</v>
      </c>
      <c r="AG39" s="56">
        <f t="shared" si="105"/>
        <v>-15336.547253466631</v>
      </c>
      <c r="AH39" s="56">
        <f t="shared" si="105"/>
        <v>-15851.765282529939</v>
      </c>
      <c r="AI39" s="56">
        <f t="shared" si="105"/>
        <v>-16385.309594637863</v>
      </c>
      <c r="AJ39" s="56">
        <f t="shared" si="105"/>
        <v>-16945.73502831654</v>
      </c>
      <c r="AK39" s="56">
        <f t="shared" si="105"/>
        <v>-17543.955290487353</v>
      </c>
      <c r="AL39" s="56">
        <f t="shared" si="105"/>
        <v>-18161.897486107522</v>
      </c>
      <c r="AM39" s="56">
        <f t="shared" si="105"/>
        <v>-18770.663762702068</v>
      </c>
      <c r="AN39" s="56">
        <f t="shared" si="105"/>
        <v>-19380.443244603994</v>
      </c>
      <c r="AO39" s="56">
        <f t="shared" si="105"/>
        <v>-19983.868473247312</v>
      </c>
      <c r="AP39" s="56">
        <f t="shared" si="105"/>
        <v>-20555.177482761595</v>
      </c>
      <c r="AQ39" s="56">
        <f t="shared" si="105"/>
        <v>-21200.800250992161</v>
      </c>
      <c r="AR39" s="56">
        <f t="shared" si="105"/>
        <v>-21848.084563150165</v>
      </c>
    </row>
    <row r="40" spans="1:44">
      <c r="A40" s="52" t="s">
        <v>59</v>
      </c>
      <c r="B40" s="75"/>
      <c r="C40" s="75"/>
      <c r="D40" s="75"/>
      <c r="E40" s="75"/>
      <c r="F40" s="75"/>
      <c r="G40" s="75"/>
      <c r="H40" s="75"/>
      <c r="I40" s="75"/>
      <c r="J40" s="75"/>
      <c r="K40" s="75"/>
      <c r="L40" s="75"/>
      <c r="M40" s="75"/>
      <c r="O40" s="75"/>
      <c r="P40" s="75"/>
      <c r="Q40" s="75"/>
      <c r="R40" s="75"/>
      <c r="S40" s="75"/>
      <c r="V40" s="56">
        <f t="shared" ref="V40:AR40" si="106">+V17</f>
        <v>-5226.8252029005189</v>
      </c>
      <c r="W40" s="56">
        <f t="shared" si="106"/>
        <v>-1728.1844327522222</v>
      </c>
      <c r="X40" s="56">
        <f t="shared" si="106"/>
        <v>1785.3122328739551</v>
      </c>
      <c r="Y40" s="56">
        <f t="shared" si="106"/>
        <v>1877.5649160031028</v>
      </c>
      <c r="Z40" s="56">
        <f t="shared" si="106"/>
        <v>874.09063680096438</v>
      </c>
      <c r="AA40" s="56">
        <f t="shared" si="106"/>
        <v>-173.07330206938113</v>
      </c>
      <c r="AB40" s="56">
        <f t="shared" si="106"/>
        <v>-386.89112545031242</v>
      </c>
      <c r="AC40" s="56">
        <f t="shared" si="106"/>
        <v>-650.25535411845499</v>
      </c>
      <c r="AD40" s="56">
        <f t="shared" si="106"/>
        <v>-1005.3432280885623</v>
      </c>
      <c r="AE40" s="56">
        <f t="shared" si="106"/>
        <v>-1354.9692390722885</v>
      </c>
      <c r="AF40" s="56">
        <f t="shared" si="106"/>
        <v>-1721.0925440264732</v>
      </c>
      <c r="AG40" s="56">
        <f t="shared" si="106"/>
        <v>-2146.6856111957668</v>
      </c>
      <c r="AH40" s="56">
        <f t="shared" si="106"/>
        <v>-2591.2306377807172</v>
      </c>
      <c r="AI40" s="56">
        <f t="shared" si="106"/>
        <v>-3040.3080501196855</v>
      </c>
      <c r="AJ40" s="56">
        <f t="shared" si="106"/>
        <v>-3478.0485328493833</v>
      </c>
      <c r="AK40" s="56">
        <f t="shared" si="106"/>
        <v>-3893.5978597332528</v>
      </c>
      <c r="AL40" s="56">
        <f t="shared" si="106"/>
        <v>-4302.9530338384766</v>
      </c>
      <c r="AM40" s="56">
        <f t="shared" si="106"/>
        <v>-4746.0005001226682</v>
      </c>
      <c r="AN40" s="56">
        <f t="shared" si="106"/>
        <v>-5222.885889959106</v>
      </c>
      <c r="AO40" s="56">
        <f t="shared" si="106"/>
        <v>-5731.7240374906014</v>
      </c>
      <c r="AP40" s="56">
        <f t="shared" si="106"/>
        <v>-6310.2411322731159</v>
      </c>
      <c r="AQ40" s="56">
        <f t="shared" si="106"/>
        <v>-6849.052027748372</v>
      </c>
      <c r="AR40" s="56">
        <f t="shared" si="106"/>
        <v>-7412.0430314116047</v>
      </c>
    </row>
    <row r="41" spans="1:44">
      <c r="A41" s="1" t="s">
        <v>25</v>
      </c>
      <c r="B41" s="74"/>
      <c r="C41" s="74"/>
      <c r="D41" s="74"/>
      <c r="E41" s="74"/>
      <c r="F41" s="74"/>
      <c r="G41" s="74"/>
      <c r="H41" s="74"/>
      <c r="I41" s="74"/>
      <c r="J41" s="74"/>
      <c r="K41" s="74"/>
      <c r="L41" s="74"/>
      <c r="M41" s="75"/>
      <c r="O41" s="75"/>
      <c r="P41" s="75"/>
      <c r="Q41" s="75"/>
      <c r="R41" s="75"/>
      <c r="S41" s="75"/>
      <c r="V41" s="56">
        <f t="shared" ref="V41:AA41" si="107">-V29</f>
        <v>5070.3255354709836</v>
      </c>
      <c r="W41" s="56">
        <f t="shared" si="107"/>
        <v>5262.5211948089209</v>
      </c>
      <c r="X41" s="56">
        <f t="shared" si="107"/>
        <v>8552.0712035663928</v>
      </c>
      <c r="Y41" s="56">
        <f t="shared" si="107"/>
        <v>12028.289533740841</v>
      </c>
      <c r="Z41" s="56">
        <f t="shared" si="107"/>
        <v>12358.039694528605</v>
      </c>
      <c r="AA41" s="56">
        <f t="shared" si="107"/>
        <v>12636.5418762804</v>
      </c>
      <c r="AB41" s="56">
        <f t="shared" ref="AB41:AR41" si="108">-AB29</f>
        <v>12937.897642530075</v>
      </c>
      <c r="AC41" s="56">
        <f t="shared" si="108"/>
        <v>13169.342034302212</v>
      </c>
      <c r="AD41" s="56">
        <f t="shared" si="108"/>
        <v>13276.997173861788</v>
      </c>
      <c r="AE41" s="56">
        <f t="shared" si="108"/>
        <v>13361.446380432728</v>
      </c>
      <c r="AF41" s="56">
        <f t="shared" si="108"/>
        <v>13413.742586063774</v>
      </c>
      <c r="AG41" s="56">
        <f t="shared" si="108"/>
        <v>13428.755038800766</v>
      </c>
      <c r="AH41" s="56">
        <f t="shared" si="108"/>
        <v>13405.041961688206</v>
      </c>
      <c r="AI41" s="56">
        <f t="shared" si="108"/>
        <v>13342.779822731354</v>
      </c>
      <c r="AJ41" s="56">
        <f t="shared" si="108"/>
        <v>13247.333849460718</v>
      </c>
      <c r="AK41" s="56">
        <f t="shared" si="108"/>
        <v>13117.930815050941</v>
      </c>
      <c r="AL41" s="56">
        <f t="shared" si="108"/>
        <v>12955.555762827369</v>
      </c>
      <c r="AM41" s="56">
        <f t="shared" si="108"/>
        <v>12751.57903704055</v>
      </c>
      <c r="AN41" s="56">
        <f t="shared" si="108"/>
        <v>12498.700036603319</v>
      </c>
      <c r="AO41" s="56">
        <f t="shared" si="108"/>
        <v>12202.120679756128</v>
      </c>
      <c r="AP41" s="56">
        <f t="shared" si="108"/>
        <v>11853.266592473516</v>
      </c>
      <c r="AQ41" s="56">
        <f t="shared" si="108"/>
        <v>11453.643278416854</v>
      </c>
      <c r="AR41" s="56">
        <f t="shared" si="108"/>
        <v>11005.55704189567</v>
      </c>
    </row>
    <row r="42" spans="1:44">
      <c r="A42" s="1" t="s">
        <v>95</v>
      </c>
      <c r="B42" s="74"/>
      <c r="C42" s="74"/>
      <c r="D42" s="74"/>
      <c r="E42" s="74"/>
      <c r="F42" s="74"/>
      <c r="G42" s="74"/>
      <c r="H42" s="74"/>
      <c r="I42" s="74"/>
      <c r="J42" s="74"/>
      <c r="K42" s="74"/>
      <c r="L42" s="74"/>
      <c r="M42" s="75"/>
      <c r="O42" s="75"/>
      <c r="P42" s="75"/>
      <c r="Q42" s="75"/>
      <c r="R42" s="75"/>
      <c r="S42" s="75"/>
      <c r="V42" s="216">
        <f t="shared" ref="V42:AA42" si="109">SUM(V38:V41)</f>
        <v>3710.1122176594081</v>
      </c>
      <c r="W42" s="216">
        <f t="shared" si="109"/>
        <v>8458.5966852463298</v>
      </c>
      <c r="X42" s="216">
        <f t="shared" si="109"/>
        <v>13809.494932917945</v>
      </c>
      <c r="Y42" s="216">
        <f t="shared" si="109"/>
        <v>15895.609630672694</v>
      </c>
      <c r="Z42" s="216">
        <f t="shared" si="109"/>
        <v>16055.467487399103</v>
      </c>
      <c r="AA42" s="216">
        <f t="shared" si="109"/>
        <v>16152.297158324747</v>
      </c>
      <c r="AB42" s="216">
        <f t="shared" ref="AB42:AR42" si="110">SUM(AB38:AB41)</f>
        <v>16443.737161872308</v>
      </c>
      <c r="AC42" s="216">
        <f t="shared" si="110"/>
        <v>16581.259630740915</v>
      </c>
      <c r="AD42" s="216">
        <f t="shared" si="110"/>
        <v>16534.555486423778</v>
      </c>
      <c r="AE42" s="216">
        <f t="shared" si="110"/>
        <v>16461.60836242649</v>
      </c>
      <c r="AF42" s="216">
        <f t="shared" si="110"/>
        <v>16343.473807288541</v>
      </c>
      <c r="AG42" s="216">
        <f t="shared" si="110"/>
        <v>16173.734493960994</v>
      </c>
      <c r="AH42" s="216">
        <f t="shared" si="110"/>
        <v>15948.392871771895</v>
      </c>
      <c r="AI42" s="216">
        <f t="shared" si="110"/>
        <v>15670.540786880534</v>
      </c>
      <c r="AJ42" s="216">
        <f t="shared" si="110"/>
        <v>15350.450641058018</v>
      </c>
      <c r="AK42" s="216">
        <f t="shared" si="110"/>
        <v>14984.89118739792</v>
      </c>
      <c r="AL42" s="216">
        <f t="shared" si="110"/>
        <v>14578.582849300547</v>
      </c>
      <c r="AM42" s="216">
        <f t="shared" si="110"/>
        <v>14109.391318372338</v>
      </c>
      <c r="AN42" s="216">
        <f t="shared" si="110"/>
        <v>13570.622888276932</v>
      </c>
      <c r="AO42" s="216">
        <f t="shared" si="110"/>
        <v>12971.242455415895</v>
      </c>
      <c r="AP42" s="216">
        <f t="shared" si="110"/>
        <v>12292.701678000321</v>
      </c>
      <c r="AQ42" s="216">
        <f t="shared" si="110"/>
        <v>11545.393000702205</v>
      </c>
      <c r="AR42" s="216">
        <f t="shared" si="110"/>
        <v>10729.177915267803</v>
      </c>
    </row>
    <row r="43" spans="1:44">
      <c r="A43" s="1" t="s">
        <v>25</v>
      </c>
      <c r="B43" s="74"/>
      <c r="C43" s="74"/>
      <c r="D43" s="74"/>
      <c r="E43" s="74"/>
      <c r="F43" s="74"/>
      <c r="G43" s="74"/>
      <c r="H43" s="74"/>
      <c r="I43" s="74"/>
      <c r="J43" s="74"/>
      <c r="K43" s="74"/>
      <c r="L43" s="74"/>
      <c r="M43" s="75"/>
      <c r="O43" s="75"/>
      <c r="P43" s="75"/>
      <c r="Q43" s="75"/>
      <c r="R43" s="75"/>
      <c r="S43" s="75"/>
      <c r="V43" s="56">
        <f t="shared" ref="V43:AA43" si="111">+V41</f>
        <v>5070.3255354709836</v>
      </c>
      <c r="W43" s="56">
        <f t="shared" si="111"/>
        <v>5262.5211948089209</v>
      </c>
      <c r="X43" s="56">
        <f t="shared" si="111"/>
        <v>8552.0712035663928</v>
      </c>
      <c r="Y43" s="56">
        <f t="shared" si="111"/>
        <v>12028.289533740841</v>
      </c>
      <c r="Z43" s="56">
        <f t="shared" si="111"/>
        <v>12358.039694528605</v>
      </c>
      <c r="AA43" s="56">
        <f t="shared" si="111"/>
        <v>12636.5418762804</v>
      </c>
      <c r="AB43" s="56">
        <f t="shared" ref="AB43:AR43" si="112">+AB41</f>
        <v>12937.897642530075</v>
      </c>
      <c r="AC43" s="56">
        <f t="shared" si="112"/>
        <v>13169.342034302212</v>
      </c>
      <c r="AD43" s="56">
        <f t="shared" si="112"/>
        <v>13276.997173861788</v>
      </c>
      <c r="AE43" s="56">
        <f t="shared" si="112"/>
        <v>13361.446380432728</v>
      </c>
      <c r="AF43" s="56">
        <f t="shared" si="112"/>
        <v>13413.742586063774</v>
      </c>
      <c r="AG43" s="56">
        <f t="shared" si="112"/>
        <v>13428.755038800766</v>
      </c>
      <c r="AH43" s="56">
        <f t="shared" si="112"/>
        <v>13405.041961688206</v>
      </c>
      <c r="AI43" s="56">
        <f t="shared" si="112"/>
        <v>13342.779822731354</v>
      </c>
      <c r="AJ43" s="56">
        <f t="shared" si="112"/>
        <v>13247.333849460718</v>
      </c>
      <c r="AK43" s="56">
        <f t="shared" si="112"/>
        <v>13117.930815050941</v>
      </c>
      <c r="AL43" s="56">
        <f t="shared" si="112"/>
        <v>12955.555762827369</v>
      </c>
      <c r="AM43" s="56">
        <f t="shared" si="112"/>
        <v>12751.57903704055</v>
      </c>
      <c r="AN43" s="56">
        <f t="shared" si="112"/>
        <v>12498.700036603319</v>
      </c>
      <c r="AO43" s="56">
        <f t="shared" si="112"/>
        <v>12202.120679756128</v>
      </c>
      <c r="AP43" s="56">
        <f t="shared" si="112"/>
        <v>11853.266592473516</v>
      </c>
      <c r="AQ43" s="56">
        <f t="shared" si="112"/>
        <v>11453.643278416854</v>
      </c>
      <c r="AR43" s="56">
        <f t="shared" si="112"/>
        <v>11005.55704189567</v>
      </c>
    </row>
    <row r="44" spans="1:44">
      <c r="A44" s="139" t="s">
        <v>23</v>
      </c>
      <c r="B44" s="74"/>
      <c r="C44" s="74"/>
      <c r="D44" s="74"/>
      <c r="E44" s="74"/>
      <c r="F44" s="74"/>
      <c r="G44" s="74"/>
      <c r="H44" s="74"/>
      <c r="I44" s="74"/>
      <c r="J44" s="74"/>
      <c r="K44" s="74"/>
      <c r="L44" s="74"/>
      <c r="M44" s="75"/>
      <c r="O44" s="75"/>
      <c r="P44" s="75"/>
      <c r="Q44" s="75"/>
      <c r="R44" s="75"/>
      <c r="S44" s="75"/>
      <c r="V44" s="217">
        <f t="shared" ref="V44:AA44" si="113">+V42/V43</f>
        <v>0.7317305746355347</v>
      </c>
      <c r="W44" s="217">
        <f t="shared" si="113"/>
        <v>1.6073278134423659</v>
      </c>
      <c r="X44" s="217">
        <f t="shared" si="113"/>
        <v>1.6147544383352535</v>
      </c>
      <c r="Y44" s="217">
        <f t="shared" si="113"/>
        <v>1.3215187068854255</v>
      </c>
      <c r="Z44" s="217">
        <f t="shared" si="113"/>
        <v>1.2991920955317449</v>
      </c>
      <c r="AA44" s="217">
        <f t="shared" si="113"/>
        <v>1.2782213137475249</v>
      </c>
      <c r="AB44" s="217">
        <f t="shared" ref="AB44:AR44" si="114">+AB42/AB43</f>
        <v>1.270974436203427</v>
      </c>
      <c r="AC44" s="217">
        <f t="shared" si="114"/>
        <v>1.2590803388317864</v>
      </c>
      <c r="AD44" s="217">
        <f t="shared" si="114"/>
        <v>1.2453535441715009</v>
      </c>
      <c r="AE44" s="217">
        <f t="shared" si="114"/>
        <v>1.2320229332756834</v>
      </c>
      <c r="AF44" s="217">
        <f t="shared" si="114"/>
        <v>1.2184126616734554</v>
      </c>
      <c r="AG44" s="217">
        <f t="shared" si="114"/>
        <v>1.2044105687555504</v>
      </c>
      <c r="AH44" s="217">
        <f t="shared" si="114"/>
        <v>1.1897309174676678</v>
      </c>
      <c r="AI44" s="217">
        <f t="shared" si="114"/>
        <v>1.1744584708040751</v>
      </c>
      <c r="AJ44" s="217">
        <f t="shared" si="114"/>
        <v>1.1587577406515588</v>
      </c>
      <c r="AK44" s="217">
        <f t="shared" si="114"/>
        <v>1.1423212546756925</v>
      </c>
      <c r="AL44" s="217">
        <f t="shared" si="114"/>
        <v>1.1252765312569635</v>
      </c>
      <c r="AM44" s="217">
        <f t="shared" si="114"/>
        <v>1.1064818935276675</v>
      </c>
      <c r="AN44" s="217">
        <f t="shared" si="114"/>
        <v>1.0857627472084626</v>
      </c>
      <c r="AO44" s="217">
        <f t="shared" si="114"/>
        <v>1.0630318119157578</v>
      </c>
      <c r="AP44" s="217">
        <f t="shared" si="114"/>
        <v>1.0370729099947718</v>
      </c>
      <c r="AQ44" s="217">
        <f t="shared" si="114"/>
        <v>1.0080105273104012</v>
      </c>
      <c r="AR44" s="217">
        <f t="shared" si="114"/>
        <v>0.97488731142133422</v>
      </c>
    </row>
    <row r="45" spans="1:44">
      <c r="A45" s="139"/>
      <c r="B45" s="74"/>
      <c r="C45" s="74"/>
      <c r="D45" s="74"/>
      <c r="E45" s="74"/>
      <c r="F45" s="74"/>
      <c r="G45" s="74"/>
      <c r="H45" s="74"/>
      <c r="I45" s="74"/>
      <c r="J45" s="74"/>
      <c r="K45" s="74"/>
      <c r="L45" s="74"/>
      <c r="M45" s="75"/>
      <c r="O45" s="75"/>
      <c r="P45" s="75"/>
      <c r="Q45" s="75"/>
      <c r="R45" s="75"/>
      <c r="S45" s="75"/>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row>
    <row r="46" spans="1:44">
      <c r="A46" s="142" t="s">
        <v>95</v>
      </c>
      <c r="B46" s="142"/>
      <c r="C46" s="142"/>
      <c r="D46" s="142"/>
      <c r="E46" s="142"/>
      <c r="F46" s="142"/>
      <c r="G46" s="142"/>
      <c r="H46" s="142"/>
      <c r="I46" s="142"/>
      <c r="J46" s="142"/>
      <c r="K46" s="142"/>
      <c r="L46" s="142"/>
      <c r="M46" s="142"/>
      <c r="N46" s="142"/>
      <c r="O46" s="142"/>
      <c r="P46" s="142"/>
      <c r="Q46" s="142"/>
      <c r="R46" s="142"/>
      <c r="S46" s="142"/>
      <c r="T46" s="142"/>
      <c r="U46" s="142"/>
      <c r="V46" s="219">
        <f t="shared" ref="V46:AA46" si="115">+V42</f>
        <v>3710.1122176594081</v>
      </c>
      <c r="W46" s="219">
        <f t="shared" si="115"/>
        <v>8458.5966852463298</v>
      </c>
      <c r="X46" s="219">
        <f t="shared" si="115"/>
        <v>13809.494932917945</v>
      </c>
      <c r="Y46" s="219">
        <f t="shared" si="115"/>
        <v>15895.609630672694</v>
      </c>
      <c r="Z46" s="219">
        <f t="shared" si="115"/>
        <v>16055.467487399103</v>
      </c>
      <c r="AA46" s="219">
        <f t="shared" si="115"/>
        <v>16152.297158324747</v>
      </c>
      <c r="AB46" s="219">
        <f t="shared" ref="AB46:AR46" si="116">+AB42</f>
        <v>16443.737161872308</v>
      </c>
      <c r="AC46" s="219">
        <f t="shared" si="116"/>
        <v>16581.259630740915</v>
      </c>
      <c r="AD46" s="219">
        <f t="shared" si="116"/>
        <v>16534.555486423778</v>
      </c>
      <c r="AE46" s="219">
        <f t="shared" si="116"/>
        <v>16461.60836242649</v>
      </c>
      <c r="AF46" s="219">
        <f t="shared" si="116"/>
        <v>16343.473807288541</v>
      </c>
      <c r="AG46" s="219">
        <f t="shared" si="116"/>
        <v>16173.734493960994</v>
      </c>
      <c r="AH46" s="219">
        <f t="shared" si="116"/>
        <v>15948.392871771895</v>
      </c>
      <c r="AI46" s="219">
        <f t="shared" si="116"/>
        <v>15670.540786880534</v>
      </c>
      <c r="AJ46" s="219">
        <f t="shared" si="116"/>
        <v>15350.450641058018</v>
      </c>
      <c r="AK46" s="219">
        <f t="shared" si="116"/>
        <v>14984.89118739792</v>
      </c>
      <c r="AL46" s="219">
        <f t="shared" si="116"/>
        <v>14578.582849300547</v>
      </c>
      <c r="AM46" s="219">
        <f t="shared" si="116"/>
        <v>14109.391318372338</v>
      </c>
      <c r="AN46" s="219">
        <f t="shared" si="116"/>
        <v>13570.622888276932</v>
      </c>
      <c r="AO46" s="219">
        <f t="shared" si="116"/>
        <v>12971.242455415895</v>
      </c>
      <c r="AP46" s="219">
        <f t="shared" si="116"/>
        <v>12292.701678000321</v>
      </c>
      <c r="AQ46" s="219">
        <f t="shared" si="116"/>
        <v>11545.393000702205</v>
      </c>
      <c r="AR46" s="219">
        <f t="shared" si="116"/>
        <v>10729.177915267803</v>
      </c>
    </row>
    <row r="47" spans="1:44">
      <c r="A47" s="142" t="s">
        <v>264</v>
      </c>
      <c r="B47" s="142"/>
      <c r="C47" s="142"/>
      <c r="D47" s="142"/>
      <c r="E47" s="142"/>
      <c r="F47" s="142"/>
      <c r="G47" s="142"/>
      <c r="H47" s="142"/>
      <c r="I47" s="142"/>
      <c r="J47" s="142"/>
      <c r="K47" s="142"/>
      <c r="L47" s="142"/>
      <c r="M47" s="142"/>
      <c r="N47" s="142"/>
      <c r="O47" s="142"/>
      <c r="P47" s="142"/>
      <c r="Q47" s="142"/>
      <c r="R47" s="142"/>
      <c r="S47" s="142"/>
      <c r="T47" s="142"/>
      <c r="U47" s="142"/>
      <c r="V47" s="219">
        <f t="shared" ref="V47:AR47" si="117">+U19*(V10/U10)-U19</f>
        <v>15512.431248258392</v>
      </c>
      <c r="W47" s="219">
        <f t="shared" si="117"/>
        <v>6723.1536022855435</v>
      </c>
      <c r="X47" s="219">
        <f t="shared" si="117"/>
        <v>3283.9045074970345</v>
      </c>
      <c r="Y47" s="219">
        <f t="shared" si="117"/>
        <v>6422.6621843707981</v>
      </c>
      <c r="Z47" s="219">
        <f t="shared" si="117"/>
        <v>6617.9940861613723</v>
      </c>
      <c r="AA47" s="219">
        <f t="shared" si="117"/>
        <v>6780.165925025125</v>
      </c>
      <c r="AB47" s="219">
        <f t="shared" si="117"/>
        <v>6919.9365371333552</v>
      </c>
      <c r="AC47" s="219">
        <f t="shared" si="117"/>
        <v>7106.8854433558299</v>
      </c>
      <c r="AD47" s="219">
        <f t="shared" si="117"/>
        <v>7170.8605567436316</v>
      </c>
      <c r="AE47" s="219">
        <f t="shared" si="117"/>
        <v>7223.6014291835018</v>
      </c>
      <c r="AF47" s="219">
        <f t="shared" si="117"/>
        <v>7262.4174711428932</v>
      </c>
      <c r="AG47" s="219">
        <f t="shared" si="117"/>
        <v>7280.2991699532722</v>
      </c>
      <c r="AH47" s="219">
        <f t="shared" si="117"/>
        <v>7278.6934541388764</v>
      </c>
      <c r="AI47" s="219">
        <f t="shared" si="117"/>
        <v>7254.59027037333</v>
      </c>
      <c r="AJ47" s="219">
        <f t="shared" si="117"/>
        <v>7211.1909925022628</v>
      </c>
      <c r="AK47" s="219">
        <f t="shared" si="117"/>
        <v>7151.111041149823</v>
      </c>
      <c r="AL47" s="219">
        <f t="shared" si="117"/>
        <v>7070.8966898611397</v>
      </c>
      <c r="AM47" s="219">
        <f t="shared" si="117"/>
        <v>6975.0696150587173</v>
      </c>
      <c r="AN47" s="219">
        <f t="shared" si="117"/>
        <v>6849.7521654702723</v>
      </c>
      <c r="AO47" s="219">
        <f t="shared" si="117"/>
        <v>6700.9069327016477</v>
      </c>
      <c r="AP47" s="219">
        <f t="shared" si="117"/>
        <v>6528.2110653221607</v>
      </c>
      <c r="AQ47" s="219">
        <f t="shared" si="117"/>
        <v>6322.6913744494668</v>
      </c>
      <c r="AR47" s="219">
        <f t="shared" si="117"/>
        <v>6094.9532640624675</v>
      </c>
    </row>
    <row r="48" spans="1:44">
      <c r="A48" s="142" t="s">
        <v>265</v>
      </c>
      <c r="B48" s="142"/>
      <c r="C48" s="142"/>
      <c r="D48" s="142"/>
      <c r="E48" s="142"/>
      <c r="F48" s="142"/>
      <c r="G48" s="142"/>
      <c r="H48" s="142"/>
      <c r="I48" s="142"/>
      <c r="J48" s="142"/>
      <c r="K48" s="142"/>
      <c r="L48" s="142"/>
      <c r="M48" s="142"/>
      <c r="N48" s="142"/>
      <c r="O48" s="142"/>
      <c r="P48" s="142"/>
      <c r="Q48" s="142"/>
      <c r="R48" s="142"/>
      <c r="S48" s="142"/>
      <c r="T48" s="142"/>
      <c r="U48" s="142"/>
      <c r="V48" s="220">
        <f t="shared" ref="V48:AA48" si="118">+V46+V47</f>
        <v>19222.543465917799</v>
      </c>
      <c r="W48" s="220">
        <f t="shared" si="118"/>
        <v>15181.750287531873</v>
      </c>
      <c r="X48" s="220">
        <f t="shared" si="118"/>
        <v>17093.399440414978</v>
      </c>
      <c r="Y48" s="220">
        <f t="shared" si="118"/>
        <v>22318.271815043492</v>
      </c>
      <c r="Z48" s="220">
        <f t="shared" si="118"/>
        <v>22673.461573560475</v>
      </c>
      <c r="AA48" s="220">
        <f t="shared" si="118"/>
        <v>22932.463083349874</v>
      </c>
      <c r="AB48" s="220">
        <f t="shared" ref="AB48:AR48" si="119">+AB46+AB47</f>
        <v>23363.673699005663</v>
      </c>
      <c r="AC48" s="220">
        <f t="shared" si="119"/>
        <v>23688.145074096745</v>
      </c>
      <c r="AD48" s="220">
        <f t="shared" si="119"/>
        <v>23705.41604316741</v>
      </c>
      <c r="AE48" s="220">
        <f t="shared" si="119"/>
        <v>23685.209791609992</v>
      </c>
      <c r="AF48" s="220">
        <f t="shared" si="119"/>
        <v>23605.891278431434</v>
      </c>
      <c r="AG48" s="220">
        <f t="shared" si="119"/>
        <v>23454.033663914266</v>
      </c>
      <c r="AH48" s="220">
        <f t="shared" si="119"/>
        <v>23227.086325910772</v>
      </c>
      <c r="AI48" s="220">
        <f t="shared" si="119"/>
        <v>22925.131057253864</v>
      </c>
      <c r="AJ48" s="220">
        <f t="shared" si="119"/>
        <v>22561.641633560281</v>
      </c>
      <c r="AK48" s="220">
        <f t="shared" si="119"/>
        <v>22136.002228547743</v>
      </c>
      <c r="AL48" s="220">
        <f t="shared" si="119"/>
        <v>21649.479539161686</v>
      </c>
      <c r="AM48" s="220">
        <f t="shared" si="119"/>
        <v>21084.460933431055</v>
      </c>
      <c r="AN48" s="220">
        <f t="shared" si="119"/>
        <v>20420.375053747204</v>
      </c>
      <c r="AO48" s="220">
        <f t="shared" si="119"/>
        <v>19672.149388117541</v>
      </c>
      <c r="AP48" s="220">
        <f t="shared" si="119"/>
        <v>18820.912743322482</v>
      </c>
      <c r="AQ48" s="220">
        <f t="shared" si="119"/>
        <v>17868.084375151673</v>
      </c>
      <c r="AR48" s="220">
        <f t="shared" si="119"/>
        <v>16824.13117933027</v>
      </c>
    </row>
    <row r="49" spans="1:44">
      <c r="A49" s="142" t="s">
        <v>25</v>
      </c>
      <c r="B49" s="142"/>
      <c r="C49" s="142"/>
      <c r="D49" s="142"/>
      <c r="E49" s="142"/>
      <c r="F49" s="142"/>
      <c r="G49" s="142"/>
      <c r="H49" s="142"/>
      <c r="I49" s="142"/>
      <c r="J49" s="142"/>
      <c r="K49" s="142"/>
      <c r="L49" s="142"/>
      <c r="M49" s="142"/>
      <c r="N49" s="142"/>
      <c r="O49" s="142"/>
      <c r="P49" s="142"/>
      <c r="Q49" s="142"/>
      <c r="R49" s="142"/>
      <c r="S49" s="142"/>
      <c r="T49" s="142"/>
      <c r="U49" s="142"/>
      <c r="V49" s="193">
        <f t="shared" ref="V49:AA49" si="120">+V43</f>
        <v>5070.3255354709836</v>
      </c>
      <c r="W49" s="193">
        <f t="shared" si="120"/>
        <v>5262.5211948089209</v>
      </c>
      <c r="X49" s="193">
        <f t="shared" si="120"/>
        <v>8552.0712035663928</v>
      </c>
      <c r="Y49" s="193">
        <f t="shared" si="120"/>
        <v>12028.289533740841</v>
      </c>
      <c r="Z49" s="193">
        <f t="shared" si="120"/>
        <v>12358.039694528605</v>
      </c>
      <c r="AA49" s="193">
        <f t="shared" si="120"/>
        <v>12636.5418762804</v>
      </c>
      <c r="AB49" s="193">
        <f t="shared" ref="AB49:AR49" si="121">+AB43</f>
        <v>12937.897642530075</v>
      </c>
      <c r="AC49" s="193">
        <f t="shared" si="121"/>
        <v>13169.342034302212</v>
      </c>
      <c r="AD49" s="193">
        <f t="shared" si="121"/>
        <v>13276.997173861788</v>
      </c>
      <c r="AE49" s="193">
        <f t="shared" si="121"/>
        <v>13361.446380432728</v>
      </c>
      <c r="AF49" s="193">
        <f t="shared" si="121"/>
        <v>13413.742586063774</v>
      </c>
      <c r="AG49" s="193">
        <f t="shared" si="121"/>
        <v>13428.755038800766</v>
      </c>
      <c r="AH49" s="193">
        <f t="shared" si="121"/>
        <v>13405.041961688206</v>
      </c>
      <c r="AI49" s="193">
        <f t="shared" si="121"/>
        <v>13342.779822731354</v>
      </c>
      <c r="AJ49" s="193">
        <f t="shared" si="121"/>
        <v>13247.333849460718</v>
      </c>
      <c r="AK49" s="193">
        <f t="shared" si="121"/>
        <v>13117.930815050941</v>
      </c>
      <c r="AL49" s="193">
        <f t="shared" si="121"/>
        <v>12955.555762827369</v>
      </c>
      <c r="AM49" s="193">
        <f t="shared" si="121"/>
        <v>12751.57903704055</v>
      </c>
      <c r="AN49" s="193">
        <f t="shared" si="121"/>
        <v>12498.700036603319</v>
      </c>
      <c r="AO49" s="193">
        <f t="shared" si="121"/>
        <v>12202.120679756128</v>
      </c>
      <c r="AP49" s="193">
        <f t="shared" si="121"/>
        <v>11853.266592473516</v>
      </c>
      <c r="AQ49" s="193">
        <f t="shared" si="121"/>
        <v>11453.643278416854</v>
      </c>
      <c r="AR49" s="193">
        <f t="shared" si="121"/>
        <v>11005.55704189567</v>
      </c>
    </row>
    <row r="50" spans="1:44">
      <c r="A50" s="143" t="s">
        <v>266</v>
      </c>
      <c r="B50" s="142"/>
      <c r="C50" s="142"/>
      <c r="D50" s="142"/>
      <c r="E50" s="142"/>
      <c r="F50" s="142"/>
      <c r="G50" s="142"/>
      <c r="H50" s="142"/>
      <c r="I50" s="142"/>
      <c r="J50" s="142"/>
      <c r="K50" s="142"/>
      <c r="L50" s="142"/>
      <c r="M50" s="142"/>
      <c r="N50" s="142"/>
      <c r="O50" s="142"/>
      <c r="P50" s="142"/>
      <c r="Q50" s="142"/>
      <c r="R50" s="142"/>
      <c r="S50" s="142"/>
      <c r="T50" s="142"/>
      <c r="U50" s="142"/>
      <c r="V50" s="221">
        <f t="shared" ref="V50:AA50" si="122">+V48/V49</f>
        <v>3.791185266397735</v>
      </c>
      <c r="W50" s="221">
        <f t="shared" si="122"/>
        <v>2.8848815473669771</v>
      </c>
      <c r="X50" s="221">
        <f t="shared" si="122"/>
        <v>1.9987438169699374</v>
      </c>
      <c r="Y50" s="221">
        <f t="shared" si="122"/>
        <v>1.8554817584360583</v>
      </c>
      <c r="Z50" s="221">
        <f t="shared" si="122"/>
        <v>1.834713444366012</v>
      </c>
      <c r="AA50" s="221">
        <f t="shared" si="122"/>
        <v>1.8147736388541218</v>
      </c>
      <c r="AB50" s="221">
        <f t="shared" ref="AB50:AR50" si="123">+AB48/AB49</f>
        <v>1.8058323187071352</v>
      </c>
      <c r="AC50" s="221">
        <f t="shared" si="123"/>
        <v>1.7987341366331124</v>
      </c>
      <c r="AD50" s="221">
        <f t="shared" si="123"/>
        <v>1.7854501083901624</v>
      </c>
      <c r="AE50" s="221">
        <f t="shared" si="123"/>
        <v>1.7726531332937112</v>
      </c>
      <c r="AF50" s="221">
        <f t="shared" si="123"/>
        <v>1.7598288566351949</v>
      </c>
      <c r="AG50" s="221">
        <f t="shared" si="123"/>
        <v>1.7465530941734113</v>
      </c>
      <c r="AH50" s="221">
        <f t="shared" si="123"/>
        <v>1.732712690664759</v>
      </c>
      <c r="AI50" s="221">
        <f t="shared" si="123"/>
        <v>1.7181675304420141</v>
      </c>
      <c r="AJ50" s="221">
        <f t="shared" si="123"/>
        <v>1.7031081038603655</v>
      </c>
      <c r="AK50" s="221">
        <f t="shared" si="123"/>
        <v>1.6874614251776554</v>
      </c>
      <c r="AL50" s="221">
        <f t="shared" si="123"/>
        <v>1.6710575706276756</v>
      </c>
      <c r="AM50" s="221">
        <f t="shared" si="123"/>
        <v>1.653478433704979</v>
      </c>
      <c r="AN50" s="221">
        <f t="shared" si="123"/>
        <v>1.6337999147067059</v>
      </c>
      <c r="AO50" s="221">
        <f t="shared" si="123"/>
        <v>1.6121910202670369</v>
      </c>
      <c r="AP50" s="221">
        <f t="shared" si="123"/>
        <v>1.5878249760511776</v>
      </c>
      <c r="AQ50" s="221">
        <f t="shared" si="123"/>
        <v>1.5600349985425281</v>
      </c>
      <c r="AR50" s="221">
        <f t="shared" si="123"/>
        <v>1.5286941965122349</v>
      </c>
    </row>
    <row r="51" spans="1:44">
      <c r="A51" s="1"/>
      <c r="B51" s="74"/>
      <c r="C51" s="74"/>
      <c r="D51" s="74"/>
      <c r="E51" s="74"/>
      <c r="F51" s="74"/>
      <c r="G51" s="74"/>
      <c r="H51" s="74"/>
      <c r="I51" s="74"/>
      <c r="J51" s="74"/>
      <c r="K51" s="74"/>
      <c r="L51" s="74"/>
      <c r="M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44">
      <c r="A52" s="1" t="s">
        <v>92</v>
      </c>
      <c r="B52" s="74"/>
      <c r="C52" s="74"/>
      <c r="D52" s="74"/>
      <c r="E52" s="74"/>
      <c r="F52" s="74"/>
      <c r="G52" s="74"/>
      <c r="H52" s="74"/>
      <c r="I52" s="74"/>
      <c r="J52" s="74"/>
      <c r="K52" s="74"/>
      <c r="L52" s="74"/>
      <c r="M52" s="75"/>
      <c r="O52" s="75"/>
      <c r="P52" s="75"/>
      <c r="Q52" s="75"/>
      <c r="R52" s="75"/>
      <c r="S52" s="75"/>
      <c r="V52" s="56">
        <f t="shared" ref="V52:AA52" si="124">+V30</f>
        <v>13658.414336337351</v>
      </c>
      <c r="W52" s="56">
        <f t="shared" si="124"/>
        <v>15236.488613634665</v>
      </c>
      <c r="X52" s="56">
        <f t="shared" si="124"/>
        <v>14189.012503360409</v>
      </c>
      <c r="Y52" s="56">
        <f t="shared" si="124"/>
        <v>13191.508104150351</v>
      </c>
      <c r="Z52" s="56">
        <f t="shared" si="124"/>
        <v>14504.531780184021</v>
      </c>
      <c r="AA52" s="56">
        <f t="shared" si="124"/>
        <v>15799.639940070087</v>
      </c>
      <c r="AB52" s="56">
        <f t="shared" ref="AB52:AR52" si="125">+AB30</f>
        <v>16600.727208645159</v>
      </c>
      <c r="AC52" s="56">
        <f t="shared" si="125"/>
        <v>17255.09411690967</v>
      </c>
      <c r="AD52" s="56">
        <f t="shared" si="125"/>
        <v>17994.765371168811</v>
      </c>
      <c r="AE52" s="56">
        <f t="shared" si="125"/>
        <v>18734.568184079373</v>
      </c>
      <c r="AF52" s="56">
        <f t="shared" si="125"/>
        <v>19477.771823072966</v>
      </c>
      <c r="AG52" s="56">
        <f t="shared" si="125"/>
        <v>20228.212319822625</v>
      </c>
      <c r="AH52" s="56">
        <f t="shared" si="125"/>
        <v>20986.346830394345</v>
      </c>
      <c r="AI52" s="56">
        <f t="shared" si="125"/>
        <v>21753.378608906729</v>
      </c>
      <c r="AJ52" s="56">
        <f t="shared" si="125"/>
        <v>22526.900352763223</v>
      </c>
      <c r="AK52" s="56">
        <f t="shared" si="125"/>
        <v>23304.513522567584</v>
      </c>
      <c r="AL52" s="56">
        <f t="shared" si="125"/>
        <v>24087.877606419177</v>
      </c>
      <c r="AM52" s="56">
        <f t="shared" si="125"/>
        <v>24874.476544156525</v>
      </c>
      <c r="AN52" s="56">
        <f t="shared" si="125"/>
        <v>25675.251986236712</v>
      </c>
      <c r="AO52" s="56">
        <f t="shared" si="125"/>
        <v>26484.714286397681</v>
      </c>
      <c r="AP52" s="56">
        <f t="shared" si="125"/>
        <v>27304.853700561518</v>
      </c>
      <c r="AQ52" s="56">
        <f t="shared" si="125"/>
        <v>28141.602001025884</v>
      </c>
      <c r="AR52" s="56">
        <f t="shared" si="125"/>
        <v>28983.748467933903</v>
      </c>
    </row>
    <row r="53" spans="1:44">
      <c r="A53" s="1" t="s">
        <v>27</v>
      </c>
      <c r="B53" s="74"/>
      <c r="C53" s="74"/>
      <c r="D53" s="74"/>
      <c r="E53" s="74"/>
      <c r="F53" s="74"/>
      <c r="G53" s="74"/>
      <c r="H53" s="74"/>
      <c r="I53" s="74"/>
      <c r="J53" s="74"/>
      <c r="K53" s="74"/>
      <c r="L53" s="74"/>
      <c r="M53" s="75"/>
      <c r="O53" s="75"/>
      <c r="P53" s="75"/>
      <c r="Q53" s="75"/>
      <c r="R53" s="75"/>
      <c r="S53" s="75"/>
      <c r="V53" s="56">
        <f t="shared" ref="V53:AA53" si="126">+V22</f>
        <v>157954.06652557582</v>
      </c>
      <c r="W53" s="56">
        <f t="shared" si="126"/>
        <v>163941.47024326859</v>
      </c>
      <c r="X53" s="56">
        <f t="shared" si="126"/>
        <v>167359.51474689614</v>
      </c>
      <c r="Y53" s="56">
        <f t="shared" si="126"/>
        <v>171587.58250700202</v>
      </c>
      <c r="Z53" s="56">
        <f t="shared" si="126"/>
        <v>176291.57909455927</v>
      </c>
      <c r="AA53" s="56">
        <f t="shared" si="126"/>
        <v>180264.50608103283</v>
      </c>
      <c r="AB53" s="56">
        <f t="shared" ref="AB53:AR53" si="127">+AB22</f>
        <v>184563.44711169865</v>
      </c>
      <c r="AC53" s="56">
        <f t="shared" si="127"/>
        <v>187865.07894867635</v>
      </c>
      <c r="AD53" s="56">
        <f t="shared" si="127"/>
        <v>189400.81560430513</v>
      </c>
      <c r="AE53" s="56">
        <f t="shared" si="127"/>
        <v>190605.51184640126</v>
      </c>
      <c r="AF53" s="56">
        <f t="shared" si="127"/>
        <v>191351.53475126642</v>
      </c>
      <c r="AG53" s="56">
        <f t="shared" si="127"/>
        <v>191565.69242226487</v>
      </c>
      <c r="AH53" s="56">
        <f t="shared" si="127"/>
        <v>191227.41742779184</v>
      </c>
      <c r="AI53" s="56">
        <f t="shared" si="127"/>
        <v>190339.22714310064</v>
      </c>
      <c r="AJ53" s="56">
        <f t="shared" si="127"/>
        <v>188977.65833752809</v>
      </c>
      <c r="AK53" s="56">
        <f t="shared" si="127"/>
        <v>187131.68067119745</v>
      </c>
      <c r="AL53" s="56">
        <f t="shared" si="127"/>
        <v>184815.34611736619</v>
      </c>
      <c r="AM53" s="56">
        <f t="shared" si="127"/>
        <v>181905.54974380243</v>
      </c>
      <c r="AN53" s="56">
        <f t="shared" si="127"/>
        <v>178298.14602857802</v>
      </c>
      <c r="AO53" s="56">
        <f t="shared" si="127"/>
        <v>174067.34207926004</v>
      </c>
      <c r="AP53" s="56">
        <f t="shared" si="127"/>
        <v>169090.82157594175</v>
      </c>
      <c r="AQ53" s="56">
        <f t="shared" si="127"/>
        <v>163390.0610330507</v>
      </c>
      <c r="AR53" s="56">
        <f t="shared" si="127"/>
        <v>156997.96065471714</v>
      </c>
    </row>
    <row r="54" spans="1:44">
      <c r="A54" s="139" t="s">
        <v>97</v>
      </c>
      <c r="B54" s="74"/>
      <c r="C54" s="74"/>
      <c r="D54" s="74"/>
      <c r="E54" s="74"/>
      <c r="F54" s="74"/>
      <c r="G54" s="74"/>
      <c r="H54" s="74"/>
      <c r="I54" s="74"/>
      <c r="J54" s="74"/>
      <c r="K54" s="74"/>
      <c r="L54" s="74"/>
      <c r="M54" s="75"/>
      <c r="O54" s="75"/>
      <c r="P54" s="75"/>
      <c r="Q54" s="75"/>
      <c r="R54" s="75"/>
      <c r="S54" s="75"/>
      <c r="T54" s="76"/>
      <c r="U54" s="76"/>
      <c r="V54" s="222">
        <f>+V52/V53</f>
        <v>8.6470798990957221E-2</v>
      </c>
      <c r="W54" s="222">
        <f t="shared" ref="W54:AA54" si="128">+W52/W53</f>
        <v>9.2938587112983834E-2</v>
      </c>
      <c r="X54" s="222">
        <f t="shared" si="128"/>
        <v>8.4781630281486942E-2</v>
      </c>
      <c r="Y54" s="222">
        <f t="shared" si="128"/>
        <v>7.6879153557700142E-2</v>
      </c>
      <c r="Z54" s="222">
        <f t="shared" si="128"/>
        <v>8.2275806108719915E-2</v>
      </c>
      <c r="AA54" s="222">
        <f t="shared" si="128"/>
        <v>8.7646982112872529E-2</v>
      </c>
      <c r="AB54" s="222">
        <f t="shared" ref="AB54:AR54" si="129">+AB52/AB53</f>
        <v>8.9945910029510467E-2</v>
      </c>
      <c r="AC54" s="222">
        <f t="shared" si="129"/>
        <v>9.1848331863867372E-2</v>
      </c>
      <c r="AD54" s="222">
        <f t="shared" si="129"/>
        <v>9.5008911729099144E-2</v>
      </c>
      <c r="AE54" s="222">
        <f t="shared" si="129"/>
        <v>9.828975039912044E-2</v>
      </c>
      <c r="AF54" s="222">
        <f t="shared" si="129"/>
        <v>0.10179051789885922</v>
      </c>
      <c r="AG54" s="222">
        <f t="shared" si="129"/>
        <v>0.10559412838512824</v>
      </c>
      <c r="AH54" s="222">
        <f t="shared" si="129"/>
        <v>0.10974549106337675</v>
      </c>
      <c r="AI54" s="222">
        <f t="shared" si="129"/>
        <v>0.11428741692090684</v>
      </c>
      <c r="AJ54" s="222">
        <f t="shared" si="129"/>
        <v>0.1192040400486311</v>
      </c>
      <c r="AK54" s="222">
        <f t="shared" si="129"/>
        <v>0.12453537230563932</v>
      </c>
      <c r="AL54" s="222">
        <f t="shared" si="129"/>
        <v>0.13033483480923858</v>
      </c>
      <c r="AM54" s="222">
        <f t="shared" si="129"/>
        <v>0.13674391231707875</v>
      </c>
      <c r="AN54" s="222">
        <f t="shared" si="129"/>
        <v>0.14400178890318593</v>
      </c>
      <c r="AO54" s="222">
        <f t="shared" si="129"/>
        <v>0.15215211521031957</v>
      </c>
      <c r="AP54" s="222">
        <f t="shared" si="129"/>
        <v>0.16148040116002638</v>
      </c>
      <c r="AQ54" s="222">
        <f t="shared" si="129"/>
        <v>0.17223570285179937</v>
      </c>
      <c r="AR54" s="222">
        <f t="shared" si="129"/>
        <v>0.18461226086673413</v>
      </c>
    </row>
    <row r="55" spans="1:44">
      <c r="A55" s="1"/>
      <c r="B55" s="74"/>
      <c r="C55" s="74"/>
      <c r="D55" s="74"/>
      <c r="E55" s="74"/>
      <c r="F55" s="74"/>
      <c r="G55" s="74"/>
      <c r="H55" s="74"/>
      <c r="I55" s="74"/>
      <c r="J55" s="74"/>
      <c r="K55" s="74"/>
      <c r="L55" s="74"/>
      <c r="M55" s="75"/>
      <c r="O55" s="75"/>
      <c r="P55" s="75"/>
      <c r="Q55" s="75"/>
      <c r="R55" s="75"/>
      <c r="S55" s="75"/>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row>
    <row r="56" spans="1:44">
      <c r="A56" s="1" t="s">
        <v>96</v>
      </c>
      <c r="B56" s="74"/>
      <c r="C56" s="74"/>
      <c r="D56" s="74"/>
      <c r="E56" s="74"/>
      <c r="F56" s="74"/>
      <c r="G56" s="74"/>
      <c r="H56" s="74"/>
      <c r="I56" s="74"/>
      <c r="J56" s="74"/>
      <c r="K56" s="74"/>
      <c r="L56" s="74"/>
      <c r="M56" s="75"/>
      <c r="O56" s="75"/>
      <c r="P56" s="75"/>
      <c r="Q56" s="75"/>
      <c r="R56" s="75"/>
      <c r="S56" s="75"/>
      <c r="V56" s="56">
        <f>+V53</f>
        <v>157954.06652557582</v>
      </c>
      <c r="W56" s="56">
        <f t="shared" ref="W56:AA56" si="130">+W53</f>
        <v>163941.47024326859</v>
      </c>
      <c r="X56" s="56">
        <f t="shared" si="130"/>
        <v>167359.51474689614</v>
      </c>
      <c r="Y56" s="56">
        <f t="shared" si="130"/>
        <v>171587.58250700202</v>
      </c>
      <c r="Z56" s="56">
        <f t="shared" si="130"/>
        <v>176291.57909455927</v>
      </c>
      <c r="AA56" s="56">
        <f t="shared" si="130"/>
        <v>180264.50608103283</v>
      </c>
      <c r="AB56" s="56">
        <f t="shared" ref="AB56:AR56" si="131">+AB53</f>
        <v>184563.44711169865</v>
      </c>
      <c r="AC56" s="56">
        <f t="shared" si="131"/>
        <v>187865.07894867635</v>
      </c>
      <c r="AD56" s="56">
        <f t="shared" si="131"/>
        <v>189400.81560430513</v>
      </c>
      <c r="AE56" s="56">
        <f t="shared" si="131"/>
        <v>190605.51184640126</v>
      </c>
      <c r="AF56" s="56">
        <f t="shared" si="131"/>
        <v>191351.53475126642</v>
      </c>
      <c r="AG56" s="56">
        <f t="shared" si="131"/>
        <v>191565.69242226487</v>
      </c>
      <c r="AH56" s="56">
        <f t="shared" si="131"/>
        <v>191227.41742779184</v>
      </c>
      <c r="AI56" s="56">
        <f t="shared" si="131"/>
        <v>190339.22714310064</v>
      </c>
      <c r="AJ56" s="56">
        <f t="shared" si="131"/>
        <v>188977.65833752809</v>
      </c>
      <c r="AK56" s="56">
        <f t="shared" si="131"/>
        <v>187131.68067119745</v>
      </c>
      <c r="AL56" s="56">
        <f t="shared" si="131"/>
        <v>184815.34611736619</v>
      </c>
      <c r="AM56" s="56">
        <f t="shared" si="131"/>
        <v>181905.54974380243</v>
      </c>
      <c r="AN56" s="56">
        <f t="shared" si="131"/>
        <v>178298.14602857802</v>
      </c>
      <c r="AO56" s="56">
        <f t="shared" si="131"/>
        <v>174067.34207926004</v>
      </c>
      <c r="AP56" s="56">
        <f t="shared" si="131"/>
        <v>169090.82157594175</v>
      </c>
      <c r="AQ56" s="56">
        <f t="shared" si="131"/>
        <v>163390.0610330507</v>
      </c>
      <c r="AR56" s="56">
        <f t="shared" si="131"/>
        <v>156997.96065471714</v>
      </c>
    </row>
    <row r="57" spans="1:44">
      <c r="A57" s="1" t="s">
        <v>98</v>
      </c>
      <c r="B57" s="74"/>
      <c r="C57" s="74"/>
      <c r="D57" s="74"/>
      <c r="E57" s="74"/>
      <c r="F57" s="74"/>
      <c r="G57" s="74"/>
      <c r="H57" s="74"/>
      <c r="I57" s="74"/>
      <c r="J57" s="74"/>
      <c r="K57" s="74"/>
      <c r="L57" s="74"/>
      <c r="M57" s="75"/>
      <c r="O57" s="75"/>
      <c r="P57" s="75"/>
      <c r="Q57" s="75"/>
      <c r="R57" s="75"/>
      <c r="S57" s="75"/>
      <c r="V57" s="56">
        <f t="shared" ref="V57:AA57" si="132">+V20</f>
        <v>287189.21186468331</v>
      </c>
      <c r="W57" s="56">
        <f t="shared" si="132"/>
        <v>298075.40044230648</v>
      </c>
      <c r="X57" s="56">
        <f t="shared" si="132"/>
        <v>304290.02681253839</v>
      </c>
      <c r="Y57" s="56">
        <f t="shared" si="132"/>
        <v>311977.42274000368</v>
      </c>
      <c r="Z57" s="56">
        <f t="shared" si="132"/>
        <v>320530.14380828955</v>
      </c>
      <c r="AA57" s="56">
        <f t="shared" si="132"/>
        <v>327753.64742005966</v>
      </c>
      <c r="AB57" s="56">
        <f t="shared" ref="AB57:AR57" si="133">+AB20</f>
        <v>335569.90383945208</v>
      </c>
      <c r="AC57" s="56">
        <f t="shared" si="133"/>
        <v>341572.87081577518</v>
      </c>
      <c r="AD57" s="56">
        <f t="shared" si="133"/>
        <v>344365.11928055476</v>
      </c>
      <c r="AE57" s="56">
        <f t="shared" si="133"/>
        <v>346555.47608436592</v>
      </c>
      <c r="AF57" s="56">
        <f t="shared" si="133"/>
        <v>347911.88136593893</v>
      </c>
      <c r="AG57" s="56">
        <f t="shared" si="133"/>
        <v>348301.25894957245</v>
      </c>
      <c r="AH57" s="56">
        <f t="shared" si="133"/>
        <v>347686.21350507601</v>
      </c>
      <c r="AI57" s="56">
        <f t="shared" si="133"/>
        <v>346071.32207836478</v>
      </c>
      <c r="AJ57" s="56">
        <f t="shared" si="133"/>
        <v>343595.74243186921</v>
      </c>
      <c r="AK57" s="56">
        <f t="shared" si="133"/>
        <v>340239.41940217715</v>
      </c>
      <c r="AL57" s="56">
        <f t="shared" si="133"/>
        <v>336027.90203157486</v>
      </c>
      <c r="AM57" s="56">
        <f t="shared" si="133"/>
        <v>330737.36317054986</v>
      </c>
      <c r="AN57" s="56">
        <f t="shared" si="133"/>
        <v>324178.44732468727</v>
      </c>
      <c r="AO57" s="56">
        <f t="shared" si="133"/>
        <v>316486.07650774549</v>
      </c>
      <c r="AP57" s="56">
        <f t="shared" si="133"/>
        <v>307437.85741080315</v>
      </c>
      <c r="AQ57" s="56">
        <f t="shared" si="133"/>
        <v>297072.83824191033</v>
      </c>
      <c r="AR57" s="56">
        <f t="shared" si="133"/>
        <v>285450.83755403117</v>
      </c>
    </row>
    <row r="58" spans="1:44">
      <c r="A58" s="139" t="s">
        <v>99</v>
      </c>
      <c r="B58" s="74"/>
      <c r="C58" s="74"/>
      <c r="D58" s="74"/>
      <c r="E58" s="74"/>
      <c r="F58" s="74"/>
      <c r="G58" s="74"/>
      <c r="H58" s="74"/>
      <c r="I58" s="74"/>
      <c r="J58" s="74"/>
      <c r="K58" s="74"/>
      <c r="L58" s="74"/>
      <c r="M58" s="75"/>
      <c r="O58" s="75"/>
      <c r="P58" s="75"/>
      <c r="Q58" s="75"/>
      <c r="R58" s="75"/>
      <c r="S58" s="75"/>
      <c r="T58" s="76"/>
      <c r="U58" s="76"/>
      <c r="V58" s="222">
        <f t="shared" ref="V58" si="134">+V56/V57</f>
        <v>0.55000000000000004</v>
      </c>
      <c r="W58" s="222">
        <f t="shared" ref="W58:AA58" si="135">+W56/W57</f>
        <v>0.55000000000000004</v>
      </c>
      <c r="X58" s="222">
        <f t="shared" si="135"/>
        <v>0.55000000000000004</v>
      </c>
      <c r="Y58" s="222">
        <f t="shared" si="135"/>
        <v>0.55000000000000004</v>
      </c>
      <c r="Z58" s="222">
        <f t="shared" si="135"/>
        <v>0.55000000000000004</v>
      </c>
      <c r="AA58" s="222">
        <f t="shared" si="135"/>
        <v>0.55000000000000004</v>
      </c>
      <c r="AB58" s="222">
        <f t="shared" ref="AB58:AR58" si="136">+AB56/AB57</f>
        <v>0.55000000000000004</v>
      </c>
      <c r="AC58" s="222">
        <f t="shared" si="136"/>
        <v>0.55000000000000004</v>
      </c>
      <c r="AD58" s="222">
        <f t="shared" si="136"/>
        <v>0.55000000000000004</v>
      </c>
      <c r="AE58" s="222">
        <f t="shared" si="136"/>
        <v>0.55000000000000004</v>
      </c>
      <c r="AF58" s="222">
        <f t="shared" si="136"/>
        <v>0.55000000000000004</v>
      </c>
      <c r="AG58" s="222">
        <f t="shared" si="136"/>
        <v>0.55000000000000004</v>
      </c>
      <c r="AH58" s="222">
        <f t="shared" si="136"/>
        <v>0.55000000000000004</v>
      </c>
      <c r="AI58" s="222">
        <f t="shared" si="136"/>
        <v>0.55000000000000004</v>
      </c>
      <c r="AJ58" s="222">
        <f t="shared" si="136"/>
        <v>0.55000000000000004</v>
      </c>
      <c r="AK58" s="222">
        <f t="shared" si="136"/>
        <v>0.55000000000000004</v>
      </c>
      <c r="AL58" s="222">
        <f t="shared" si="136"/>
        <v>0.55000000000000004</v>
      </c>
      <c r="AM58" s="222">
        <f t="shared" si="136"/>
        <v>0.55000000000000004</v>
      </c>
      <c r="AN58" s="222">
        <f t="shared" si="136"/>
        <v>0.55000000000000004</v>
      </c>
      <c r="AO58" s="222">
        <f t="shared" si="136"/>
        <v>0.55000000000000004</v>
      </c>
      <c r="AP58" s="222">
        <f t="shared" si="136"/>
        <v>0.55000000000000004</v>
      </c>
      <c r="AQ58" s="222">
        <f t="shared" si="136"/>
        <v>0.55000000000000004</v>
      </c>
      <c r="AR58" s="222">
        <f t="shared" si="136"/>
        <v>0.55000000000000004</v>
      </c>
    </row>
    <row r="59" spans="1:44">
      <c r="A59" s="1"/>
      <c r="B59" s="74"/>
      <c r="C59" s="74"/>
      <c r="D59" s="74"/>
      <c r="E59" s="74"/>
      <c r="F59" s="74"/>
      <c r="G59" s="74"/>
      <c r="H59" s="74"/>
      <c r="I59" s="74"/>
      <c r="J59" s="74"/>
      <c r="K59" s="74"/>
      <c r="L59" s="74"/>
      <c r="M59" s="75"/>
      <c r="O59" s="75"/>
      <c r="P59" s="75"/>
      <c r="Q59" s="75"/>
      <c r="R59" s="75"/>
      <c r="S59" s="75"/>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row>
    <row r="60" spans="1:44">
      <c r="A60" s="139" t="s">
        <v>100</v>
      </c>
      <c r="B60" s="74"/>
      <c r="C60" s="74"/>
      <c r="D60" s="74"/>
      <c r="E60" s="74"/>
      <c r="F60" s="74"/>
      <c r="G60" s="74"/>
      <c r="H60" s="74"/>
      <c r="I60" s="74"/>
      <c r="J60" s="74"/>
      <c r="K60" s="74"/>
      <c r="L60" s="74"/>
      <c r="M60" s="75"/>
      <c r="O60" s="75"/>
      <c r="P60" s="75"/>
      <c r="Q60" s="75"/>
      <c r="R60" s="75"/>
      <c r="S60" s="75"/>
      <c r="T60" s="75"/>
      <c r="U60" s="75"/>
      <c r="V60" s="230">
        <f t="shared" ref="V60:AR60" si="137">+V1</f>
        <v>2023</v>
      </c>
      <c r="W60" s="230">
        <f t="shared" si="137"/>
        <v>2024</v>
      </c>
      <c r="X60" s="230">
        <f t="shared" si="137"/>
        <v>2025</v>
      </c>
      <c r="Y60" s="230">
        <f t="shared" si="137"/>
        <v>2026</v>
      </c>
      <c r="Z60" s="230">
        <f t="shared" si="137"/>
        <v>2027</v>
      </c>
      <c r="AA60" s="230">
        <f t="shared" si="137"/>
        <v>2028</v>
      </c>
      <c r="AB60" s="230">
        <f t="shared" si="137"/>
        <v>2029</v>
      </c>
      <c r="AC60" s="230">
        <f t="shared" si="137"/>
        <v>2030</v>
      </c>
      <c r="AD60" s="230">
        <f t="shared" si="137"/>
        <v>2031</v>
      </c>
      <c r="AE60" s="230">
        <f t="shared" si="137"/>
        <v>2032</v>
      </c>
      <c r="AF60" s="230">
        <f t="shared" si="137"/>
        <v>2033</v>
      </c>
      <c r="AG60" s="230">
        <f t="shared" si="137"/>
        <v>2034</v>
      </c>
      <c r="AH60" s="230">
        <f t="shared" si="137"/>
        <v>2035</v>
      </c>
      <c r="AI60" s="230">
        <f t="shared" si="137"/>
        <v>2036</v>
      </c>
      <c r="AJ60" s="230">
        <f t="shared" si="137"/>
        <v>2037</v>
      </c>
      <c r="AK60" s="230">
        <f t="shared" si="137"/>
        <v>2038</v>
      </c>
      <c r="AL60" s="230">
        <f t="shared" si="137"/>
        <v>2039</v>
      </c>
      <c r="AM60" s="230">
        <f t="shared" si="137"/>
        <v>2040</v>
      </c>
      <c r="AN60" s="230">
        <f t="shared" si="137"/>
        <v>2041</v>
      </c>
      <c r="AO60" s="230">
        <f t="shared" si="137"/>
        <v>2042</v>
      </c>
      <c r="AP60" s="230">
        <f t="shared" si="137"/>
        <v>2043</v>
      </c>
      <c r="AQ60" s="230">
        <f t="shared" si="137"/>
        <v>2044</v>
      </c>
      <c r="AR60" s="230">
        <f t="shared" si="137"/>
        <v>2045</v>
      </c>
    </row>
    <row r="61" spans="1:44">
      <c r="A61" s="1" t="s">
        <v>94</v>
      </c>
      <c r="B61" s="74"/>
      <c r="C61" s="74"/>
      <c r="D61" s="74"/>
      <c r="E61" s="74"/>
      <c r="F61" s="74"/>
      <c r="G61" s="74"/>
      <c r="H61" s="74"/>
      <c r="I61" s="74"/>
      <c r="J61" s="74"/>
      <c r="K61" s="74"/>
      <c r="L61" s="74"/>
      <c r="M61" s="75"/>
      <c r="O61" s="75"/>
      <c r="P61" s="75"/>
      <c r="Q61" s="75"/>
      <c r="R61" s="75"/>
      <c r="S61" s="75"/>
      <c r="U61" s="231" t="str">
        <f>+A61</f>
        <v>FFO Interest Cover</v>
      </c>
      <c r="V61" s="225">
        <f t="shared" ref="V61:AA61" si="138">+V36</f>
        <v>3.6937943610890103</v>
      </c>
      <c r="W61" s="225">
        <f t="shared" si="138"/>
        <v>3.8952830876318956</v>
      </c>
      <c r="X61" s="225">
        <f t="shared" si="138"/>
        <v>2.6591317080525818</v>
      </c>
      <c r="Y61" s="225">
        <f t="shared" si="138"/>
        <v>2.0967068981126982</v>
      </c>
      <c r="Z61" s="225">
        <f t="shared" si="138"/>
        <v>2.1736919559018535</v>
      </c>
      <c r="AA61" s="225">
        <f t="shared" si="138"/>
        <v>2.2503135822093085</v>
      </c>
      <c r="AB61" s="225">
        <f t="shared" ref="AB61:AR61" si="139">+AB36</f>
        <v>2.2831085596221179</v>
      </c>
      <c r="AC61" s="225">
        <f t="shared" si="139"/>
        <v>2.310247244848322</v>
      </c>
      <c r="AD61" s="225">
        <f t="shared" si="139"/>
        <v>2.3553339761640397</v>
      </c>
      <c r="AE61" s="225">
        <f t="shared" si="139"/>
        <v>2.4021362396450847</v>
      </c>
      <c r="AF61" s="225">
        <f t="shared" si="139"/>
        <v>2.4520758616099747</v>
      </c>
      <c r="AG61" s="225">
        <f t="shared" si="139"/>
        <v>2.5063356403014017</v>
      </c>
      <c r="AH61" s="225">
        <f t="shared" si="139"/>
        <v>2.5655562205902536</v>
      </c>
      <c r="AI61" s="225">
        <f t="shared" si="139"/>
        <v>2.6303483155621517</v>
      </c>
      <c r="AJ61" s="225">
        <f t="shared" si="139"/>
        <v>2.7004855927051512</v>
      </c>
      <c r="AK61" s="225">
        <f t="shared" si="139"/>
        <v>2.7765388346025581</v>
      </c>
      <c r="AL61" s="225">
        <f t="shared" si="139"/>
        <v>2.8592701114014063</v>
      </c>
      <c r="AM61" s="225">
        <f t="shared" si="139"/>
        <v>2.9506977506002676</v>
      </c>
      <c r="AN61" s="225">
        <f t="shared" si="139"/>
        <v>3.0542337931980876</v>
      </c>
      <c r="AO61" s="225">
        <f t="shared" si="139"/>
        <v>3.1705009302470697</v>
      </c>
      <c r="AP61" s="225">
        <f t="shared" si="139"/>
        <v>3.3035720564911042</v>
      </c>
      <c r="AQ61" s="225">
        <f t="shared" si="139"/>
        <v>3.4570000406818742</v>
      </c>
      <c r="AR61" s="225">
        <f t="shared" si="139"/>
        <v>3.6335557898250235</v>
      </c>
    </row>
    <row r="62" spans="1:44">
      <c r="A62" s="1" t="s">
        <v>23</v>
      </c>
      <c r="B62" s="74"/>
      <c r="C62" s="74"/>
      <c r="D62" s="74"/>
      <c r="E62" s="74"/>
      <c r="F62" s="74"/>
      <c r="G62" s="74"/>
      <c r="H62" s="74"/>
      <c r="I62" s="74"/>
      <c r="J62" s="74"/>
      <c r="K62" s="74"/>
      <c r="L62" s="74"/>
      <c r="M62" s="75"/>
      <c r="O62" s="75"/>
      <c r="P62" s="75"/>
      <c r="Q62" s="75"/>
      <c r="R62" s="75"/>
      <c r="S62" s="75"/>
      <c r="U62" s="231" t="str">
        <f t="shared" ref="U62:U65" si="140">+A62</f>
        <v>PMICR</v>
      </c>
      <c r="V62" s="225">
        <f t="shared" ref="V62:AA62" si="141">+V44</f>
        <v>0.7317305746355347</v>
      </c>
      <c r="W62" s="225">
        <f t="shared" si="141"/>
        <v>1.6073278134423659</v>
      </c>
      <c r="X62" s="225">
        <f t="shared" si="141"/>
        <v>1.6147544383352535</v>
      </c>
      <c r="Y62" s="225">
        <f t="shared" si="141"/>
        <v>1.3215187068854255</v>
      </c>
      <c r="Z62" s="225">
        <f t="shared" si="141"/>
        <v>1.2991920955317449</v>
      </c>
      <c r="AA62" s="225">
        <f t="shared" si="141"/>
        <v>1.2782213137475249</v>
      </c>
      <c r="AB62" s="225">
        <f t="shared" ref="AB62:AR62" si="142">+AB44</f>
        <v>1.270974436203427</v>
      </c>
      <c r="AC62" s="225">
        <f t="shared" si="142"/>
        <v>1.2590803388317864</v>
      </c>
      <c r="AD62" s="225">
        <f t="shared" si="142"/>
        <v>1.2453535441715009</v>
      </c>
      <c r="AE62" s="225">
        <f t="shared" si="142"/>
        <v>1.2320229332756834</v>
      </c>
      <c r="AF62" s="225">
        <f t="shared" si="142"/>
        <v>1.2184126616734554</v>
      </c>
      <c r="AG62" s="225">
        <f t="shared" si="142"/>
        <v>1.2044105687555504</v>
      </c>
      <c r="AH62" s="225">
        <f t="shared" si="142"/>
        <v>1.1897309174676678</v>
      </c>
      <c r="AI62" s="225">
        <f t="shared" si="142"/>
        <v>1.1744584708040751</v>
      </c>
      <c r="AJ62" s="225">
        <f t="shared" si="142"/>
        <v>1.1587577406515588</v>
      </c>
      <c r="AK62" s="225">
        <f t="shared" si="142"/>
        <v>1.1423212546756925</v>
      </c>
      <c r="AL62" s="225">
        <f t="shared" si="142"/>
        <v>1.1252765312569635</v>
      </c>
      <c r="AM62" s="225">
        <f t="shared" si="142"/>
        <v>1.1064818935276675</v>
      </c>
      <c r="AN62" s="225">
        <f t="shared" si="142"/>
        <v>1.0857627472084626</v>
      </c>
      <c r="AO62" s="225">
        <f t="shared" si="142"/>
        <v>1.0630318119157578</v>
      </c>
      <c r="AP62" s="225">
        <f t="shared" si="142"/>
        <v>1.0370729099947718</v>
      </c>
      <c r="AQ62" s="225">
        <f t="shared" si="142"/>
        <v>1.0080105273104012</v>
      </c>
      <c r="AR62" s="225">
        <f t="shared" si="142"/>
        <v>0.97488731142133422</v>
      </c>
    </row>
    <row r="63" spans="1:44">
      <c r="A63" s="1" t="s">
        <v>266</v>
      </c>
      <c r="B63" s="74"/>
      <c r="C63" s="74"/>
      <c r="D63" s="74"/>
      <c r="E63" s="74"/>
      <c r="F63" s="74"/>
      <c r="G63" s="74"/>
      <c r="H63" s="74"/>
      <c r="I63" s="74"/>
      <c r="J63" s="74"/>
      <c r="K63" s="74"/>
      <c r="L63" s="74"/>
      <c r="M63" s="75"/>
      <c r="O63" s="75"/>
      <c r="P63" s="75"/>
      <c r="Q63" s="75"/>
      <c r="R63" s="75"/>
      <c r="S63" s="75"/>
      <c r="U63" s="231" t="str">
        <f t="shared" si="140"/>
        <v>Nominal PMICR</v>
      </c>
      <c r="V63" s="225">
        <f>+V50</f>
        <v>3.791185266397735</v>
      </c>
      <c r="W63" s="225">
        <f t="shared" ref="W63:AA63" si="143">+W50</f>
        <v>2.8848815473669771</v>
      </c>
      <c r="X63" s="225">
        <f t="shared" si="143"/>
        <v>1.9987438169699374</v>
      </c>
      <c r="Y63" s="225">
        <f t="shared" si="143"/>
        <v>1.8554817584360583</v>
      </c>
      <c r="Z63" s="225">
        <f t="shared" si="143"/>
        <v>1.834713444366012</v>
      </c>
      <c r="AA63" s="225">
        <f t="shared" si="143"/>
        <v>1.8147736388541218</v>
      </c>
      <c r="AB63" s="225">
        <f t="shared" ref="AB63:AR63" si="144">+AB50</f>
        <v>1.8058323187071352</v>
      </c>
      <c r="AC63" s="225">
        <f t="shared" si="144"/>
        <v>1.7987341366331124</v>
      </c>
      <c r="AD63" s="225">
        <f t="shared" si="144"/>
        <v>1.7854501083901624</v>
      </c>
      <c r="AE63" s="225">
        <f t="shared" si="144"/>
        <v>1.7726531332937112</v>
      </c>
      <c r="AF63" s="225">
        <f t="shared" si="144"/>
        <v>1.7598288566351949</v>
      </c>
      <c r="AG63" s="225">
        <f t="shared" si="144"/>
        <v>1.7465530941734113</v>
      </c>
      <c r="AH63" s="225">
        <f t="shared" si="144"/>
        <v>1.732712690664759</v>
      </c>
      <c r="AI63" s="225">
        <f t="shared" si="144"/>
        <v>1.7181675304420141</v>
      </c>
      <c r="AJ63" s="225">
        <f t="shared" si="144"/>
        <v>1.7031081038603655</v>
      </c>
      <c r="AK63" s="225">
        <f t="shared" si="144"/>
        <v>1.6874614251776554</v>
      </c>
      <c r="AL63" s="225">
        <f t="shared" si="144"/>
        <v>1.6710575706276756</v>
      </c>
      <c r="AM63" s="225">
        <f t="shared" si="144"/>
        <v>1.653478433704979</v>
      </c>
      <c r="AN63" s="225">
        <f t="shared" si="144"/>
        <v>1.6337999147067059</v>
      </c>
      <c r="AO63" s="225">
        <f t="shared" si="144"/>
        <v>1.6121910202670369</v>
      </c>
      <c r="AP63" s="225">
        <f t="shared" si="144"/>
        <v>1.5878249760511776</v>
      </c>
      <c r="AQ63" s="225">
        <f t="shared" si="144"/>
        <v>1.5600349985425281</v>
      </c>
      <c r="AR63" s="225">
        <f t="shared" si="144"/>
        <v>1.5286941965122349</v>
      </c>
    </row>
    <row r="64" spans="1:44">
      <c r="A64" s="1" t="s">
        <v>97</v>
      </c>
      <c r="B64" s="74"/>
      <c r="C64" s="74"/>
      <c r="D64" s="74"/>
      <c r="E64" s="74"/>
      <c r="F64" s="74"/>
      <c r="G64" s="74"/>
      <c r="H64" s="74"/>
      <c r="I64" s="74"/>
      <c r="J64" s="74"/>
      <c r="K64" s="74"/>
      <c r="L64" s="74"/>
      <c r="M64" s="75"/>
      <c r="O64" s="75"/>
      <c r="P64" s="75"/>
      <c r="Q64" s="75"/>
      <c r="R64" s="75"/>
      <c r="S64" s="75"/>
      <c r="T64" s="76"/>
      <c r="U64" s="231" t="str">
        <f t="shared" si="140"/>
        <v>FFO / Net Debt</v>
      </c>
      <c r="V64" s="223">
        <f t="shared" ref="V64:AA64" si="145">+V54</f>
        <v>8.6470798990957221E-2</v>
      </c>
      <c r="W64" s="223">
        <f t="shared" si="145"/>
        <v>9.2938587112983834E-2</v>
      </c>
      <c r="X64" s="223">
        <f t="shared" si="145"/>
        <v>8.4781630281486942E-2</v>
      </c>
      <c r="Y64" s="223">
        <f t="shared" si="145"/>
        <v>7.6879153557700142E-2</v>
      </c>
      <c r="Z64" s="223">
        <f t="shared" si="145"/>
        <v>8.2275806108719915E-2</v>
      </c>
      <c r="AA64" s="223">
        <f t="shared" si="145"/>
        <v>8.7646982112872529E-2</v>
      </c>
      <c r="AB64" s="223">
        <f t="shared" ref="AB64:AR64" si="146">+AB54</f>
        <v>8.9945910029510467E-2</v>
      </c>
      <c r="AC64" s="223">
        <f t="shared" si="146"/>
        <v>9.1848331863867372E-2</v>
      </c>
      <c r="AD64" s="223">
        <f t="shared" si="146"/>
        <v>9.5008911729099144E-2</v>
      </c>
      <c r="AE64" s="223">
        <f t="shared" si="146"/>
        <v>9.828975039912044E-2</v>
      </c>
      <c r="AF64" s="223">
        <f t="shared" si="146"/>
        <v>0.10179051789885922</v>
      </c>
      <c r="AG64" s="223">
        <f t="shared" si="146"/>
        <v>0.10559412838512824</v>
      </c>
      <c r="AH64" s="223">
        <f t="shared" si="146"/>
        <v>0.10974549106337675</v>
      </c>
      <c r="AI64" s="223">
        <f t="shared" si="146"/>
        <v>0.11428741692090684</v>
      </c>
      <c r="AJ64" s="223">
        <f t="shared" si="146"/>
        <v>0.1192040400486311</v>
      </c>
      <c r="AK64" s="223">
        <f t="shared" si="146"/>
        <v>0.12453537230563932</v>
      </c>
      <c r="AL64" s="223">
        <f t="shared" si="146"/>
        <v>0.13033483480923858</v>
      </c>
      <c r="AM64" s="223">
        <f t="shared" si="146"/>
        <v>0.13674391231707875</v>
      </c>
      <c r="AN64" s="223">
        <f t="shared" si="146"/>
        <v>0.14400178890318593</v>
      </c>
      <c r="AO64" s="223">
        <f t="shared" si="146"/>
        <v>0.15215211521031957</v>
      </c>
      <c r="AP64" s="223">
        <f t="shared" si="146"/>
        <v>0.16148040116002638</v>
      </c>
      <c r="AQ64" s="223">
        <f t="shared" si="146"/>
        <v>0.17223570285179937</v>
      </c>
      <c r="AR64" s="223">
        <f t="shared" si="146"/>
        <v>0.18461226086673413</v>
      </c>
    </row>
    <row r="65" spans="1:44">
      <c r="A65" s="1" t="s">
        <v>99</v>
      </c>
      <c r="B65" s="74"/>
      <c r="C65" s="74"/>
      <c r="D65" s="74"/>
      <c r="E65" s="74"/>
      <c r="F65" s="74"/>
      <c r="G65" s="74"/>
      <c r="H65" s="74"/>
      <c r="I65" s="74"/>
      <c r="J65" s="74"/>
      <c r="K65" s="74"/>
      <c r="L65" s="74"/>
      <c r="M65" s="75"/>
      <c r="O65" s="75"/>
      <c r="P65" s="75"/>
      <c r="Q65" s="75"/>
      <c r="R65" s="75"/>
      <c r="S65" s="75"/>
      <c r="T65" s="76"/>
      <c r="U65" s="231" t="str">
        <f t="shared" si="140"/>
        <v>Gearing</v>
      </c>
      <c r="V65" s="223">
        <f t="shared" ref="V65:AA65" si="147">+V58</f>
        <v>0.55000000000000004</v>
      </c>
      <c r="W65" s="223">
        <f t="shared" si="147"/>
        <v>0.55000000000000004</v>
      </c>
      <c r="X65" s="223">
        <f t="shared" si="147"/>
        <v>0.55000000000000004</v>
      </c>
      <c r="Y65" s="223">
        <f t="shared" si="147"/>
        <v>0.55000000000000004</v>
      </c>
      <c r="Z65" s="223">
        <f t="shared" si="147"/>
        <v>0.55000000000000004</v>
      </c>
      <c r="AA65" s="223">
        <f t="shared" si="147"/>
        <v>0.55000000000000004</v>
      </c>
      <c r="AB65" s="223">
        <f t="shared" ref="AB65:AR65" si="148">+AB58</f>
        <v>0.55000000000000004</v>
      </c>
      <c r="AC65" s="223">
        <f t="shared" si="148"/>
        <v>0.55000000000000004</v>
      </c>
      <c r="AD65" s="223">
        <f t="shared" si="148"/>
        <v>0.55000000000000004</v>
      </c>
      <c r="AE65" s="223">
        <f t="shared" si="148"/>
        <v>0.55000000000000004</v>
      </c>
      <c r="AF65" s="223">
        <f t="shared" si="148"/>
        <v>0.55000000000000004</v>
      </c>
      <c r="AG65" s="223">
        <f t="shared" si="148"/>
        <v>0.55000000000000004</v>
      </c>
      <c r="AH65" s="223">
        <f t="shared" si="148"/>
        <v>0.55000000000000004</v>
      </c>
      <c r="AI65" s="223">
        <f t="shared" si="148"/>
        <v>0.55000000000000004</v>
      </c>
      <c r="AJ65" s="223">
        <f t="shared" si="148"/>
        <v>0.55000000000000004</v>
      </c>
      <c r="AK65" s="223">
        <f t="shared" si="148"/>
        <v>0.55000000000000004</v>
      </c>
      <c r="AL65" s="223">
        <f t="shared" si="148"/>
        <v>0.55000000000000004</v>
      </c>
      <c r="AM65" s="223">
        <f t="shared" si="148"/>
        <v>0.55000000000000004</v>
      </c>
      <c r="AN65" s="223">
        <f t="shared" si="148"/>
        <v>0.55000000000000004</v>
      </c>
      <c r="AO65" s="223">
        <f t="shared" si="148"/>
        <v>0.55000000000000004</v>
      </c>
      <c r="AP65" s="223">
        <f t="shared" si="148"/>
        <v>0.55000000000000004</v>
      </c>
      <c r="AQ65" s="223">
        <f t="shared" si="148"/>
        <v>0.55000000000000004</v>
      </c>
      <c r="AR65" s="223">
        <f t="shared" si="148"/>
        <v>0.55000000000000004</v>
      </c>
    </row>
    <row r="67" spans="1:44">
      <c r="AA67" s="228"/>
      <c r="AH67" s="190"/>
    </row>
    <row r="68" spans="1:44">
      <c r="AA68" s="218"/>
    </row>
    <row r="69" spans="1:44">
      <c r="AA69" s="218"/>
    </row>
    <row r="70" spans="1:44">
      <c r="AA70" s="218"/>
    </row>
    <row r="71" spans="1:44">
      <c r="AA71" s="223"/>
    </row>
    <row r="72" spans="1:44">
      <c r="AA72" s="223"/>
    </row>
    <row r="74" spans="1:44">
      <c r="AB74" s="56"/>
      <c r="AC74" s="56"/>
      <c r="AD74" s="56"/>
      <c r="AE74" s="56"/>
      <c r="AF74" s="56"/>
      <c r="AG74" s="56"/>
      <c r="AH74" s="56"/>
      <c r="AI74" s="56"/>
      <c r="AJ74" s="56"/>
      <c r="AK74" s="56"/>
      <c r="AL74" s="56"/>
      <c r="AM74" s="56"/>
      <c r="AN74" s="56"/>
      <c r="AO74" s="56"/>
      <c r="AP74" s="56"/>
      <c r="AQ74" s="56"/>
      <c r="AR74" s="56"/>
    </row>
    <row r="75" spans="1:44">
      <c r="AB75" s="56"/>
      <c r="AC75" s="56"/>
      <c r="AD75" s="56"/>
      <c r="AE75" s="56"/>
      <c r="AF75" s="56"/>
      <c r="AG75" s="56"/>
      <c r="AH75" s="56"/>
      <c r="AI75" s="56"/>
      <c r="AJ75" s="56"/>
      <c r="AK75" s="56"/>
      <c r="AL75" s="56"/>
      <c r="AM75" s="56"/>
      <c r="AN75" s="56"/>
      <c r="AO75" s="56"/>
      <c r="AP75" s="56"/>
      <c r="AQ75" s="56"/>
      <c r="AR75" s="56"/>
    </row>
    <row r="76" spans="1:44">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row>
    <row r="83" spans="1:44">
      <c r="V83" s="193"/>
    </row>
    <row r="84" spans="1:44">
      <c r="A84" s="142"/>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row>
    <row r="85" spans="1:44">
      <c r="A85" s="52"/>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row>
    <row r="86" spans="1:44">
      <c r="A86" s="52"/>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row>
    <row r="87" spans="1:44">
      <c r="A87" s="233"/>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row>
    <row r="88" spans="1:44">
      <c r="A88" s="142"/>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row>
    <row r="89" spans="1:44">
      <c r="A89" s="142"/>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row>
    <row r="90" spans="1:44">
      <c r="A90" s="142"/>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row>
    <row r="91" spans="1:44">
      <c r="A91" s="143"/>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Inputs</vt:lpstr>
      <vt:lpstr>DAV Inputs</vt:lpstr>
      <vt:lpstr>CRI GD14</vt:lpstr>
      <vt:lpstr>CRI GD17</vt:lpstr>
      <vt:lpstr>DAV Pi</vt:lpstr>
      <vt:lpstr>Pi's Calc</vt:lpstr>
      <vt:lpstr>UR Tax Calculation</vt:lpstr>
      <vt:lpstr>Financeability</vt:lpstr>
      <vt:lpstr>DP &amp; DV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2021-11-25T17:13:33Z</dcterms:created>
  <dcterms:modified xsi:type="dcterms:W3CDTF">2022-10-26T13:03:05Z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